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0nk653IbBf0x7QkMpmLtdFNan8LzwaP7\2023 Pablo Juan\2022 Perovskite Recycling Project- MS Students\Data for Thesis\"/>
    </mc:Choice>
  </mc:AlternateContent>
  <xr:revisionPtr revIDLastSave="0" documentId="13_ncr:1_{B8F3EC12-97FA-4082-B5CC-A5CFAFE260FA}" xr6:coauthVersionLast="47" xr6:coauthVersionMax="47" xr10:uidLastSave="{00000000-0000-0000-0000-000000000000}"/>
  <bookViews>
    <workbookView xWindow="-120" yWindow="-120" windowWidth="25440" windowHeight="15270" activeTab="1" xr2:uid="{59EB2853-114E-4C64-8176-3E6E46BAD800}"/>
  </bookViews>
  <sheets>
    <sheet name="Perovskite build" sheetId="11" r:id="rId1"/>
    <sheet name="Inventory 1" sheetId="1" r:id="rId2"/>
    <sheet name="Reuse" sheetId="10" r:id="rId3"/>
    <sheet name="Equiptment" sheetId="14" r:id="rId4"/>
    <sheet name="Labor cost" sheetId="8" r:id="rId5"/>
    <sheet name="Transportantion cost" sheetId="9" r:id="rId6"/>
    <sheet name="Tipp" sheetId="13" r:id="rId7"/>
    <sheet name="Densities " sheetId="2" r:id="rId8"/>
    <sheet name="CdTe" sheetId="3" r:id="rId9"/>
    <sheet name="CIGS" sheetId="4" r:id="rId10"/>
    <sheet name="Sheet2" sheetId="5" r:id="rId11"/>
    <sheet name="Look up tables " sheetId="12" r:id="rId12"/>
    <sheet name="TOOL" sheetId="6" r:id="rId13"/>
  </sheets>
  <externalReferences>
    <externalReference r:id="rId14"/>
  </externalReferences>
  <definedNames>
    <definedName name="ACETONE">[1]Densities!$F$5</definedName>
    <definedName name="BA">[1]Densities!$F$9</definedName>
    <definedName name="CB">[1]Densities!$F$12</definedName>
    <definedName name="DMF">[1]Densities!$F$34</definedName>
    <definedName name="DMSO">[1]Densities!$F$15</definedName>
    <definedName name="DRYING100">'[1]Electricity demand'!$BW$11</definedName>
    <definedName name="DRYING120">'[1]Electricity demand'!$BW$12</definedName>
    <definedName name="EA">[1]Densities!$F$17</definedName>
    <definedName name="ETOH">[1]Densities!$F$16</definedName>
    <definedName name="GBL">[1]Densities!$F$45</definedName>
    <definedName name="KOH1P5">[1]Densities!$L$38</definedName>
    <definedName name="OZONE">'[1]Electricity demand'!$Q$10</definedName>
    <definedName name="SONIC">'[1]Electricity demand'!$G$7</definedName>
    <definedName name="THERMAL">'[1]Electricity demand'!$V$8</definedName>
    <definedName name="VOLUME">[1]Justification!$E$6</definedName>
    <definedName name="WATER">[1]Densities!$F$44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5" i="1" l="1"/>
  <c r="E95" i="1"/>
  <c r="Q7" i="12"/>
  <c r="G57" i="8"/>
  <c r="G16" i="1" l="1"/>
  <c r="D16" i="1" s="1"/>
  <c r="G58" i="1"/>
  <c r="D58" i="1" s="1"/>
  <c r="D36" i="1"/>
  <c r="M387" i="1"/>
  <c r="AB112" i="1"/>
  <c r="M426" i="1"/>
  <c r="M318" i="1"/>
  <c r="D18" i="1"/>
  <c r="E82" i="1"/>
  <c r="E83" i="1" s="1"/>
  <c r="D34" i="1"/>
  <c r="M83" i="1"/>
  <c r="M117" i="1"/>
  <c r="D19" i="1"/>
  <c r="E47" i="1"/>
  <c r="M84" i="1" s="1"/>
  <c r="O95" i="1" l="1"/>
  <c r="M90" i="1"/>
  <c r="R90" i="1" s="1"/>
  <c r="Q91" i="1"/>
  <c r="R55" i="8"/>
  <c r="Q52" i="8"/>
  <c r="G50" i="8"/>
  <c r="AD117" i="1" s="1"/>
  <c r="B17" i="8"/>
  <c r="B15" i="8"/>
  <c r="G11" i="13"/>
  <c r="E20" i="9"/>
  <c r="E14" i="9"/>
  <c r="B26" i="9"/>
  <c r="P49" i="8"/>
  <c r="C77" i="8"/>
  <c r="C65" i="8"/>
  <c r="C53" i="8"/>
  <c r="C46" i="8"/>
  <c r="B31" i="9"/>
  <c r="F30" i="9" s="1"/>
  <c r="F6" i="9"/>
  <c r="H6" i="9"/>
  <c r="H5" i="9"/>
  <c r="E5" i="13"/>
  <c r="AD116" i="1" l="1"/>
  <c r="AD115" i="1"/>
  <c r="AD120" i="1"/>
  <c r="AD114" i="1"/>
  <c r="AD111" i="1"/>
  <c r="AD113" i="1"/>
  <c r="AD112" i="1"/>
  <c r="AD119" i="1"/>
  <c r="AD118" i="1"/>
  <c r="K5" i="9"/>
  <c r="G6" i="13" l="1"/>
  <c r="E30" i="9"/>
  <c r="D30" i="9"/>
  <c r="C17" i="9"/>
  <c r="C23" i="9"/>
  <c r="O17" i="9"/>
  <c r="O16" i="9"/>
  <c r="O12" i="9"/>
  <c r="O11" i="9"/>
  <c r="C34" i="8"/>
  <c r="C35" i="8" s="1"/>
  <c r="B26" i="8"/>
  <c r="E26" i="8" s="1"/>
  <c r="C24" i="9" l="1"/>
  <c r="B13" i="8"/>
  <c r="F8" i="9"/>
  <c r="F7" i="9"/>
  <c r="B14" i="8"/>
  <c r="G5" i="13"/>
  <c r="S113" i="1"/>
  <c r="S76" i="1"/>
  <c r="S404" i="1"/>
  <c r="S403" i="1"/>
  <c r="S391" i="1"/>
  <c r="S388" i="1"/>
  <c r="M385" i="1"/>
  <c r="S379" i="1"/>
  <c r="S368" i="1"/>
  <c r="S367" i="1"/>
  <c r="S366" i="1"/>
  <c r="S355" i="1"/>
  <c r="S359" i="1" s="1"/>
  <c r="S343" i="1"/>
  <c r="S341" i="1"/>
  <c r="S337" i="1"/>
  <c r="S321" i="1"/>
  <c r="S318" i="1"/>
  <c r="S303" i="1"/>
  <c r="S308" i="1"/>
  <c r="S306" i="1"/>
  <c r="M304" i="1"/>
  <c r="M301" i="1"/>
  <c r="S302" i="1"/>
  <c r="S294" i="1"/>
  <c r="S287" i="1"/>
  <c r="S114" i="1"/>
  <c r="S280" i="1"/>
  <c r="S274" i="1"/>
  <c r="S266" i="1"/>
  <c r="S260" i="1"/>
  <c r="S251" i="1"/>
  <c r="S192" i="1"/>
  <c r="S189" i="1"/>
  <c r="S180" i="1"/>
  <c r="S178" i="1"/>
  <c r="S173" i="1"/>
  <c r="S166" i="1"/>
  <c r="S152" i="1"/>
  <c r="S151" i="1"/>
  <c r="S148" i="1"/>
  <c r="S146" i="1"/>
  <c r="S138" i="1"/>
  <c r="S128" i="1"/>
  <c r="S129" i="1"/>
  <c r="S127" i="1"/>
  <c r="S125" i="1"/>
  <c r="S123" i="1"/>
  <c r="S109" i="1"/>
  <c r="S122" i="1" s="1"/>
  <c r="S262" i="1" l="1"/>
  <c r="S196" i="1"/>
  <c r="S223" i="1" s="1"/>
  <c r="S347" i="1"/>
  <c r="S373" i="1"/>
  <c r="B27" i="9"/>
  <c r="S413" i="1"/>
  <c r="S385" i="1"/>
  <c r="S283" i="1"/>
  <c r="S386" i="1"/>
  <c r="S167" i="1"/>
  <c r="S311" i="1"/>
  <c r="S297" i="1"/>
  <c r="S329" i="1"/>
  <c r="S140" i="1"/>
  <c r="S415" i="1"/>
  <c r="S145" i="1"/>
  <c r="S172" i="1"/>
  <c r="S179" i="1"/>
  <c r="S383" i="1"/>
  <c r="S398" i="1"/>
  <c r="S408" i="1" s="1"/>
  <c r="S118" i="1"/>
  <c r="S133" i="1" s="1"/>
  <c r="S420" i="1" l="1"/>
  <c r="S209" i="1"/>
  <c r="S182" i="1"/>
  <c r="S159" i="1"/>
  <c r="S394" i="1"/>
  <c r="AI3" i="10"/>
  <c r="AH3" i="10" s="1"/>
  <c r="C5" i="11"/>
  <c r="AB24" i="10" s="1"/>
  <c r="AB39" i="10" s="1"/>
  <c r="AB18" i="10"/>
  <c r="C4" i="11"/>
  <c r="Y2" i="10"/>
  <c r="Z2" i="10"/>
  <c r="AB2" i="10"/>
  <c r="AC2" i="10"/>
  <c r="K3" i="10" s="1"/>
  <c r="Z3" i="10"/>
  <c r="AC3" i="10"/>
  <c r="L3" i="10" s="1"/>
  <c r="Z4" i="10"/>
  <c r="AB4" i="10"/>
  <c r="AC4" i="10"/>
  <c r="M3" i="10" s="1"/>
  <c r="Y5" i="10"/>
  <c r="Z5" i="10"/>
  <c r="AC5" i="10"/>
  <c r="N3" i="10" s="1"/>
  <c r="Z6" i="10"/>
  <c r="Y7" i="10"/>
  <c r="Z7" i="10"/>
  <c r="Z8" i="10"/>
  <c r="Z9" i="10"/>
  <c r="Z10" i="10"/>
  <c r="Y11" i="10"/>
  <c r="Z11" i="10"/>
  <c r="AB11" i="10"/>
  <c r="AB40" i="10" l="1"/>
  <c r="AB41" i="10"/>
  <c r="AB47" i="10"/>
  <c r="AB48" i="10"/>
  <c r="AB49" i="10"/>
  <c r="AB32" i="10"/>
  <c r="AB38" i="10" s="1"/>
  <c r="AB50" i="10"/>
  <c r="M357" i="1" l="1"/>
  <c r="AA112" i="1" s="1"/>
  <c r="M413" i="1"/>
  <c r="AB3" i="10"/>
  <c r="M77" i="1"/>
  <c r="O77" i="1" s="1"/>
  <c r="AA113" i="1" s="1"/>
  <c r="AG113" i="1" s="1"/>
  <c r="O90" i="1"/>
  <c r="M398" i="1"/>
  <c r="O398" i="1" s="1"/>
  <c r="M386" i="1"/>
  <c r="O386" i="1" s="1"/>
  <c r="M146" i="1"/>
  <c r="E54" i="1"/>
  <c r="M274" i="1" s="1"/>
  <c r="O274" i="1" s="1"/>
  <c r="AA120" i="1" s="1"/>
  <c r="E53" i="1"/>
  <c r="M404" i="1"/>
  <c r="O404" i="1" s="1"/>
  <c r="M400" i="1"/>
  <c r="M399" i="1"/>
  <c r="D32" i="1"/>
  <c r="D14" i="1"/>
  <c r="M390" i="1"/>
  <c r="Z41" i="10" s="1"/>
  <c r="D40" i="1"/>
  <c r="M389" i="1"/>
  <c r="Z39" i="10"/>
  <c r="M384" i="1"/>
  <c r="Z38" i="10" s="1"/>
  <c r="M383" i="1"/>
  <c r="O383" i="1" s="1"/>
  <c r="M381" i="1"/>
  <c r="M366" i="1"/>
  <c r="O366" i="1" s="1"/>
  <c r="M365" i="1"/>
  <c r="Z32" i="10" s="1"/>
  <c r="M345" i="1"/>
  <c r="M344" i="1"/>
  <c r="M342" i="1"/>
  <c r="D30" i="1"/>
  <c r="M341" i="1"/>
  <c r="O341" i="1" s="1"/>
  <c r="M337" i="1"/>
  <c r="M325" i="1"/>
  <c r="M324" i="1"/>
  <c r="M323" i="1"/>
  <c r="M322" i="1"/>
  <c r="M308" i="1"/>
  <c r="M307" i="1"/>
  <c r="Z50" i="10" s="1"/>
  <c r="M306" i="1"/>
  <c r="Z48" i="10"/>
  <c r="M305" i="1"/>
  <c r="Z49" i="10" s="1"/>
  <c r="M302" i="1"/>
  <c r="Z47" i="10"/>
  <c r="M294" i="1"/>
  <c r="M291" i="1"/>
  <c r="M279" i="1"/>
  <c r="M278" i="1"/>
  <c r="M277" i="1"/>
  <c r="M276" i="1"/>
  <c r="Z56" i="10" s="1"/>
  <c r="M275" i="1"/>
  <c r="M273" i="1"/>
  <c r="M268" i="1"/>
  <c r="M266" i="1"/>
  <c r="M257" i="1"/>
  <c r="M256" i="1"/>
  <c r="M250" i="1"/>
  <c r="M240" i="1"/>
  <c r="M239" i="1"/>
  <c r="M217" i="1"/>
  <c r="M216" i="1"/>
  <c r="M203" i="1"/>
  <c r="M190" i="1"/>
  <c r="M214" i="1"/>
  <c r="M215" i="1" s="1"/>
  <c r="M204" i="1"/>
  <c r="M191" i="1"/>
  <c r="M201" i="1"/>
  <c r="M202" i="1" s="1"/>
  <c r="M188" i="1"/>
  <c r="M189" i="1" s="1"/>
  <c r="M180" i="1"/>
  <c r="O180" i="1" s="1"/>
  <c r="M179" i="1"/>
  <c r="O179" i="1" s="1"/>
  <c r="M177" i="1"/>
  <c r="M174" i="1"/>
  <c r="M173" i="1"/>
  <c r="O173" i="1" s="1"/>
  <c r="M172" i="1"/>
  <c r="O172" i="1" s="1"/>
  <c r="M171" i="1"/>
  <c r="M167" i="1"/>
  <c r="M165" i="1"/>
  <c r="Z18" i="10" s="1"/>
  <c r="M158" i="1"/>
  <c r="M156" i="1"/>
  <c r="M150" i="1"/>
  <c r="E44" i="1"/>
  <c r="M145" i="1"/>
  <c r="M140" i="1"/>
  <c r="M127" i="1"/>
  <c r="M123" i="1"/>
  <c r="M122" i="1"/>
  <c r="M147" i="1"/>
  <c r="M144" i="1"/>
  <c r="M138" i="1"/>
  <c r="M132" i="1"/>
  <c r="M124" i="1"/>
  <c r="Z25" i="10" s="1"/>
  <c r="M121" i="1"/>
  <c r="Z24" i="10" s="1"/>
  <c r="M118" i="1"/>
  <c r="G37" i="1"/>
  <c r="D37" i="1" s="1"/>
  <c r="G57" i="1"/>
  <c r="D57" i="1" s="1"/>
  <c r="M415" i="1"/>
  <c r="O415" i="1" s="1"/>
  <c r="O84" i="1"/>
  <c r="V85" i="1" s="1"/>
  <c r="Q1" i="1"/>
  <c r="J2" i="1"/>
  <c r="P385" i="1"/>
  <c r="D35" i="1"/>
  <c r="O379" i="1"/>
  <c r="O364" i="1"/>
  <c r="M30" i="3"/>
  <c r="F13" i="3"/>
  <c r="M27" i="3" s="1"/>
  <c r="G28" i="3"/>
  <c r="G31" i="3"/>
  <c r="G30" i="3"/>
  <c r="G29" i="3"/>
  <c r="G27" i="3"/>
  <c r="E28" i="4"/>
  <c r="C4" i="4"/>
  <c r="E17" i="4" s="1"/>
  <c r="C8" i="4"/>
  <c r="E21" i="4" s="1"/>
  <c r="C7" i="4"/>
  <c r="E24" i="4" s="1"/>
  <c r="C5" i="4"/>
  <c r="E26" i="4" s="1"/>
  <c r="C3" i="4"/>
  <c r="E16" i="4" s="1"/>
  <c r="D17" i="1"/>
  <c r="F2" i="4"/>
  <c r="C2" i="4" s="1"/>
  <c r="E15" i="4" s="1"/>
  <c r="C9" i="4"/>
  <c r="E22" i="4" s="1"/>
  <c r="G19" i="3"/>
  <c r="H18" i="3"/>
  <c r="G16" i="3"/>
  <c r="I10" i="3"/>
  <c r="K18" i="3"/>
  <c r="E17" i="3" s="1"/>
  <c r="E21" i="3"/>
  <c r="E6" i="3"/>
  <c r="E18" i="3" s="1"/>
  <c r="E7" i="3"/>
  <c r="E19" i="3" s="1"/>
  <c r="E4" i="3"/>
  <c r="E16" i="3" s="1"/>
  <c r="O413" i="1" l="1"/>
  <c r="AA111" i="1" s="1"/>
  <c r="AG112" i="1"/>
  <c r="M260" i="1"/>
  <c r="O260" i="1" s="1"/>
  <c r="M280" i="1"/>
  <c r="AA11" i="10"/>
  <c r="M129" i="1"/>
  <c r="M391" i="1"/>
  <c r="O391" i="1" s="1"/>
  <c r="AA118" i="1" s="1"/>
  <c r="AA3" i="10"/>
  <c r="AA4" i="10"/>
  <c r="O389" i="1"/>
  <c r="Z40" i="10"/>
  <c r="O390" i="1"/>
  <c r="O342" i="1"/>
  <c r="M321" i="1"/>
  <c r="O321" i="1" s="1"/>
  <c r="M152" i="1"/>
  <c r="M125" i="1"/>
  <c r="M148" i="1"/>
  <c r="M368" i="1"/>
  <c r="O368" i="1" s="1"/>
  <c r="AA117" i="1" s="1"/>
  <c r="O418" i="1"/>
  <c r="O420" i="1" s="1"/>
  <c r="O387" i="1"/>
  <c r="M26" i="3"/>
  <c r="M28" i="3"/>
  <c r="M29" i="3"/>
  <c r="G32" i="3"/>
  <c r="H34" i="3" s="1"/>
  <c r="E23" i="4"/>
  <c r="E25" i="4"/>
  <c r="E18" i="4"/>
  <c r="E20" i="4"/>
  <c r="H17" i="3"/>
  <c r="H19" i="3"/>
  <c r="E22" i="3"/>
  <c r="O158" i="1"/>
  <c r="E49" i="1"/>
  <c r="M241" i="1" s="1"/>
  <c r="O167" i="1"/>
  <c r="AA115" i="1" s="1"/>
  <c r="O190" i="1"/>
  <c r="O365" i="1"/>
  <c r="AC117" i="1" s="1"/>
  <c r="AC8" i="10" s="1"/>
  <c r="M231" i="1"/>
  <c r="O231" i="1" s="1"/>
  <c r="D38" i="1"/>
  <c r="O204" i="1" s="1"/>
  <c r="D22" i="1"/>
  <c r="O235" i="1" s="1"/>
  <c r="D23" i="1"/>
  <c r="D21" i="1"/>
  <c r="D33" i="1"/>
  <c r="D26" i="1"/>
  <c r="D15" i="1"/>
  <c r="O268" i="1" s="1"/>
  <c r="D13" i="1"/>
  <c r="D12" i="1"/>
  <c r="O301" i="1" s="1"/>
  <c r="D11" i="1"/>
  <c r="D28" i="1"/>
  <c r="O305" i="1"/>
  <c r="D27" i="1"/>
  <c r="D24" i="1"/>
  <c r="O400" i="1" s="1"/>
  <c r="D20" i="1"/>
  <c r="D10" i="1"/>
  <c r="D8" i="1"/>
  <c r="G274" i="1"/>
  <c r="H321" i="1"/>
  <c r="O308" i="1"/>
  <c r="O307" i="1"/>
  <c r="O306" i="1"/>
  <c r="O304" i="1"/>
  <c r="O302" i="1"/>
  <c r="D31" i="1"/>
  <c r="O230" i="1" s="1"/>
  <c r="M232" i="1"/>
  <c r="O232" i="1" s="1"/>
  <c r="M238" i="1"/>
  <c r="D39" i="1"/>
  <c r="AG111" i="1" l="1"/>
  <c r="AA2" i="10"/>
  <c r="O278" i="1"/>
  <c r="O426" i="1"/>
  <c r="AA9" i="10"/>
  <c r="AA8" i="10"/>
  <c r="Q3" i="10"/>
  <c r="Q68" i="10"/>
  <c r="Q4" i="10"/>
  <c r="Q11" i="10"/>
  <c r="Q18" i="10"/>
  <c r="Q25" i="10"/>
  <c r="Q32" i="10"/>
  <c r="Q31" i="10"/>
  <c r="Q22" i="10"/>
  <c r="Q21" i="10"/>
  <c r="Q59" i="10"/>
  <c r="Q6" i="10"/>
  <c r="Q5" i="10"/>
  <c r="Q60" i="10"/>
  <c r="Q67" i="10"/>
  <c r="Q10" i="10"/>
  <c r="Q17" i="10"/>
  <c r="Q24" i="10"/>
  <c r="Q23" i="10"/>
  <c r="Q14" i="10"/>
  <c r="Q13" i="10"/>
  <c r="Q52" i="10"/>
  <c r="Q66" i="10"/>
  <c r="Q9" i="10"/>
  <c r="Q16" i="10"/>
  <c r="Q44" i="10"/>
  <c r="Q51" i="10"/>
  <c r="Q58" i="10"/>
  <c r="Q65" i="10"/>
  <c r="Q8" i="10"/>
  <c r="Q7" i="10"/>
  <c r="Q62" i="10"/>
  <c r="Q61" i="10"/>
  <c r="Q20" i="10"/>
  <c r="Q27" i="10"/>
  <c r="Q48" i="10"/>
  <c r="Q36" i="10"/>
  <c r="Q43" i="10"/>
  <c r="Q50" i="10"/>
  <c r="Q57" i="10"/>
  <c r="Q64" i="10"/>
  <c r="Q63" i="10"/>
  <c r="Q54" i="10"/>
  <c r="Q53" i="10"/>
  <c r="Q45" i="10"/>
  <c r="Q41" i="10"/>
  <c r="Q47" i="10"/>
  <c r="Q37" i="10"/>
  <c r="Q28" i="10"/>
  <c r="Q35" i="10"/>
  <c r="Q42" i="10"/>
  <c r="Q49" i="10"/>
  <c r="Q56" i="10"/>
  <c r="Q55" i="10"/>
  <c r="Q46" i="10"/>
  <c r="Q34" i="10"/>
  <c r="Q38" i="10"/>
  <c r="Q12" i="10"/>
  <c r="Q19" i="10"/>
  <c r="Q26" i="10"/>
  <c r="Q33" i="10"/>
  <c r="Q40" i="10"/>
  <c r="Q39" i="10"/>
  <c r="Q30" i="10"/>
  <c r="Q29" i="10"/>
  <c r="Q15" i="10"/>
  <c r="Q2" i="12"/>
  <c r="H50" i="6" s="1"/>
  <c r="AD3" i="10"/>
  <c r="Q3" i="12"/>
  <c r="AD2" i="10"/>
  <c r="AC119" i="1"/>
  <c r="AC10" i="10" s="1"/>
  <c r="AD4" i="10"/>
  <c r="Q4" i="12"/>
  <c r="AA119" i="1"/>
  <c r="O345" i="1"/>
  <c r="O93" i="1"/>
  <c r="X86" i="1" s="1"/>
  <c r="O344" i="1"/>
  <c r="O171" i="1"/>
  <c r="O124" i="1"/>
  <c r="O177" i="1"/>
  <c r="O174" i="1"/>
  <c r="O83" i="1"/>
  <c r="O399" i="1"/>
  <c r="O381" i="1"/>
  <c r="O384" i="1"/>
  <c r="O145" i="1"/>
  <c r="Q145" i="1"/>
  <c r="M31" i="3"/>
  <c r="E30" i="4"/>
  <c r="O217" i="1"/>
  <c r="O238" i="1"/>
  <c r="E55" i="1"/>
  <c r="M114" i="1" s="1"/>
  <c r="O127" i="1"/>
  <c r="D29" i="1"/>
  <c r="O236" i="1"/>
  <c r="O288" i="1"/>
  <c r="O294" i="1"/>
  <c r="AC118" i="1" l="1"/>
  <c r="AC9" i="10" s="1"/>
  <c r="X85" i="1"/>
  <c r="AA10" i="10"/>
  <c r="S7" i="10"/>
  <c r="S3" i="10"/>
  <c r="S6" i="10"/>
  <c r="S13" i="10"/>
  <c r="S20" i="10"/>
  <c r="S27" i="10"/>
  <c r="S34" i="10"/>
  <c r="S33" i="10"/>
  <c r="S24" i="10"/>
  <c r="S15" i="10"/>
  <c r="S61" i="10"/>
  <c r="S17" i="10"/>
  <c r="S62" i="10"/>
  <c r="S5" i="10"/>
  <c r="S12" i="10"/>
  <c r="S19" i="10"/>
  <c r="S26" i="10"/>
  <c r="S25" i="10"/>
  <c r="S16" i="10"/>
  <c r="S54" i="10"/>
  <c r="S68" i="10"/>
  <c r="S11" i="10"/>
  <c r="S18" i="10"/>
  <c r="S63" i="10"/>
  <c r="S46" i="10"/>
  <c r="S53" i="10"/>
  <c r="S60" i="10"/>
  <c r="S67" i="10"/>
  <c r="S10" i="10"/>
  <c r="S9" i="10"/>
  <c r="S64" i="10"/>
  <c r="S55" i="10"/>
  <c r="S22" i="10"/>
  <c r="S43" i="10"/>
  <c r="S50" i="10"/>
  <c r="S40" i="10"/>
  <c r="S38" i="10"/>
  <c r="S45" i="10"/>
  <c r="S52" i="10"/>
  <c r="S59" i="10"/>
  <c r="S66" i="10"/>
  <c r="S65" i="10"/>
  <c r="S56" i="10"/>
  <c r="S47" i="10"/>
  <c r="S39" i="10"/>
  <c r="S36" i="10"/>
  <c r="S30" i="10"/>
  <c r="S37" i="10"/>
  <c r="S44" i="10"/>
  <c r="S51" i="10"/>
  <c r="S58" i="10"/>
  <c r="S57" i="10"/>
  <c r="S48" i="10"/>
  <c r="S29" i="10"/>
  <c r="S49" i="10"/>
  <c r="S31" i="10"/>
  <c r="S14" i="10"/>
  <c r="S21" i="10"/>
  <c r="S28" i="10"/>
  <c r="S35" i="10"/>
  <c r="S42" i="10"/>
  <c r="S41" i="10"/>
  <c r="S32" i="10"/>
  <c r="S23" i="10"/>
  <c r="S4" i="10"/>
  <c r="S8" i="10"/>
  <c r="P175" i="1"/>
  <c r="O114" i="1"/>
  <c r="AA114" i="1" s="1"/>
  <c r="O280" i="1"/>
  <c r="O113" i="1"/>
  <c r="O241" i="1"/>
  <c r="O239" i="1"/>
  <c r="O277" i="1"/>
  <c r="O191" i="1"/>
  <c r="O129" i="1"/>
  <c r="O123" i="1"/>
  <c r="O325" i="1"/>
  <c r="O140" i="1"/>
  <c r="O118" i="1"/>
  <c r="R5" i="10" l="1"/>
  <c r="R67" i="10"/>
  <c r="R25" i="10"/>
  <c r="R7" i="10"/>
  <c r="R62" i="10"/>
  <c r="R65" i="10"/>
  <c r="R29" i="10"/>
  <c r="R42" i="10"/>
  <c r="R30" i="10"/>
  <c r="R17" i="10"/>
  <c r="R52" i="10"/>
  <c r="R55" i="10"/>
  <c r="R20" i="10"/>
  <c r="R9" i="10"/>
  <c r="R18" i="10"/>
  <c r="R12" i="10"/>
  <c r="R10" i="10"/>
  <c r="R24" i="10"/>
  <c r="R45" i="10"/>
  <c r="R35" i="10"/>
  <c r="R64" i="10"/>
  <c r="R36" i="10"/>
  <c r="R13" i="10"/>
  <c r="R15" i="10"/>
  <c r="R43" i="10"/>
  <c r="R44" i="10"/>
  <c r="R41" i="10"/>
  <c r="R39" i="10"/>
  <c r="R19" i="10"/>
  <c r="R48" i="10"/>
  <c r="R4" i="10"/>
  <c r="R56" i="10"/>
  <c r="R6" i="10"/>
  <c r="R58" i="10"/>
  <c r="R26" i="10"/>
  <c r="R61" i="10"/>
  <c r="R14" i="10"/>
  <c r="R59" i="10"/>
  <c r="R38" i="10"/>
  <c r="R54" i="10"/>
  <c r="R50" i="10"/>
  <c r="R27" i="10"/>
  <c r="R53" i="10"/>
  <c r="R46" i="10"/>
  <c r="R33" i="10"/>
  <c r="R68" i="10"/>
  <c r="R3" i="10"/>
  <c r="R66" i="10"/>
  <c r="R37" i="10"/>
  <c r="R21" i="10"/>
  <c r="R57" i="10"/>
  <c r="R34" i="10"/>
  <c r="R32" i="10"/>
  <c r="R28" i="10"/>
  <c r="R63" i="10"/>
  <c r="R23" i="10"/>
  <c r="R11" i="10"/>
  <c r="R60" i="10"/>
  <c r="R8" i="10"/>
  <c r="R51" i="10"/>
  <c r="R49" i="10"/>
  <c r="R47" i="10"/>
  <c r="R40" i="10"/>
  <c r="R22" i="10"/>
  <c r="R16" i="10"/>
  <c r="R31" i="10"/>
  <c r="AB114" i="1"/>
  <c r="AB5" i="10" s="1"/>
  <c r="O343" i="1"/>
  <c r="O96" i="1"/>
  <c r="AG114" i="1"/>
  <c r="AA6" i="10"/>
  <c r="AA5" i="10"/>
  <c r="O319" i="1"/>
  <c r="O338" i="1"/>
  <c r="O251" i="1"/>
  <c r="O303" i="1"/>
  <c r="AB119" i="1" s="1"/>
  <c r="AG119" i="1" s="1"/>
  <c r="O91" i="1"/>
  <c r="W86" i="1" s="1"/>
  <c r="O178" i="1"/>
  <c r="P181" i="1" s="1"/>
  <c r="O94" i="1"/>
  <c r="O85" i="1"/>
  <c r="O388" i="1"/>
  <c r="O403" i="1"/>
  <c r="O407" i="1" s="1"/>
  <c r="P115" i="1"/>
  <c r="O133" i="1"/>
  <c r="O367" i="1"/>
  <c r="O150" i="1"/>
  <c r="Q150" i="1"/>
  <c r="Q146" i="1"/>
  <c r="E127" i="1"/>
  <c r="F127" i="1" s="1"/>
  <c r="O157" i="1"/>
  <c r="O125" i="1"/>
  <c r="M128" i="1"/>
  <c r="O128" i="1" s="1"/>
  <c r="AB116" i="1" s="1"/>
  <c r="AB7" i="10" s="1"/>
  <c r="O166" i="1"/>
  <c r="AB115" i="1" s="1"/>
  <c r="O267" i="1"/>
  <c r="O192" i="1"/>
  <c r="Q152" i="1"/>
  <c r="M139" i="1"/>
  <c r="O139" i="1" s="1"/>
  <c r="O240" i="1"/>
  <c r="O103" i="1" l="1"/>
  <c r="AB6" i="10"/>
  <c r="W85" i="1"/>
  <c r="R100" i="1"/>
  <c r="O101" i="1"/>
  <c r="AB10" i="10"/>
  <c r="Q5" i="12"/>
  <c r="H51" i="6" s="1"/>
  <c r="AD5" i="10"/>
  <c r="O393" i="1"/>
  <c r="AB118" i="1"/>
  <c r="AG118" i="1" s="1"/>
  <c r="O372" i="1"/>
  <c r="AB117" i="1"/>
  <c r="AG117" i="1" s="1"/>
  <c r="P311" i="1"/>
  <c r="O148" i="1"/>
  <c r="Q148" i="1"/>
  <c r="M151" i="1"/>
  <c r="Q151" i="1" s="1"/>
  <c r="O122" i="1"/>
  <c r="AA116" i="1" s="1"/>
  <c r="AB9" i="10" l="1"/>
  <c r="AA7" i="10"/>
  <c r="Q11" i="12"/>
  <c r="AD10" i="10"/>
  <c r="AB8" i="10"/>
  <c r="O279" i="1"/>
  <c r="Q10" i="12" l="1"/>
  <c r="H52" i="6" s="1"/>
  <c r="AD9" i="10"/>
  <c r="Q9" i="12"/>
  <c r="AD8" i="10"/>
  <c r="O276" i="1"/>
  <c r="AC120" i="1" s="1"/>
  <c r="AG120" i="1" s="1"/>
  <c r="AJ111" i="1" s="1"/>
  <c r="O291" i="1"/>
  <c r="P295" i="1" s="1"/>
  <c r="AC11" i="10" l="1"/>
  <c r="O323" i="1"/>
  <c r="O138" i="1"/>
  <c r="O214" i="1"/>
  <c r="O318" i="1"/>
  <c r="O257" i="1"/>
  <c r="O322" i="1"/>
  <c r="O275" i="1"/>
  <c r="O189" i="1"/>
  <c r="O156" i="1"/>
  <c r="P159" i="1" s="1"/>
  <c r="O201" i="1"/>
  <c r="O132" i="1"/>
  <c r="O324" i="1"/>
  <c r="Q12" i="12" l="1"/>
  <c r="H53" i="6" s="1"/>
  <c r="AD11" i="10"/>
  <c r="T3" i="10"/>
  <c r="T7" i="10"/>
  <c r="T14" i="10"/>
  <c r="T21" i="10"/>
  <c r="T28" i="10"/>
  <c r="T35" i="10"/>
  <c r="T34" i="10"/>
  <c r="T25" i="10"/>
  <c r="T8" i="10"/>
  <c r="T5" i="10"/>
  <c r="T19" i="10"/>
  <c r="T63" i="10"/>
  <c r="T6" i="10"/>
  <c r="T13" i="10"/>
  <c r="T20" i="10"/>
  <c r="T27" i="10"/>
  <c r="T26" i="10"/>
  <c r="T17" i="10"/>
  <c r="T64" i="10"/>
  <c r="T55" i="10"/>
  <c r="T62" i="10"/>
  <c r="T12" i="10"/>
  <c r="T18" i="10"/>
  <c r="T9" i="10"/>
  <c r="T47" i="10"/>
  <c r="T54" i="10"/>
  <c r="T61" i="10"/>
  <c r="T68" i="10"/>
  <c r="T4" i="10"/>
  <c r="T11" i="10"/>
  <c r="T10" i="10"/>
  <c r="T65" i="10"/>
  <c r="T48" i="10"/>
  <c r="T30" i="10"/>
  <c r="T39" i="10"/>
  <c r="T46" i="10"/>
  <c r="T53" i="10"/>
  <c r="T60" i="10"/>
  <c r="T67" i="10"/>
  <c r="T66" i="10"/>
  <c r="T57" i="10"/>
  <c r="T40" i="10"/>
  <c r="T23" i="10"/>
  <c r="T44" i="10"/>
  <c r="T50" i="10"/>
  <c r="T24" i="10"/>
  <c r="T31" i="10"/>
  <c r="T38" i="10"/>
  <c r="T45" i="10"/>
  <c r="T52" i="10"/>
  <c r="T59" i="10"/>
  <c r="T58" i="10"/>
  <c r="T49" i="10"/>
  <c r="T32" i="10"/>
  <c r="T37" i="10"/>
  <c r="T51" i="10"/>
  <c r="T41" i="10"/>
  <c r="T15" i="10"/>
  <c r="T22" i="10"/>
  <c r="T29" i="10"/>
  <c r="T36" i="10"/>
  <c r="T43" i="10"/>
  <c r="T42" i="10"/>
  <c r="T33" i="10"/>
  <c r="T16" i="10"/>
  <c r="T56" i="10"/>
  <c r="P141" i="1"/>
  <c r="Q147" i="1"/>
  <c r="R147" i="1" s="1"/>
  <c r="O250" i="1"/>
  <c r="P281" i="1"/>
  <c r="O121" i="1"/>
  <c r="G336" i="1"/>
  <c r="P329" i="1"/>
  <c r="O266" i="1"/>
  <c r="P271" i="1" s="1"/>
  <c r="O256" i="1"/>
  <c r="G256" i="1"/>
  <c r="O117" i="1"/>
  <c r="P118" i="1" s="1"/>
  <c r="O165" i="1"/>
  <c r="G138" i="1"/>
  <c r="O202" i="1"/>
  <c r="O215" i="1"/>
  <c r="M237" i="1"/>
  <c r="O188" i="1"/>
  <c r="M126" i="1"/>
  <c r="Z26" i="10" s="1"/>
  <c r="AC115" i="1" l="1"/>
  <c r="AG115" i="1" s="1"/>
  <c r="P168" i="1"/>
  <c r="Q183" i="1" s="1"/>
  <c r="Q121" i="1"/>
  <c r="Q124" i="1"/>
  <c r="O147" i="1"/>
  <c r="O144" i="1"/>
  <c r="Q144" i="1"/>
  <c r="R144" i="1" s="1"/>
  <c r="P258" i="1"/>
  <c r="G122" i="1"/>
  <c r="Q282" i="1"/>
  <c r="O337" i="1"/>
  <c r="P346" i="1" s="1"/>
  <c r="F188" i="1"/>
  <c r="P193" i="1"/>
  <c r="P219" i="1"/>
  <c r="P206" i="1"/>
  <c r="O237" i="1"/>
  <c r="P242" i="1" s="1"/>
  <c r="O126" i="1"/>
  <c r="P130" i="1" s="1"/>
  <c r="M149" i="1"/>
  <c r="AC116" i="1" l="1"/>
  <c r="AG116" i="1" s="1"/>
  <c r="AC6" i="10"/>
  <c r="O30" i="10" s="1"/>
  <c r="O149" i="1"/>
  <c r="P153" i="1" s="1"/>
  <c r="Q160" i="1" s="1"/>
  <c r="Q149" i="1"/>
  <c r="Q131" i="1" a="1"/>
  <c r="Q131" i="1" s="1"/>
  <c r="O53" i="10" l="1"/>
  <c r="AC7" i="10"/>
  <c r="P3" i="10" s="1"/>
  <c r="O55" i="10"/>
  <c r="O40" i="10"/>
  <c r="O60" i="10"/>
  <c r="O59" i="10"/>
  <c r="O65" i="10"/>
  <c r="O52" i="10"/>
  <c r="O10" i="10"/>
  <c r="O34" i="10"/>
  <c r="O24" i="10"/>
  <c r="O7" i="10"/>
  <c r="O63" i="10"/>
  <c r="O67" i="10"/>
  <c r="O16" i="10"/>
  <c r="O11" i="10"/>
  <c r="O21" i="10"/>
  <c r="O37" i="10"/>
  <c r="O22" i="10"/>
  <c r="O8" i="10"/>
  <c r="O33" i="10"/>
  <c r="O44" i="10"/>
  <c r="O29" i="10"/>
  <c r="O15" i="10"/>
  <c r="O6" i="10"/>
  <c r="O41" i="10"/>
  <c r="O38" i="10"/>
  <c r="O51" i="10"/>
  <c r="O43" i="10"/>
  <c r="O26" i="10"/>
  <c r="O68" i="10"/>
  <c r="O58" i="10"/>
  <c r="O20" i="10"/>
  <c r="O62" i="10"/>
  <c r="O66" i="10"/>
  <c r="O27" i="10"/>
  <c r="O23" i="10"/>
  <c r="O31" i="10"/>
  <c r="O18" i="10"/>
  <c r="O28" i="10"/>
  <c r="O13" i="10"/>
  <c r="O14" i="10"/>
  <c r="O64" i="10"/>
  <c r="O49" i="10"/>
  <c r="O45" i="10"/>
  <c r="O50" i="10"/>
  <c r="O35" i="10"/>
  <c r="O36" i="10"/>
  <c r="O19" i="10"/>
  <c r="AD6" i="10"/>
  <c r="Q6" i="12"/>
  <c r="O54" i="10"/>
  <c r="O32" i="10"/>
  <c r="O5" i="10"/>
  <c r="Q8" i="12"/>
  <c r="AD7" i="10"/>
  <c r="O4" i="10"/>
  <c r="O3" i="10"/>
  <c r="O47" i="10"/>
  <c r="O17" i="10"/>
  <c r="O25" i="10"/>
  <c r="O42" i="10"/>
  <c r="O56" i="10"/>
  <c r="O12" i="10"/>
  <c r="O61" i="10"/>
  <c r="O46" i="10"/>
  <c r="O39" i="10"/>
  <c r="O48" i="10"/>
  <c r="O9" i="10"/>
  <c r="O57" i="10"/>
  <c r="H55" i="6" l="1"/>
  <c r="P11" i="10"/>
  <c r="P55" i="10"/>
  <c r="P15" i="10"/>
  <c r="P67" i="10"/>
  <c r="P19" i="10"/>
  <c r="P54" i="10"/>
  <c r="P43" i="10"/>
  <c r="P21" i="10"/>
  <c r="P28" i="10"/>
  <c r="P62" i="10"/>
  <c r="P4" i="10"/>
  <c r="P41" i="10"/>
  <c r="P61" i="10"/>
  <c r="P45" i="10"/>
  <c r="P38" i="10"/>
  <c r="P16" i="10"/>
  <c r="P12" i="10"/>
  <c r="P14" i="10"/>
  <c r="P48" i="10"/>
  <c r="P65" i="10"/>
  <c r="P63" i="10"/>
  <c r="P29" i="10"/>
  <c r="P39" i="10"/>
  <c r="P47" i="10"/>
  <c r="P27" i="10"/>
  <c r="P56" i="10"/>
  <c r="P7" i="10"/>
  <c r="P8" i="10"/>
  <c r="P66" i="10"/>
  <c r="P31" i="10"/>
  <c r="P20" i="10"/>
  <c r="P23" i="10"/>
  <c r="P46" i="10"/>
  <c r="P40" i="10"/>
  <c r="P9" i="10"/>
  <c r="P5" i="10"/>
  <c r="P32" i="10"/>
  <c r="P26" i="10"/>
  <c r="P22" i="10"/>
  <c r="P49" i="10"/>
  <c r="P64" i="10"/>
  <c r="P58" i="10"/>
  <c r="P59" i="10"/>
  <c r="P24" i="10"/>
  <c r="P36" i="10"/>
  <c r="P34" i="10"/>
  <c r="P25" i="10"/>
  <c r="P52" i="10"/>
  <c r="P68" i="10"/>
  <c r="P42" i="10"/>
  <c r="P57" i="10"/>
  <c r="P51" i="10"/>
  <c r="P30" i="10"/>
  <c r="P17" i="10"/>
  <c r="P6" i="10"/>
  <c r="P37" i="10"/>
  <c r="P13" i="10"/>
  <c r="P18" i="10"/>
  <c r="P53" i="10"/>
  <c r="P33" i="10"/>
  <c r="P35" i="10"/>
  <c r="P50" i="10"/>
  <c r="P60" i="10"/>
  <c r="P44" i="10"/>
  <c r="P1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Ravilla, Achyuth - SDSMT Student</author>
  </authors>
  <commentList>
    <comment ref="F116" authorId="0" shapeId="0" xr:uid="{AAF6A499-E458-4D78-868B-CABAB6A7E193}">
      <text>
        <r>
          <rPr>
            <b/>
            <sz val="9"/>
            <color indexed="81"/>
            <rFont val="Tahoma"/>
            <family val="2"/>
          </rPr>
          <t>Ravilla, Achyuth - SDSMT Student:</t>
        </r>
        <r>
          <rPr>
            <sz val="9"/>
            <color indexed="81"/>
            <rFont val="Tahoma"/>
            <family val="2"/>
          </rPr>
          <t xml:space="preserve">
$1/kg mono chlorobenzene
from alibaba 
</t>
        </r>
      </text>
    </comment>
    <comment ref="F137" authorId="0" shapeId="0" xr:uid="{DA3A5657-DFF3-4223-9BB5-F1F5C4E2346E}">
      <text>
        <r>
          <rPr>
            <b/>
            <sz val="9"/>
            <color indexed="81"/>
            <rFont val="Tahoma"/>
            <family val="2"/>
          </rPr>
          <t>Ravilla, Achyuth - SDSMT Student:</t>
        </r>
        <r>
          <rPr>
            <sz val="9"/>
            <color indexed="81"/>
            <rFont val="Tahoma"/>
            <family val="2"/>
          </rPr>
          <t xml:space="preserve">
$1650/metric ton
from CHEMANALYST 
$1883 in 2022 septmber
$1650 in 2021</t>
        </r>
      </text>
    </comment>
    <comment ref="E187" authorId="0" shapeId="0" xr:uid="{A349CDEC-D74D-41A9-B4C1-5CBED5F94F41}">
      <text>
        <r>
          <rPr>
            <b/>
            <sz val="9"/>
            <color indexed="81"/>
            <rFont val="Tahoma"/>
            <family val="2"/>
          </rPr>
          <t>Ravilla, Achyuth - SDSMT Student:</t>
        </r>
        <r>
          <rPr>
            <sz val="9"/>
            <color indexed="81"/>
            <rFont val="Tahoma"/>
            <family val="2"/>
          </rPr>
          <t xml:space="preserve">
$4.5/kg dietyl ether
from alibaba</t>
        </r>
      </text>
    </comment>
    <comment ref="G203" authorId="0" shapeId="0" xr:uid="{42D6A249-7F4F-4B54-9A00-8CEC7B645A65}">
      <text>
        <r>
          <rPr>
            <b/>
            <sz val="9"/>
            <color indexed="81"/>
            <rFont val="Tahoma"/>
            <family val="2"/>
          </rPr>
          <t>Ravilla, Achyuth - SDSMT Student:</t>
        </r>
        <r>
          <rPr>
            <sz val="9"/>
            <color indexed="81"/>
            <rFont val="Tahoma"/>
            <family val="2"/>
          </rPr>
          <t xml:space="preserve">
kim paper
0.14cm2 active area 50mg
for 0.8m2 active area- 2857g </t>
        </r>
      </text>
    </comment>
    <comment ref="F239" authorId="0" shapeId="0" xr:uid="{C72C5C42-3427-4B8E-8345-EACA6DEE4396}">
      <text>
        <r>
          <rPr>
            <b/>
            <sz val="9"/>
            <color indexed="81"/>
            <rFont val="Tahoma"/>
            <family val="2"/>
          </rPr>
          <t>Ravilla, Achyuth - SDSMT Student:</t>
        </r>
        <r>
          <rPr>
            <sz val="9"/>
            <color indexed="81"/>
            <rFont val="Tahoma"/>
            <family val="2"/>
          </rPr>
          <t xml:space="preserve">
IPA- 1450/ton Sept 2022
CHEMANALYST</t>
        </r>
      </text>
    </comment>
    <comment ref="F255" authorId="0" shapeId="0" xr:uid="{6FA3FAF1-9786-4BE4-8F3B-67E2DFEBC0D7}">
      <text>
        <r>
          <rPr>
            <b/>
            <sz val="9"/>
            <color indexed="81"/>
            <rFont val="Tahoma"/>
            <family val="2"/>
          </rPr>
          <t>Ravilla, Achyuth - SDSMT Student:</t>
        </r>
        <r>
          <rPr>
            <sz val="9"/>
            <color indexed="81"/>
            <rFont val="Tahoma"/>
            <family val="2"/>
          </rPr>
          <t xml:space="preserve">
$750/ton in march 2022
$998/ton in june 2022
take avg $874/ton
</t>
        </r>
      </text>
    </comment>
    <comment ref="F267" authorId="0" shapeId="0" xr:uid="{C22BA52B-0607-4DDD-85BA-29F5162AD636}">
      <text>
        <r>
          <rPr>
            <b/>
            <sz val="9"/>
            <color indexed="81"/>
            <rFont val="Tahoma"/>
            <family val="2"/>
          </rPr>
          <t>Ravilla, Achyuth - SDSMT Student:</t>
        </r>
        <r>
          <rPr>
            <sz val="9"/>
            <color indexed="81"/>
            <rFont val="Tahoma"/>
            <family val="2"/>
          </rPr>
          <t xml:space="preserve">
$1375/ ton (spet 2022)
from
CHEMANALYST </t>
        </r>
      </text>
    </comment>
    <comment ref="F273" authorId="0" shapeId="0" xr:uid="{6D23DE2D-EDD9-4EAB-B71B-6636E720987F}">
      <text>
        <r>
          <rPr>
            <b/>
            <sz val="9"/>
            <color indexed="81"/>
            <rFont val="Tahoma"/>
            <family val="2"/>
          </rPr>
          <t>Ravilla, Achyuth - SDSMT Student:</t>
        </r>
        <r>
          <rPr>
            <sz val="9"/>
            <color indexed="81"/>
            <rFont val="Tahoma"/>
            <family val="2"/>
          </rPr>
          <t xml:space="preserve">
$1100/ton June 2022
CHEMANALYST</t>
        </r>
      </text>
    </comment>
    <comment ref="F335" authorId="0" shapeId="0" xr:uid="{4921E16C-5775-4531-91CE-65D770B9E253}">
      <text>
        <r>
          <rPr>
            <b/>
            <sz val="9"/>
            <color indexed="81"/>
            <rFont val="Tahoma"/>
            <family val="2"/>
          </rPr>
          <t>Ravilla, Achyuth - SDSMT Student:</t>
        </r>
        <r>
          <rPr>
            <sz val="9"/>
            <color indexed="81"/>
            <rFont val="Tahoma"/>
            <family val="2"/>
          </rPr>
          <t xml:space="preserve">
alkyl amines $1970/ton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McCalmont, Emma L. - SDSMT Student</author>
  </authors>
  <commentList>
    <comment ref="Z6" authorId="0" shapeId="0" xr:uid="{A429B96C-2A35-4754-A6AE-35C984148ACE}">
      <text>
        <r>
          <rPr>
            <b/>
            <sz val="9"/>
            <color indexed="81"/>
            <rFont val="Tahoma"/>
            <family val="2"/>
          </rPr>
          <t>McCalmont, Emma L. - SDSMT Student:</t>
        </r>
        <r>
          <rPr>
            <sz val="9"/>
            <color indexed="81"/>
            <rFont val="Tahoma"/>
            <family val="2"/>
          </rPr>
          <t xml:space="preserve">
CB to remove Gold.
</t>
        </r>
      </text>
    </comment>
    <comment ref="Y47" authorId="0" shapeId="0" xr:uid="{214D4F3B-9257-4A2F-AC0A-149E31F0CCA1}">
      <text>
        <r>
          <rPr>
            <b/>
            <sz val="9"/>
            <color indexed="81"/>
            <rFont val="Tahoma"/>
            <family val="2"/>
          </rPr>
          <t>McCalmont, Emma L. - SDSMT Student:</t>
        </r>
        <r>
          <rPr>
            <sz val="9"/>
            <color indexed="81"/>
            <rFont val="Tahoma"/>
            <family val="2"/>
          </rPr>
          <t xml:space="preserve">
Washes 3 time: incorporate reuse here ?</t>
        </r>
      </text>
    </comment>
    <comment ref="Y48" authorId="0" shapeId="0" xr:uid="{CFB3451A-2E6E-4EE6-88C0-D4D140ED4B03}">
      <text>
        <r>
          <rPr>
            <b/>
            <sz val="9"/>
            <color indexed="81"/>
            <rFont val="Tahoma"/>
            <family val="2"/>
          </rPr>
          <t>McCalmont, Emma L. - SDSMT Student:</t>
        </r>
        <r>
          <rPr>
            <sz val="9"/>
            <color indexed="81"/>
            <rFont val="Tahoma"/>
            <family val="2"/>
          </rPr>
          <t xml:space="preserve">
Washed 4 times 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<sst xmlns="http://schemas.openxmlformats.org/spreadsheetml/2006/main" count="1583" uniqueCount="777">
  <si>
    <t>https://www.epa.gov/watersense/understanding-your-water-bill</t>
  </si>
  <si>
    <t>1 G</t>
  </si>
  <si>
    <t>cm3</t>
  </si>
  <si>
    <t>1 Btu/hr</t>
  </si>
  <si>
    <t>kW</t>
  </si>
  <si>
    <t xml:space="preserve">Cost- Industrial </t>
  </si>
  <si>
    <t>1L</t>
  </si>
  <si>
    <t>Flow</t>
  </si>
  <si>
    <t>$ per Unit (1 g)</t>
  </si>
  <si>
    <t xml:space="preserve">Unit </t>
  </si>
  <si>
    <t xml:space="preserve">Cost of Material </t>
  </si>
  <si>
    <t xml:space="preserve">Amount </t>
  </si>
  <si>
    <t xml:space="preserve">Cited </t>
  </si>
  <si>
    <t xml:space="preserve">Abbreviation </t>
  </si>
  <si>
    <t>Chemical Formula</t>
  </si>
  <si>
    <t xml:space="preserve">Density </t>
  </si>
  <si>
    <t xml:space="preserve">unit </t>
  </si>
  <si>
    <t>Cites</t>
  </si>
  <si>
    <t xml:space="preserve">2 machines from SONG power capacity average, </t>
  </si>
  <si>
    <t xml:space="preserve">Input </t>
  </si>
  <si>
    <t xml:space="preserve">Energy </t>
  </si>
  <si>
    <t>Electricity (industrial 2021)</t>
  </si>
  <si>
    <t>kWh</t>
  </si>
  <si>
    <t>1 kWh</t>
  </si>
  <si>
    <t>https://www.statista.com/statistics/190680/us-industrial-consumer-price-estimates-for-retail-electricity-since-1970/</t>
  </si>
  <si>
    <t xml:space="preserve">Diesel </t>
  </si>
  <si>
    <t>g</t>
  </si>
  <si>
    <t xml:space="preserve">Materials </t>
  </si>
  <si>
    <t>Acetone</t>
  </si>
  <si>
    <t>TON</t>
  </si>
  <si>
    <t>https://www.chemanalyst.com/Pricing-data/acetone-12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</si>
  <si>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</si>
  <si>
    <t>g/cm3</t>
  </si>
  <si>
    <t>https://pubchem.ncbi.nlm.nih.gov/compound/Acetone#section=Density</t>
  </si>
  <si>
    <t>Adhesive tape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</si>
  <si>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</si>
  <si>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Butyalmine (BA)</t>
  </si>
  <si>
    <t>ton</t>
  </si>
  <si>
    <t xml:space="preserve">Butyaline </t>
  </si>
  <si>
    <t>BA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</si>
  <si>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N</t>
    </r>
  </si>
  <si>
    <t>https://pubchem.ncbi.nlm.nih.gov/compound/Butylamine#section=Density</t>
  </si>
  <si>
    <t>Chlorobenzene</t>
  </si>
  <si>
    <t>kg</t>
  </si>
  <si>
    <t>https://www.alibaba.com/product-detail/Chlorobenzene-Mono-Chlorobenzene-Cas-108-90_1600097178314.html?spm=a2700.7724857.0.0.13eb1a448NXAQj&amp;s=p</t>
  </si>
  <si>
    <t>CB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</si>
  <si>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Cl</t>
    </r>
  </si>
  <si>
    <t>https://pubchem.ncbi.nlm.nih.gov/compound/Chlorobenzene#section=Density</t>
  </si>
  <si>
    <t>DMF</t>
  </si>
  <si>
    <t>https://www.alibaba.com/product-detail/Dmf-Dmf-99-95-Buy-Low_11000002551419.html?spm=a2700.galleryofferlist.topad_creative.d_title.38294fc0tBYozi</t>
  </si>
  <si>
    <t>N, N-Dimethylformamide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</si>
  <si>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NO</t>
    </r>
  </si>
  <si>
    <t>https://pubchem.ncbi.nlm.nih.gov/compound/DMF#section=Solubility</t>
  </si>
  <si>
    <t xml:space="preserve">Ethanol </t>
  </si>
  <si>
    <t>https://www.chemanalyst.com/Pricing-data/ethanol-13</t>
  </si>
  <si>
    <t>EtOH</t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</si>
  <si>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OH</t>
    </r>
  </si>
  <si>
    <t>https://pubchem.ncbi.nlm.nih.gov/compound/Ethanol#section=Density</t>
  </si>
  <si>
    <t>Acetic Acid</t>
  </si>
  <si>
    <t>https://www.chemanalyst.com/Pricing-data/acetic-acid-9</t>
  </si>
  <si>
    <t xml:space="preserve">Acetic Acid </t>
  </si>
  <si>
    <t>https://www.sigmaaldrich.com/US/en/product/sigald/a6283</t>
  </si>
  <si>
    <t xml:space="preserve">Ethyl Acetate </t>
  </si>
  <si>
    <t>https://www.chemanalyst.com/Pricing-data/ethyl-acetate-75</t>
  </si>
  <si>
    <t>EA</t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</si>
  <si>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COOCH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CH</t>
    </r>
    <r>
      <rPr>
        <vertAlign val="subscript"/>
        <sz val="11"/>
        <color theme="1"/>
        <rFont val="Calibri"/>
        <family val="2"/>
        <scheme val="minor"/>
      </rPr>
      <t>3</t>
    </r>
  </si>
  <si>
    <t>https://pubchem.ncbi.nlm.nih.gov/compound/EthylAcetate#section=Density</t>
  </si>
  <si>
    <t>Hydrochloric Acid (HCL)</t>
  </si>
  <si>
    <t xml:space="preserve">Hydrochloric Acid </t>
  </si>
  <si>
    <t>HCL</t>
  </si>
  <si>
    <t>https://www.newworldencyclopedia.org/entry/hydrochloric_acid</t>
  </si>
  <si>
    <t>Hydroioidic acid (HI)</t>
  </si>
  <si>
    <t>Hydroiodic acid</t>
  </si>
  <si>
    <t>HI</t>
  </si>
  <si>
    <t>Nitric Acid (HNO3)</t>
  </si>
  <si>
    <t xml:space="preserve">Cheanaylist </t>
  </si>
  <si>
    <t xml:space="preserve">Nitric Acid </t>
  </si>
  <si>
    <t>g/mc3</t>
  </si>
  <si>
    <t>https://pubchem.ncbi.nlm.nih.gov/compound/Nitric-acid#section=Solubility</t>
  </si>
  <si>
    <t xml:space="preserve">Choline chloride </t>
  </si>
  <si>
    <t>https://www.alibaba.com/product-detail/choline-chloride-price_60017562075.html?spm=a2700.7724857.0.0.60841c900AXwc7</t>
  </si>
  <si>
    <t>Choline Chloirde</t>
  </si>
  <si>
    <t>ChCl</t>
  </si>
  <si>
    <t>https://echa.europa.eu/registration-dossier/-/registered-dossier/5360/4/5#:~:text=The%20density%20of%20a%2070%25%20aqueous%20choline%20chloride%20solution%20was,cm%C2%B3%20at%20%2D20%C2%B0C.</t>
  </si>
  <si>
    <t>Ethylene glycol</t>
  </si>
  <si>
    <t>https://www.chemanalyst.com/Pricing-data/diethylene-glycol-66</t>
  </si>
  <si>
    <t>Ethylene Glycol</t>
  </si>
  <si>
    <t>EG</t>
  </si>
  <si>
    <t>https://www.sigmaaldrich.com/US/en/product/sial/324558</t>
  </si>
  <si>
    <t>y-butyrolactone (GBL)</t>
  </si>
  <si>
    <t>https://www.alibaba.com/product-detail/High-purity-99-min-S-3_1600434226686.html?spm=a2700.7724857.0.0.6c866739iKiJH8</t>
  </si>
  <si>
    <t>GBL</t>
  </si>
  <si>
    <t>https://www.chembk.com/en/chem/%CE%B3-butyrolactone</t>
  </si>
  <si>
    <t>Dimethly Sulfoxide (DMSO)</t>
  </si>
  <si>
    <t>https://www.alibaba.com/product-detail/Industrial-Grade-Low-Price-Dimethyl-Sulfoxide_1600464481012.html?spm=a2700.7724857.0.0.435744b4bymKgu</t>
  </si>
  <si>
    <t>DMSO</t>
  </si>
  <si>
    <t>https://www.gaylordchemical.com/products/literature/physical-properties/</t>
  </si>
  <si>
    <t xml:space="preserve">Potassium Iodide </t>
  </si>
  <si>
    <t>https://www.sigmaaldrich.com/US/en/product/sigald/221945</t>
  </si>
  <si>
    <t>https://www.mccsd.net/cms/lib/NY02208580/Centricity/Shared/Material%20Safety%20Data%20Sheets%20_MSDS_/MSDS%20Sheets_Potassium_Iodide_575_00.pdf</t>
  </si>
  <si>
    <t>isopropanol</t>
  </si>
  <si>
    <t>https://www.chemanalyst.com/Pricing-data/isopropyl-alcohol-31</t>
  </si>
  <si>
    <t>N2</t>
  </si>
  <si>
    <t>https://www.sigmaaldrich.com/US/en/product/sigald/563935</t>
  </si>
  <si>
    <t>NH3</t>
  </si>
  <si>
    <t>https://www.chemanalyst.com/Pricing-data/ammonia-37</t>
  </si>
  <si>
    <t>50 L</t>
  </si>
  <si>
    <t xml:space="preserve">Silicon Oil </t>
  </si>
  <si>
    <t>https://www.alibaba.com/product-detail/COSIL-100-Pure-Silicone-Oil-50_1600526601310.html?spm=a2700.7724857.0.0.550e412furlVFa</t>
  </si>
  <si>
    <t>https://www.sigmaaldrich.com/US/en/product/mm/107742</t>
  </si>
  <si>
    <t xml:space="preserve">Water </t>
  </si>
  <si>
    <t>gal</t>
  </si>
  <si>
    <t xml:space="preserve">Diethly ether </t>
  </si>
  <si>
    <t>https://www.alibaba.com/showroom/price-diethyl-ether.html</t>
  </si>
  <si>
    <t>Ether</t>
  </si>
  <si>
    <t>https://www.emdmillipore.com/US/en/product/Diethyl-ether,MDA_CHEM-100930</t>
  </si>
  <si>
    <t>Hydroxyapatite</t>
  </si>
  <si>
    <t>https://www.alibaba.com/product-detail/Factory-quality-Hydroxyapatite-CAS-1306-06_1600452935153.html?spm=a2700.7724857.0.0.1d68db9a4shrUY</t>
  </si>
  <si>
    <t>HAP</t>
  </si>
  <si>
    <t>https://www.ncbi.nlm.nih.gov/pmc/articles/PMC6317412/#:~:text=Literature%20data%20show%20that%20the,%2Fcm3%20%5B48%5D.</t>
  </si>
  <si>
    <t xml:space="preserve">Pb Foil </t>
  </si>
  <si>
    <t>m2</t>
  </si>
  <si>
    <t xml:space="preserve">Methane </t>
  </si>
  <si>
    <t>24 L</t>
  </si>
  <si>
    <t>https://www.sigmaaldrich.com/US/en/product/aldrich/463035</t>
  </si>
  <si>
    <t>Ch4</t>
  </si>
  <si>
    <t xml:space="preserve">2, materials electrivity </t>
  </si>
  <si>
    <t>AIR Compressor</t>
  </si>
  <si>
    <t>https://www.toolots.com/ar-50lg-460-airrun-ar-50lg-460-dh26rxlbn.html/ng-frontend/?gclid=Cj0KCQjwhsmaBhCvARIsAIbEbH5ZiWY6lxL5aBN85jQrruMrtOgmch27vQ3EMQ0usgJVeBhuSt_uq7saAgUyEALw_wcB/#/productDetail?id=75351&amp;title=215CFM%20Industrial%20Electric%20Rotary%20Screw%20Air%20Compressor%2050hp%20116PSI%20460V%2060HZ%203%20Phase</t>
  </si>
  <si>
    <t>Drying with N2</t>
  </si>
  <si>
    <t>Vacuum</t>
  </si>
  <si>
    <t>https://www.southernlabware.com/vacuum-filtration-kit-with-47mm-glass-filtration-set-with-fritted-glass-base.html</t>
  </si>
  <si>
    <t xml:space="preserve">Hot plate </t>
  </si>
  <si>
    <t xml:space="preserve">Hotplate </t>
  </si>
  <si>
    <t xml:space="preserve"> </t>
  </si>
  <si>
    <t>Electrodeposition</t>
  </si>
  <si>
    <t>kw</t>
  </si>
  <si>
    <t>https://www.tequipment.net/Keithley/2450-EC/Potentiostats/?Source=googleshopping&amp;gclid=CjwKCAjw5P2aBhAlEiwAAdY7dE8QOhr5toUc8nbvw4bXhCKfYOzSdGrqecTmc_-RcaVQ9dn3NB5ZdhoChpUQAvD_BwE#description</t>
  </si>
  <si>
    <t xml:space="preserve">Ion Exchange </t>
  </si>
  <si>
    <t xml:space="preserve">Thermcal Decomposition </t>
  </si>
  <si>
    <t>https://www.katom.com/013-JA8X1202083.html?gclid=CjwKCAjw4c-ZBhAEEiwAZ105ReoznndC9LWujxzIczyu2PRyBUAu563PbMAYZDzTIcpKjGq5M_-UJRoCxagQAvD_BwE</t>
  </si>
  <si>
    <t xml:space="preserve">Thermal </t>
  </si>
  <si>
    <t xml:space="preserve">Centrifugre </t>
  </si>
  <si>
    <t>https://www.toolots.com/tgl20m-24-1p5-xiangmaida-tgl20m-24-1p5-r2kvx8lxk.html/ng-frontend//#/productDetail?id=68344&amp;title=Refrigerated%20Universal%20Centrifuge%20with%2024%20x%201.5/2%20ml%20Fixed%20Angle%20Rotor%20110V</t>
  </si>
  <si>
    <t>Bunsen Burner</t>
  </si>
  <si>
    <t xml:space="preserve">Refridgerator </t>
  </si>
  <si>
    <t>https://k2sci.com/10-cu-ft-vaccine-medical-glass-door-upright-refrigerator/?gclid=CjwKCAjw-rOaBhA9EiwAUkLV4nk8HK4o-SSFal9Ms_ws9MrVcTWHHnTUVK8thXTLWF1xM6WqMwCa_hoCzHoQAvD_BwE</t>
  </si>
  <si>
    <t>Refridgerator</t>
  </si>
  <si>
    <t xml:space="preserve">Filter </t>
  </si>
  <si>
    <t xml:space="preserve">per filter </t>
  </si>
  <si>
    <t>filter</t>
  </si>
  <si>
    <t xml:space="preserve">Pb foil </t>
  </si>
  <si>
    <t xml:space="preserve">30X30cm </t>
  </si>
  <si>
    <t>https://www.fishersci.com/shop/products/lead-foil-1-6mm-0-063in-thick-30x30cm-99-metals-basis-thermo-scientific/AA00708KF?ef_id=CjwKCAjwvsqZBhAlEiwAqAHElaX7sTKyP1V-yVUOQpBKUfUFGoGXC6nv_3y2wAgDJg_WbY8TEOtDhxoCQ4EQAvD_BwE:G:s&amp;ppc_id=PLA_goog_16713066638__AA00708KF___17279430553597574089&amp;ev_chn=shop&amp;s_kwcid=AL!4428!3!!!!x!!AA00708KF&amp;gclid=CjwKCAjwvsqZBhAlEiwAqAHElaX7sTKyP1V-yVUOQpBKUfUFGoGXC6nv_3y2wAgDJg_WbY8TEOtDhxoCQ4EQAvD_BwE</t>
  </si>
  <si>
    <t xml:space="preserve">Intermediate </t>
  </si>
  <si>
    <t>Pb</t>
  </si>
  <si>
    <t xml:space="preserve">M ton </t>
  </si>
  <si>
    <t>https://www.usgs.gov/media/files/lead-historical-statistics-data-series-140</t>
  </si>
  <si>
    <t>Cu</t>
  </si>
  <si>
    <t>https://www.usgs.gov/centers/national-minerals-information-center/historical-statistics-mineral-and-material-commodities</t>
  </si>
  <si>
    <t>Al</t>
  </si>
  <si>
    <t>https://www.usgs.gov/media/files/aluminum-historical-statistics-data-series-140</t>
  </si>
  <si>
    <t>Sn</t>
  </si>
  <si>
    <t>https://www.usgs.gov/media/files/tin-historical-statistics-data-series-140</t>
  </si>
  <si>
    <t>Au</t>
  </si>
  <si>
    <t>https://www.usgs.gov/media/files/gold-historical-statistics-data-series-140</t>
  </si>
  <si>
    <t>Ag</t>
  </si>
  <si>
    <t>Front Glass</t>
  </si>
  <si>
    <t>Back Glass</t>
  </si>
  <si>
    <t>Value</t>
  </si>
  <si>
    <t>Process</t>
  </si>
  <si>
    <t>BC</t>
  </si>
  <si>
    <t>HTL</t>
  </si>
  <si>
    <t>ETL</t>
  </si>
  <si>
    <t>Deionized water</t>
  </si>
  <si>
    <t>Ethanol</t>
  </si>
  <si>
    <t>Water</t>
  </si>
  <si>
    <t>Butylamine</t>
  </si>
  <si>
    <t xml:space="preserve">Literature Review </t>
  </si>
  <si>
    <t>Binek (2016)</t>
  </si>
  <si>
    <t>units</t>
  </si>
  <si>
    <t xml:space="preserve">Total Cost </t>
  </si>
  <si>
    <t xml:space="preserve">Back Contact Delamintation </t>
  </si>
  <si>
    <t xml:space="preserve">Adhesive tape </t>
  </si>
  <si>
    <t>HEATING</t>
  </si>
  <si>
    <t>Bunsen Burner (3min)</t>
  </si>
  <si>
    <t xml:space="preserve">Output </t>
  </si>
  <si>
    <t xml:space="preserve">Back Contact </t>
  </si>
  <si>
    <t xml:space="preserve">Hole Transport Layer Delamination </t>
  </si>
  <si>
    <t xml:space="preserve">Chlorobenzene </t>
  </si>
  <si>
    <t>Air Compressor (30sec)</t>
  </si>
  <si>
    <t>Spiro-OMeTAD</t>
  </si>
  <si>
    <t>Absorber Layer Delamination</t>
  </si>
  <si>
    <t xml:space="preserve">reuse factor </t>
  </si>
  <si>
    <t>cost w/ reuse</t>
  </si>
  <si>
    <t>from CHEMANALYST</t>
  </si>
  <si>
    <t>$3000/ton march 2022</t>
  </si>
  <si>
    <t>Alibaba</t>
  </si>
  <si>
    <t>$1100/ton from alibaba</t>
  </si>
  <si>
    <t>DMF new</t>
  </si>
  <si>
    <t>Hot plate (10 min)</t>
  </si>
  <si>
    <t>Vacuum (assume 5mins)</t>
  </si>
  <si>
    <t>Refluxing water</t>
  </si>
  <si>
    <t>Cooling 4C</t>
  </si>
  <si>
    <t>Filtration</t>
  </si>
  <si>
    <t>Vaccum (Assume 5 mins)</t>
  </si>
  <si>
    <t>MAI</t>
  </si>
  <si>
    <t>PbI2</t>
  </si>
  <si>
    <t>Filter</t>
  </si>
  <si>
    <t>Binek* (2016)</t>
  </si>
  <si>
    <t>Ethyl Acetate new</t>
  </si>
  <si>
    <t>$0.0016/g</t>
  </si>
  <si>
    <t xml:space="preserve">Back Contact + HTL Delamintation </t>
  </si>
  <si>
    <t>Input</t>
  </si>
  <si>
    <t xml:space="preserve">Filtration </t>
  </si>
  <si>
    <t>Output</t>
  </si>
  <si>
    <t>Back Contact</t>
  </si>
  <si>
    <t xml:space="preserve">Spiro-OMeTAD </t>
  </si>
  <si>
    <t xml:space="preserve">Same process as above </t>
  </si>
  <si>
    <t>Hot plate</t>
  </si>
  <si>
    <t xml:space="preserve">Vaccum </t>
  </si>
  <si>
    <t xml:space="preserve">Electron transport Layer </t>
  </si>
  <si>
    <t xml:space="preserve">hot plate </t>
  </si>
  <si>
    <t xml:space="preserve">Chlorobenze </t>
  </si>
  <si>
    <t>Diethyl ether new cost</t>
  </si>
  <si>
    <t>$4.5/kg</t>
  </si>
  <si>
    <t xml:space="preserve">Back Contact + HTL + Absorber Delamination </t>
  </si>
  <si>
    <t>Diethyl ether</t>
  </si>
  <si>
    <t>`</t>
  </si>
  <si>
    <t>Centrigfuge (assume 5 min)</t>
  </si>
  <si>
    <t xml:space="preserve">hydroxyapatite </t>
  </si>
  <si>
    <t xml:space="preserve">filter </t>
  </si>
  <si>
    <t>Kim 2, (2016)</t>
  </si>
  <si>
    <t xml:space="preserve">HAP </t>
  </si>
  <si>
    <t xml:space="preserve">Centrigfuge </t>
  </si>
  <si>
    <t>Kim 3, (2016)</t>
  </si>
  <si>
    <t>Poll (2016)</t>
  </si>
  <si>
    <t>EG,ChCl, MAPbI3 mole ratio (2:1:0.00057) total volume 40 mL</t>
  </si>
  <si>
    <t xml:space="preserve"> Absorber Delamination </t>
  </si>
  <si>
    <t xml:space="preserve">200ml flask </t>
  </si>
  <si>
    <t xml:space="preserve">silicon oil </t>
  </si>
  <si>
    <t>12 hr</t>
  </si>
  <si>
    <t>output</t>
  </si>
  <si>
    <t xml:space="preserve">Ethylene glycol </t>
  </si>
  <si>
    <t xml:space="preserve">choline Chloride </t>
  </si>
  <si>
    <t>7.5 cm2</t>
  </si>
  <si>
    <t>Isopropanol</t>
  </si>
  <si>
    <t>$1450/ton</t>
  </si>
  <si>
    <t xml:space="preserve">Isopropanol </t>
  </si>
  <si>
    <t>IPA new</t>
  </si>
  <si>
    <t>Electrodeposition (120 hrs)</t>
  </si>
  <si>
    <t xml:space="preserve">Back Contact + HTL Delamination </t>
  </si>
  <si>
    <t>Back contact</t>
  </si>
  <si>
    <t>Ethanol cost</t>
  </si>
  <si>
    <t>$0.87/kg</t>
  </si>
  <si>
    <t xml:space="preserve">Absorber Delamination </t>
  </si>
  <si>
    <t>EtOH new</t>
  </si>
  <si>
    <t xml:space="preserve">Back Contact + HTL + Absorber + ETL Delamination </t>
  </si>
  <si>
    <t>input</t>
  </si>
  <si>
    <t>Acetic acid</t>
  </si>
  <si>
    <t xml:space="preserve">ETL cleaning </t>
  </si>
  <si>
    <t>$1100/ton</t>
  </si>
  <si>
    <t>Acetone NEW</t>
  </si>
  <si>
    <t xml:space="preserve">Chlorobenzne </t>
  </si>
  <si>
    <t>water</t>
  </si>
  <si>
    <t xml:space="preserve">Ozone+Ultraviolet </t>
  </si>
  <si>
    <t>Glass</t>
  </si>
  <si>
    <t>FTO</t>
  </si>
  <si>
    <t>TiO2</t>
  </si>
  <si>
    <t>adhesive tape</t>
  </si>
  <si>
    <t xml:space="preserve">Hole transport Layer </t>
  </si>
  <si>
    <t>Thermal Decomposition (30 min)</t>
  </si>
  <si>
    <t xml:space="preserve">Centrufuge </t>
  </si>
  <si>
    <t xml:space="preserve">HI solution </t>
  </si>
  <si>
    <t xml:space="preserve">Di wash </t>
  </si>
  <si>
    <t xml:space="preserve">BC, HTL, Absorber, ETL Delamination </t>
  </si>
  <si>
    <t>Spiro</t>
  </si>
  <si>
    <t>Feng (2021)</t>
  </si>
  <si>
    <t>$1.9/kg</t>
  </si>
  <si>
    <t>Butyaline  (BA)</t>
  </si>
  <si>
    <t>Thermal delamination of panels</t>
  </si>
  <si>
    <t>Thermal treatment to remoce the encapsulent</t>
  </si>
  <si>
    <r>
      <t xml:space="preserve">500 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</si>
  <si>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30min</t>
  </si>
  <si>
    <t xml:space="preserve">power consumption </t>
  </si>
  <si>
    <t>https://nabertherm.com/en/products/laboratory/muffle-furnaces/muffle-furnaces-1100-degc-or-1200-degc</t>
  </si>
  <si>
    <t>for 30 min (kWh)</t>
  </si>
  <si>
    <t>electricity cost</t>
  </si>
  <si>
    <t>per gram</t>
  </si>
  <si>
    <t>sulfuric acid</t>
  </si>
  <si>
    <t>https://www.indexbox.io/blog/sulphuric-acid-price-per-ton-april-2022/#:~:text=U.S.%20Sulphuric%20Acid%20Price%20per,monthly%20rate%20of%20%2B8.5%25.</t>
  </si>
  <si>
    <t>1G</t>
  </si>
  <si>
    <t>our assumption</t>
  </si>
  <si>
    <t>hydrogen peroxide (50% water)</t>
  </si>
  <si>
    <t>https://www.chemanalyst.com/Pricing-data/hydrogen-peroxide-1169</t>
  </si>
  <si>
    <t>NaOH (50% water)</t>
  </si>
  <si>
    <t>https://www.indexbox.io/blog/caustic-soda-price-per-ton-april-2022/</t>
  </si>
  <si>
    <t>Electricity</t>
  </si>
  <si>
    <t>per gallon</t>
  </si>
  <si>
    <t>assume 1 gallon DI watar cost $1</t>
  </si>
  <si>
    <t>1 kg of DI water cost $0.263</t>
  </si>
  <si>
    <t>PER g</t>
  </si>
  <si>
    <t>CdTe recycling of 1 m2 module</t>
  </si>
  <si>
    <t>1kg= 0.26 Gallon</t>
  </si>
  <si>
    <t>for 1m2</t>
  </si>
  <si>
    <t>1 Gallon= 3.79 kg</t>
  </si>
  <si>
    <t xml:space="preserve">kg to </t>
  </si>
  <si>
    <t>gallons</t>
  </si>
  <si>
    <t>G</t>
  </si>
  <si>
    <t xml:space="preserve">kg Co2 </t>
  </si>
  <si>
    <t>H2SO3</t>
  </si>
  <si>
    <t>https://www.chemanalyst.com/Pricing-data/sulphuric-acid-70</t>
  </si>
  <si>
    <t>H2O2</t>
  </si>
  <si>
    <t xml:space="preserve">Ton </t>
  </si>
  <si>
    <t xml:space="preserve">Surfactant </t>
  </si>
  <si>
    <t>Chemaanalyst</t>
  </si>
  <si>
    <t>NaOH</t>
  </si>
  <si>
    <t>SO2</t>
  </si>
  <si>
    <t>D2EPHA</t>
  </si>
  <si>
    <t xml:space="preserve">TON </t>
  </si>
  <si>
    <t>alibaba</t>
  </si>
  <si>
    <t>Toluene</t>
  </si>
  <si>
    <t>https://www.chemanalyst.com/Pricing-data/toluene-30</t>
  </si>
  <si>
    <t>HCI</t>
  </si>
  <si>
    <t>https://www.chemanalyst.com/Pricing-data/hydrochloric-acid-61</t>
  </si>
  <si>
    <t xml:space="preserve">NaOH </t>
  </si>
  <si>
    <t xml:space="preserve">Electicty </t>
  </si>
  <si>
    <t>kWH</t>
  </si>
  <si>
    <t>Recycled Components  </t>
  </si>
  <si>
    <t>Efficiency (%) </t>
  </si>
  <si>
    <t>Cost ($/m2) </t>
  </si>
  <si>
    <t>Cover Glass </t>
  </si>
  <si>
    <t>99.2 </t>
  </si>
  <si>
    <t>3.18 </t>
  </si>
  <si>
    <t>Aluminum (Al) </t>
  </si>
  <si>
    <t>100 </t>
  </si>
  <si>
    <t>1 </t>
  </si>
  <si>
    <t>PbI2 </t>
  </si>
  <si>
    <t>94 </t>
  </si>
  <si>
    <t>3.02 </t>
  </si>
  <si>
    <t>TiO2 </t>
  </si>
  <si>
    <t>0.5 </t>
  </si>
  <si>
    <t>ITO/glass </t>
  </si>
  <si>
    <t>6.4  </t>
  </si>
  <si>
    <t>Total  </t>
  </si>
  <si>
    <r>
      <t>$13.65 per m</t>
    </r>
    <r>
      <rPr>
        <vertAlign val="superscript"/>
        <sz val="8"/>
        <rFont val="Times New Roman"/>
        <family val="1"/>
      </rPr>
      <t>2</t>
    </r>
    <r>
      <rPr>
        <sz val="10"/>
        <rFont val="Times New Roman"/>
        <family val="1"/>
      </rPr>
      <t xml:space="preserve"> of module  </t>
    </r>
  </si>
  <si>
    <t>Bo Chen Paper</t>
  </si>
  <si>
    <t>Schmidt (2022)</t>
  </si>
  <si>
    <t>L(T) 9/11 MODEL</t>
  </si>
  <si>
    <t>Width</t>
  </si>
  <si>
    <t>d</t>
  </si>
  <si>
    <t>Height</t>
  </si>
  <si>
    <t>230mm</t>
  </si>
  <si>
    <t>240mm</t>
  </si>
  <si>
    <t>170mm</t>
  </si>
  <si>
    <t xml:space="preserve">Synthetic mixture Perovskite </t>
  </si>
  <si>
    <t xml:space="preserve">Vaccume mircofiltration </t>
  </si>
  <si>
    <t>Hot plate (62.5 mins @ 50C) ---This is optimized</t>
  </si>
  <si>
    <t>m</t>
  </si>
  <si>
    <t>m3</t>
  </si>
  <si>
    <t>m^3</t>
  </si>
  <si>
    <t xml:space="preserve">g </t>
  </si>
  <si>
    <t>unit</t>
  </si>
  <si>
    <t>Vacum (Assume 5 mins)</t>
  </si>
  <si>
    <t>"hammer milling/shredding"  from Maani (Celik) et al 2020* (Giacchetta er al 2013)</t>
  </si>
  <si>
    <t>PbI2 (from paper)</t>
  </si>
  <si>
    <t>Meng Ren (2021)</t>
  </si>
  <si>
    <t xml:space="preserve">Adhesive </t>
  </si>
  <si>
    <t>metal electrodes</t>
  </si>
  <si>
    <t>(degrades perovskite)</t>
  </si>
  <si>
    <t>Zeolite</t>
  </si>
  <si>
    <t xml:space="preserve">methanol </t>
  </si>
  <si>
    <t>Insudtrial cost($)</t>
  </si>
  <si>
    <t>https://www.alibaba.com/trade/search?fsb=y&amp;IndexArea=product_en&amp;CatId=&amp;tab=all&amp;SearchText=zeolite</t>
  </si>
  <si>
    <t xml:space="preserve">ITO/Glass Substarates </t>
  </si>
  <si>
    <t>Solvent containing PbI2</t>
  </si>
  <si>
    <t>Filter (0.22um)</t>
  </si>
  <si>
    <t xml:space="preserve">Activated Carbon </t>
  </si>
  <si>
    <t>DMF (9:1)</t>
  </si>
  <si>
    <t>DMSO (1:9)</t>
  </si>
  <si>
    <t>Hot plate (assum 60 min)</t>
  </si>
  <si>
    <t>Kwh</t>
  </si>
  <si>
    <t>drying Air (30 sec)</t>
  </si>
  <si>
    <t>Drying Air (assume 30 sec)</t>
  </si>
  <si>
    <t>Fei Deng (2022)</t>
  </si>
  <si>
    <t>NO DMF</t>
  </si>
  <si>
    <t xml:space="preserve">FRAME Delaminiation </t>
  </si>
  <si>
    <t xml:space="preserve">ETL/ITO coated glass </t>
  </si>
  <si>
    <t xml:space="preserve">Iodine salt solution </t>
  </si>
  <si>
    <t xml:space="preserve">Ion exchange resin </t>
  </si>
  <si>
    <t>Acid</t>
  </si>
  <si>
    <t xml:space="preserve">10% assume </t>
  </si>
  <si>
    <t>1cm^3</t>
  </si>
  <si>
    <t xml:space="preserve">Hydrogen Iodine </t>
  </si>
  <si>
    <t>Aya Heiho (2023) a-3</t>
  </si>
  <si>
    <t>Hot knife</t>
  </si>
  <si>
    <t xml:space="preserve">Cover glass </t>
  </si>
  <si>
    <t xml:space="preserve">output </t>
  </si>
  <si>
    <t>Cu busbar</t>
  </si>
  <si>
    <t xml:space="preserve">Metal particles </t>
  </si>
  <si>
    <t>https://www.hotwiresystems.com/hot-knife-cutter-hws250/</t>
  </si>
  <si>
    <t>Hot knife (124s)</t>
  </si>
  <si>
    <t>High Voltage Pulse</t>
  </si>
  <si>
    <t>https://www.google.com/shopping/product/1?client=firefox-b-1-d&amp;q=high+voltage+pulsed+power+supply&amp;prds=epd:17310920675415094050,eto:17310920675415094050_0,pid:17310920675415094050&amp;sa=X&amp;ved=0ahUKEwjfwqbglMD9AhXpkIkEHVIeDYEQ9pwGCAs</t>
  </si>
  <si>
    <t>Silicon PV extract Cu,Ag, Cover glass</t>
  </si>
  <si>
    <t xml:space="preserve">Where is Mn and Zn coming from??-trace amounts could be from error </t>
  </si>
  <si>
    <t>L</t>
  </si>
  <si>
    <t>FIXX</t>
  </si>
  <si>
    <t>KI salt solution (1.5M)</t>
  </si>
  <si>
    <t xml:space="preserve">g/mol </t>
  </si>
  <si>
    <t>MW</t>
  </si>
  <si>
    <t xml:space="preserve">Stirrer Rod </t>
  </si>
  <si>
    <t xml:space="preserve">100 pieces </t>
  </si>
  <si>
    <t>https://www.alibaba.com/trade/search?tab=all&amp;searchText=magnetic+stirrer+rod+</t>
  </si>
  <si>
    <t>https://pubchem.ncbi.nlm.nih.gov/compound/Hydriodic-acid#section=Chemical-and-Physical-Properties</t>
  </si>
  <si>
    <t>https://pubchem.ncbi.nlm.nih.gov/compound/Potassium-iodide#section=Chemical-and-Physical-Properties</t>
  </si>
  <si>
    <t>Back Contact Delamintation +ETL/ TCO coated glass</t>
  </si>
  <si>
    <t xml:space="preserve">Absorber PbI2 extraction </t>
  </si>
  <si>
    <t>KI</t>
  </si>
  <si>
    <t>HI (0.5M)</t>
  </si>
  <si>
    <t>Our Method (*2023)</t>
  </si>
  <si>
    <t>https://www.alibaba.com/trade/search?fsb=y&amp;IndexArea=product_en&amp;CatId=&amp;tab=all&amp;SearchText=ion+exchange+resin+9600</t>
  </si>
  <si>
    <t>IXR</t>
  </si>
  <si>
    <t>Ion Exchange Resin (Amberlite)</t>
  </si>
  <si>
    <t>A</t>
  </si>
  <si>
    <t>2dm^2</t>
  </si>
  <si>
    <t>Vacuum (assume 5 min)</t>
  </si>
  <si>
    <t>Cooling 4C (2 hr)</t>
  </si>
  <si>
    <t>Air Compressor (30 sec)</t>
  </si>
  <si>
    <t>hot plate (assume 10 min)</t>
  </si>
  <si>
    <t>FTO glass</t>
  </si>
  <si>
    <t>Kim1 (2016)</t>
  </si>
  <si>
    <t xml:space="preserve">DMF Assume 1/10 </t>
  </si>
  <si>
    <t>UV/O3 (10min)</t>
  </si>
  <si>
    <t xml:space="preserve">input </t>
  </si>
  <si>
    <t>ETL/TCO coated glass</t>
  </si>
  <si>
    <t xml:space="preserve">Ultrasonication </t>
  </si>
  <si>
    <t xml:space="preserve">Ozone-ultaviolet </t>
  </si>
  <si>
    <t>Ultrasonication( assume 5 min)</t>
  </si>
  <si>
    <t>Zang 2018/Li 2017</t>
  </si>
  <si>
    <t>Carbon based does not have HTL</t>
  </si>
  <si>
    <t>M</t>
  </si>
  <si>
    <t>Centrifuge (20 min)</t>
  </si>
  <si>
    <t>Ultrasonication (20 min)</t>
  </si>
  <si>
    <t>INVERTED</t>
  </si>
  <si>
    <t xml:space="preserve">BC+ HTL delamination </t>
  </si>
  <si>
    <t xml:space="preserve">Fiilter </t>
  </si>
  <si>
    <t>NiOx/ITO</t>
  </si>
  <si>
    <t>Hot plate (assume 20 min)</t>
  </si>
  <si>
    <t xml:space="preserve">tolunene </t>
  </si>
  <si>
    <t xml:space="preserve">Toluene </t>
  </si>
  <si>
    <t>Toulene</t>
  </si>
  <si>
    <t>https://www.chemicalbook.com/ChemicalProductProperty_EN_CB4233905.htm</t>
  </si>
  <si>
    <t>https://www.sigmaaldrich.com/US/en/product/sial/89700</t>
  </si>
  <si>
    <t xml:space="preserve">Ethyl acetate </t>
  </si>
  <si>
    <t xml:space="preserve">Methanol </t>
  </si>
  <si>
    <t>g/m3</t>
  </si>
  <si>
    <t>https://pubchem.ncbi.nlm.nih.gov/compound/Methanol#section=Solubility</t>
  </si>
  <si>
    <t>https://www.methanex.com/our-business/pricing</t>
  </si>
  <si>
    <t>https://www.ossila.com/en-us/products/uv-ozone-cleaner</t>
  </si>
  <si>
    <t>https://www.google.com/shopping/product/4926682564523026370?client=firefox-b-1-d&amp;q=ultrasonication+power+capacity&amp;prds=epd:11943910731971312097,eto:11943910731971312097_0,pid:5981180364280419906&amp;sa=X&amp;ved=0ahUKEwjfzb6Bgsj9AhXmjYkEHWfzC3wQ9pwGCA8</t>
  </si>
  <si>
    <t>Chowdhurry (2021)</t>
  </si>
  <si>
    <t>Kadro 2016</t>
  </si>
  <si>
    <t>Huang 2017</t>
  </si>
  <si>
    <t>Zhu 2020</t>
  </si>
  <si>
    <t xml:space="preserve">Pb only </t>
  </si>
  <si>
    <t>E</t>
  </si>
  <si>
    <t xml:space="preserve">Physical </t>
  </si>
  <si>
    <t xml:space="preserve">Chemical </t>
  </si>
  <si>
    <t>Cover Glass</t>
  </si>
  <si>
    <t>Hot Kife</t>
  </si>
  <si>
    <t xml:space="preserve">Thermal Decomp </t>
  </si>
  <si>
    <t xml:space="preserve">Absorber </t>
  </si>
  <si>
    <t>http://heaters.valadelectric.com/item/electric-hot-plates/tegories-electric-hot-plates-industrial-hot-plat-2/hp18x24-22-5-1</t>
  </si>
  <si>
    <t>Doctor Blade</t>
  </si>
  <si>
    <t>Doctor Blade (assume 30 sec)</t>
  </si>
  <si>
    <t>Docotr Blade (assume 30 sec)</t>
  </si>
  <si>
    <t xml:space="preserve">Autoclaving </t>
  </si>
  <si>
    <t xml:space="preserve">instrument </t>
  </si>
  <si>
    <t xml:space="preserve">Strong Chemical </t>
  </si>
  <si>
    <t xml:space="preserve">Ion Exange </t>
  </si>
  <si>
    <t>Precipitate (HI)</t>
  </si>
  <si>
    <t xml:space="preserve">ETL/Coated glass </t>
  </si>
  <si>
    <t xml:space="preserve">Cleaning 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</si>
  <si>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</si>
  <si>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t>poly(styrene-divinylbenzene)</t>
  </si>
  <si>
    <t>Autoclave</t>
  </si>
  <si>
    <t>https://www.futurehealthconcepts.com/tabletop-sterilizers-autoclaves/tuttnauer-3870m-large-capacity-manual-autoclave-sterilizer.html</t>
  </si>
  <si>
    <t>Autoclave (assume 2 hrs)</t>
  </si>
  <si>
    <t>XU 2017</t>
  </si>
  <si>
    <t>Collection to PV recycling plant</t>
  </si>
  <si>
    <t xml:space="preserve">Transportation </t>
  </si>
  <si>
    <r>
      <t>Total Cost ($/m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</si>
  <si>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# reuses</t>
  </si>
  <si>
    <t>Cover glass</t>
  </si>
  <si>
    <t>Absorber</t>
  </si>
  <si>
    <t>Cost</t>
  </si>
  <si>
    <t>H20</t>
  </si>
  <si>
    <t>Ion Exchange</t>
  </si>
  <si>
    <t>Instrum</t>
  </si>
  <si>
    <t>TOTAL</t>
  </si>
  <si>
    <t xml:space="preserve">Hot knife </t>
  </si>
  <si>
    <t>Thermal Delam</t>
  </si>
  <si>
    <t xml:space="preserve">Strong chamical </t>
  </si>
  <si>
    <t>Precipiatate HI</t>
  </si>
  <si>
    <t>ETL/coated glass</t>
  </si>
  <si>
    <t>Total</t>
  </si>
  <si>
    <t xml:space="preserve">Materials  </t>
  </si>
  <si>
    <t>Hot plate (overnight assume 8hrs)</t>
  </si>
  <si>
    <t>HI solution</t>
  </si>
  <si>
    <t xml:space="preserve">Zeolite </t>
  </si>
  <si>
    <t xml:space="preserve">Solubility BC: Chemical </t>
  </si>
  <si>
    <t xml:space="preserve">ref substance </t>
  </si>
  <si>
    <t xml:space="preserve">solubility </t>
  </si>
  <si>
    <t xml:space="preserve">gold </t>
  </si>
  <si>
    <t>Quantity (grams)</t>
  </si>
  <si>
    <t>Solubility Absorber: Chemical</t>
  </si>
  <si>
    <t xml:space="preserve">H20 </t>
  </si>
  <si>
    <t>MAPbI3</t>
  </si>
  <si>
    <t xml:space="preserve">Solubility Absorber :H20 </t>
  </si>
  <si>
    <t>Solubility Absorber: Ion Exchange</t>
  </si>
  <si>
    <t>Solubility Absorber: Precipitation with HI</t>
  </si>
  <si>
    <t xml:space="preserve">Solubility ETL/Coated glass: Cleaning 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</si>
  <si>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+glass</t>
    </r>
  </si>
  <si>
    <t>Component</t>
  </si>
  <si>
    <t>Layer</t>
  </si>
  <si>
    <t xml:space="preserve">Thickness </t>
  </si>
  <si>
    <t xml:space="preserve">TiO2+glass </t>
  </si>
  <si>
    <t>solubility (g/m2)</t>
  </si>
  <si>
    <t>mass g</t>
  </si>
  <si>
    <t>MaPbI3</t>
  </si>
  <si>
    <t>http://chemistry.elmhurst.edu/vchembook/125Adensitygold.html</t>
  </si>
  <si>
    <t xml:space="preserve">Binek et al </t>
  </si>
  <si>
    <r>
      <t>mass g/m</t>
    </r>
    <r>
      <rPr>
        <vertAlign val="superscript"/>
        <sz val="11"/>
        <color theme="1"/>
        <rFont val="Calibri"/>
        <family val="2"/>
        <scheme val="minor"/>
      </rPr>
      <t>2</t>
    </r>
  </si>
  <si>
    <t>DMF-MAPbI3</t>
  </si>
  <si>
    <t>Coated glass</t>
  </si>
  <si>
    <t xml:space="preserve">Build Module </t>
  </si>
  <si>
    <t xml:space="preserve">Select Method </t>
  </si>
  <si>
    <t xml:space="preserve">Aluminum </t>
  </si>
  <si>
    <t>Gold</t>
  </si>
  <si>
    <t>Silver</t>
  </si>
  <si>
    <t>Copper</t>
  </si>
  <si>
    <t xml:space="preserve">Build Model </t>
  </si>
  <si>
    <t>Spiro-OmETAD</t>
  </si>
  <si>
    <t>coated glass</t>
  </si>
  <si>
    <t>Selected method</t>
  </si>
  <si>
    <t xml:space="preserve">Thermal Delamination </t>
  </si>
  <si>
    <t>Hot Knife</t>
  </si>
  <si>
    <t>Autoclaving</t>
  </si>
  <si>
    <t>Precipitate</t>
  </si>
  <si>
    <t>Chemical</t>
  </si>
  <si>
    <t>Method</t>
  </si>
  <si>
    <t>Coverglass</t>
  </si>
  <si>
    <t>Ion exchange</t>
  </si>
  <si>
    <t>ETL/Coated</t>
  </si>
  <si>
    <t>Diesel Cost ($/gal) https://www.google.com/search?q=US+average+cost+of+desiel&amp;client=firefox-b-1-d&amp;sxsrf=APwXEddQV-Fv4nQt1AcrbelSIExlrxCs9g%3A1680529572904&amp;ei=pNgqZMv0NrTaptQPgZSaiAk&amp;ved=0ahUKEwjL1ujB7I3-AhU0rYkEHQGKBpEQ4dUDCA4&amp;uact=5&amp;oq=US+average+cost+of+desiel&amp;gs_lcp=Cgxnd3Mtd2l6LXNlcnAQAzIGCAAQHhANMggIABCKBRCGAzIICAAQigUQhgM6BAgAEEc6BwgjELACECc6CQgAEIAEEA0QCjoHCAAQDRCABDoICAAQCBAeEA06BwgjELECECc6CAgAEIoFEJECOgcIABCABBAKOgsIABAHEB4Q8QQQCkoECEEYAFCqB1iNWWCbW2gEcAJ4AIABf4gBgA6SAQQ2LjExmAEAoAEBoAECyAEIwAEB&amp;sclient=gws-wiz-serp</t>
  </si>
  <si>
    <t>Fuel Efficieny (mile/gal) https://www.google.com/search?q=average+mile+per+gall+for+a+tranportantion+truck&amp;client=firefox-b-1-d&amp;sxsrf=APwXEddR1izUVxsdQ1JtRwSBrXt4Q1x9UQ%3A1680529612969&amp;ei=zNgqZLXjOvefptQPueq_4AE&amp;oq=Average+mile+per+gall+for+a+tranportantion+semitrucy&amp;gs_lcp=Cgxnd3Mtd2l6LXNlcnAQAxgAMgcIIRCgARAKMgcIIRCgARAKMgcIIRCrAhAKMgcIIRCrAhAKOgoIABBHENYEELADOg0IABBHENYEEMkDELADOgsIABCKBRCSAxCwAzoHCCMQ6gIQJzoNCC4QjwEQ6gIQtAIYAToNCAAQjwEQ6gIQtAIYAToECCMQJzoICAAQigUQkQI6EQguEIAEELEDEIMBEMcBENEDOgsIABCABBCxAxCDAToHCAAQigUQQzoLCC4QigUQsQMQgwE6CwguEIMBELEDEIAEOgoIABCKBRCxAxBDOgoIABCABBAUEIcCOggIABCABBCxAzoFCAAQgAQ6CwgAEIAEELEDEMkDOggIABCABBCSAzoICAAQigUQkgM6BwgAEIAEEAo6BggAEBYQHjoICAAQFhAeEAo6CAgAEBYQHhAPOgcIABANEIAEOggIABAeEA0QDzoICAAQigUQhgM6BQghEKsCOggIIRAWEB4QHToKCCEQFhAeEA8QHUoECEEYAFCNDVj5fmCmjwFoCHABeACAAc4BiAG_NZIBBzEzLjQyLjGYAQCgAQGwARTIAQnAAQHaAQYIARABGAo&amp;sclient=gws-wiz-serp</t>
  </si>
  <si>
    <t>Conversions</t>
  </si>
  <si>
    <t>miles/km</t>
  </si>
  <si>
    <t>FU m2</t>
  </si>
  <si>
    <t>Distance km*</t>
  </si>
  <si>
    <t>* assumed</t>
  </si>
  <si>
    <t>TIME</t>
  </si>
  <si>
    <t>hrs</t>
  </si>
  <si>
    <t>Filtration Asummed</t>
  </si>
  <si>
    <t>min</t>
  </si>
  <si>
    <t>Filtration (assume 5 mins)</t>
  </si>
  <si>
    <t>Adhesive</t>
  </si>
  <si>
    <t>DMF (washed 3 times,assume once)</t>
  </si>
  <si>
    <t>Di water wash (4times,assume once)</t>
  </si>
  <si>
    <t>dried vacum 90C overnight (8 hrs)</t>
  </si>
  <si>
    <t>high viltage pulsed discharge (486 sec)</t>
  </si>
  <si>
    <t xml:space="preserve">Waste </t>
  </si>
  <si>
    <t xml:space="preserve">Landfill type </t>
  </si>
  <si>
    <r>
      <t>Cost ($/1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</si>
  <si>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Liquid Waste </t>
  </si>
  <si>
    <t xml:space="preserve">Municipal </t>
  </si>
  <si>
    <t xml:space="preserve">Hazardous </t>
  </si>
  <si>
    <t>Tipping fee($/ton) https://www.wastetodaymagazine.com/news/eref-releases-analysis-national-msw-landfill-tipping-fees/</t>
  </si>
  <si>
    <t xml:space="preserve">Conversion </t>
  </si>
  <si>
    <t>kg/ton</t>
  </si>
  <si>
    <t>1000kg/m2</t>
  </si>
  <si>
    <t>amount for 1000kg</t>
  </si>
  <si>
    <t xml:space="preserve">Volume / year </t>
  </si>
  <si>
    <t xml:space="preserve">Pervskite effiency </t>
  </si>
  <si>
    <t xml:space="preserve">Cell Dimensions </t>
  </si>
  <si>
    <t>Labor %</t>
  </si>
  <si>
    <t xml:space="preserve">Total cost of $/yr </t>
  </si>
  <si>
    <t xml:space="preserve">Perovksite </t>
  </si>
  <si>
    <t>FTO/glass</t>
  </si>
  <si>
    <t>g/m2</t>
  </si>
  <si>
    <t>kg/m2</t>
  </si>
  <si>
    <t xml:space="preserve">Labor </t>
  </si>
  <si>
    <t xml:space="preserve">Recyling plant to Municipal waste </t>
  </si>
  <si>
    <t>Reyclcing to Hazardous waste</t>
  </si>
  <si>
    <t xml:space="preserve">Disposal </t>
  </si>
  <si>
    <t>ton (Deng)</t>
  </si>
  <si>
    <t>E. Akulenko</t>
  </si>
  <si>
    <t xml:space="preserve">Flyash 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</si>
  <si>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</si>
  <si>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t>SnO2</t>
  </si>
  <si>
    <t>NiO</t>
  </si>
  <si>
    <t>Free</t>
  </si>
  <si>
    <t>CuSCN</t>
  </si>
  <si>
    <t xml:space="preserve">J. Zhang, nathan Chang </t>
  </si>
  <si>
    <t>ITO glass</t>
  </si>
  <si>
    <t>perovskite</t>
  </si>
  <si>
    <t xml:space="preserve">P3HT </t>
  </si>
  <si>
    <t>Zno</t>
  </si>
  <si>
    <t>Slot die coating $/m2</t>
  </si>
  <si>
    <t>Glass cleaning +ETL</t>
  </si>
  <si>
    <t>labor</t>
  </si>
  <si>
    <t>Pbi2</t>
  </si>
  <si>
    <t>$/m2</t>
  </si>
  <si>
    <t>HTL +BC</t>
  </si>
  <si>
    <t>Cover glass +EVA</t>
  </si>
  <si>
    <t>Ribbon+solder+glass+EVA+edge seal</t>
  </si>
  <si>
    <t>manufacturing of PSC</t>
  </si>
  <si>
    <t>Nathan 2017</t>
  </si>
  <si>
    <t>Assume 40-50% of manufacturing labor cost at this stage used for recycling</t>
  </si>
  <si>
    <t>overall labor cost</t>
  </si>
  <si>
    <t>Permodule</t>
  </si>
  <si>
    <t>Weight [kg/m2]</t>
  </si>
  <si>
    <t>Perovskite</t>
  </si>
  <si>
    <t>Output [W]</t>
  </si>
  <si>
    <t>weight [kg]</t>
  </si>
  <si>
    <t>Volume [m3]</t>
  </si>
  <si>
    <t>cover glass</t>
  </si>
  <si>
    <t>encapsulant</t>
  </si>
  <si>
    <t>PTAA</t>
  </si>
  <si>
    <t>ITO/Glass</t>
  </si>
  <si>
    <t>Total weight w/ out frame</t>
  </si>
  <si>
    <t>surface area [m2] (ramamurthy2021)</t>
  </si>
  <si>
    <t>Volume in truck   (Celik transport)</t>
  </si>
  <si>
    <t>W</t>
  </si>
  <si>
    <t>Solar Farm assume</t>
  </si>
  <si>
    <t>One truck can carry</t>
  </si>
  <si>
    <t>Volume</t>
  </si>
  <si>
    <t xml:space="preserve">weight </t>
  </si>
  <si>
    <t xml:space="preserve">panels for 1 truck </t>
  </si>
  <si>
    <t xml:space="preserve">by weight </t>
  </si>
  <si>
    <t>volume- trucks for 100MW farm</t>
  </si>
  <si>
    <t xml:space="preserve">1 truck travels </t>
  </si>
  <si>
    <t xml:space="preserve">km </t>
  </si>
  <si>
    <t>mi</t>
  </si>
  <si>
    <t xml:space="preserve">Diesel cost </t>
  </si>
  <si>
    <t>Fuels Eff.</t>
  </si>
  <si>
    <t>Total cost $/m2</t>
  </si>
  <si>
    <t xml:space="preserve">Cost </t>
  </si>
  <si>
    <t>2.2/lb</t>
  </si>
  <si>
    <t>55.36/ton</t>
  </si>
  <si>
    <t>Weight in 1 truck (kg)</t>
  </si>
  <si>
    <t xml:space="preserve">Celik transport </t>
  </si>
  <si>
    <t>modules</t>
  </si>
  <si>
    <t>panel/100MW</t>
  </si>
  <si>
    <t>Sarah Sofia 2018</t>
  </si>
  <si>
    <t>CdTe SJ</t>
  </si>
  <si>
    <t xml:space="preserve">FTO glass cleaning </t>
  </si>
  <si>
    <t>Back metal</t>
  </si>
  <si>
    <t>Encapsulant+glass</t>
  </si>
  <si>
    <t>Back Glass clean</t>
  </si>
  <si>
    <t>Back Metal</t>
  </si>
  <si>
    <t>CIGS depo</t>
  </si>
  <si>
    <t xml:space="preserve">Front glass +encapsulant </t>
  </si>
  <si>
    <t>CIGS SJ</t>
  </si>
  <si>
    <t>vapour transport</t>
  </si>
  <si>
    <t xml:space="preserve">Vapor transport </t>
  </si>
  <si>
    <t>doesn’t define what the process materials are (ethanol)</t>
  </si>
  <si>
    <t xml:space="preserve">Ahangharnejad </t>
  </si>
  <si>
    <t>Perovskite Pvinverted</t>
  </si>
  <si>
    <t xml:space="preserve">Front glass </t>
  </si>
  <si>
    <t xml:space="preserve">NiO print </t>
  </si>
  <si>
    <t xml:space="preserve">Perovskite print </t>
  </si>
  <si>
    <t xml:space="preserve">ZnO Print </t>
  </si>
  <si>
    <t>Al Deposition</t>
  </si>
  <si>
    <t>Back glass</t>
  </si>
  <si>
    <t xml:space="preserve">CIGS </t>
  </si>
  <si>
    <t>MO depo</t>
  </si>
  <si>
    <t>CIGS deop</t>
  </si>
  <si>
    <t>CdS Depo</t>
  </si>
  <si>
    <t>ITO depo</t>
  </si>
  <si>
    <t>Front glass</t>
  </si>
  <si>
    <t xml:space="preserve">laser scribe </t>
  </si>
  <si>
    <t>CdTe deposition</t>
  </si>
  <si>
    <t>thermal</t>
  </si>
  <si>
    <t>* range or avg.</t>
  </si>
  <si>
    <t xml:space="preserve">CdTe recycling </t>
  </si>
  <si>
    <t xml:space="preserve">Shredding </t>
  </si>
  <si>
    <t xml:space="preserve">Hammermilling </t>
  </si>
  <si>
    <t xml:space="preserve">or assume </t>
  </si>
  <si>
    <t xml:space="preserve">min </t>
  </si>
  <si>
    <t>Material dissolution (H2SO4)</t>
  </si>
  <si>
    <t>Solid-liquid Seperation (water)</t>
  </si>
  <si>
    <t>EVA/glass sep (H2SO4)</t>
  </si>
  <si>
    <t>Precititation (NaOH)</t>
  </si>
  <si>
    <t>Nathan (PbI2 coat DMF)</t>
  </si>
  <si>
    <t>nathan(chemical lift off, Diwater)</t>
  </si>
  <si>
    <t>perovskite print</t>
  </si>
  <si>
    <t>continuous]</t>
  </si>
  <si>
    <t xml:space="preserve">mecahnical labor </t>
  </si>
  <si>
    <t xml:space="preserve">htl+bc Chemical </t>
  </si>
  <si>
    <t>thermal cover glass+EVA</t>
  </si>
  <si>
    <t>Ramez print</t>
  </si>
  <si>
    <t>Sofia(chemicall)</t>
  </si>
  <si>
    <t>CIGS depoistion</t>
  </si>
  <si>
    <t xml:space="preserve">Chemical Nathan </t>
  </si>
  <si>
    <t>Back Contact (CuI)</t>
  </si>
  <si>
    <t>H2SO4</t>
  </si>
  <si>
    <t>KI salt solution with Small Cu +Pb</t>
  </si>
  <si>
    <t>CuSO4</t>
  </si>
  <si>
    <t>Large Stirrer</t>
  </si>
  <si>
    <t>https://www.thomassci.com/Equipment/Magnetic-Stirrers/_/SP-BEL-ART-COOL-STIR-LARGE-VOLUME-MAGNETIC-STIRRER-15-X-15-X-9-IN-FOR-10-TO-208-LITERS</t>
  </si>
  <si>
    <t xml:space="preserve">Eqiptment </t>
  </si>
  <si>
    <t>Cite</t>
  </si>
  <si>
    <t>Large stirring machine (55gal)</t>
  </si>
  <si>
    <t>Stirring (2hrs)</t>
  </si>
  <si>
    <t>Large scale stirring (55gal)</t>
  </si>
  <si>
    <t>Tanner assumpt</t>
  </si>
  <si>
    <t>Assume 10g for .1 ml</t>
  </si>
  <si>
    <t>PbSO4</t>
  </si>
  <si>
    <t>Wash Beads</t>
  </si>
  <si>
    <t>Sulfuric Acid (H2SO4)</t>
  </si>
  <si>
    <t>Sufluric Acid</t>
  </si>
  <si>
    <t>https://pubchem.ncbi.nlm.nih.gov/compound/1118</t>
  </si>
  <si>
    <t xml:space="preserve">Activated carbon </t>
  </si>
  <si>
    <t>Activated carbon</t>
  </si>
  <si>
    <t>g/mol</t>
  </si>
  <si>
    <t>https://www.indexbox.io/blog/activated-carbon-price-per-ton-june-2022/#:~:text=U.S.%20Activated%20Carbon%20Import%20Price,8.4%25%20against%20the%20previous%20month</t>
  </si>
  <si>
    <t>https://www.hindawi.com/journals/tswj/2013/146092/</t>
  </si>
  <si>
    <t>lead in 1 m2</t>
  </si>
  <si>
    <t>mg/g- Absorption Cap. Activated carbon</t>
  </si>
  <si>
    <t>mg</t>
  </si>
  <si>
    <t>Activated Carbon (95%)</t>
  </si>
  <si>
    <t>Asume (95%) extraction</t>
  </si>
  <si>
    <t>.</t>
  </si>
  <si>
    <t>extraction efficency</t>
  </si>
  <si>
    <t>83-84% (9301 resin)</t>
  </si>
  <si>
    <t>500g</t>
  </si>
  <si>
    <t>https://us.vwr.com/store/product/16902841/hydriodic-acid-57-w-w-in-water</t>
  </si>
  <si>
    <t>Average weight of encapsulant- 270 g/m2(E. Akulenko 2023)</t>
  </si>
  <si>
    <t xml:space="preserve">Solvents - </t>
  </si>
  <si>
    <t xml:space="preserve">Carbon Paste </t>
  </si>
  <si>
    <t xml:space="preserve">Electricity </t>
  </si>
  <si>
    <t xml:space="preserve">Instrument </t>
  </si>
  <si>
    <t>no</t>
  </si>
  <si>
    <t xml:space="preserve">ETL coated glass </t>
  </si>
  <si>
    <t xml:space="preserve">cleaning? </t>
  </si>
  <si>
    <t>assume 95-98%</t>
  </si>
  <si>
    <t xml:space="preserve">Virgin Materials </t>
  </si>
  <si>
    <t>C</t>
  </si>
  <si>
    <t>Spiro-O</t>
  </si>
  <si>
    <t>TiO</t>
  </si>
  <si>
    <t>SnO</t>
  </si>
  <si>
    <t>https://www.usgs.gov/media/files/silver-historical-statistics-data-series-140</t>
  </si>
  <si>
    <t>Chemical/HTL Free</t>
  </si>
  <si>
    <t>9301 resin</t>
  </si>
  <si>
    <t xml:space="preserve">Extraction efficency of </t>
  </si>
  <si>
    <t>Absorption Capacity ?</t>
  </si>
  <si>
    <t>1kg</t>
  </si>
  <si>
    <t>https://www.chemicalbook.com/ChemicalProductProperty_EN_CB6320979.htm</t>
  </si>
  <si>
    <t>Filter (assume reuse 100 times)</t>
  </si>
  <si>
    <t>https://www.alibaba.com/product-detail/Micron-Pleated-Filter-Cartridge-0-2_1600384723606.html?spm=a2700.galleryofferlist.normal_offer.d_title.7c387b2avYmB60&amp;s=p</t>
  </si>
  <si>
    <t xml:space="preserve">Assumptions for tool </t>
  </si>
  <si>
    <t>https://www.alibaba.com/product-detail/70g-Thermal-Paper-With-Hot-Melt_1600638829218.html?s=p</t>
  </si>
  <si>
    <r>
      <t>1.      The volume of chemicals applied was determined by completely submerging the 1m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module plus 10% volume on the surface area, totaling 3.9L.</t>
    </r>
  </si>
  <si>
    <t xml:space="preserve">2.      The methods were modeled following literature and applying large scale applications. </t>
  </si>
  <si>
    <t>3.      The price of chemicals was taken from commercial suppliers (Sigma Aldrich, Alibaba, and ChemAnaylst) to utilize bulk chemicals prices for large scale recycling.</t>
  </si>
  <si>
    <t xml:space="preserve">4.      The price of 1 kWh of energy was taken from the most up-to-date cost of industrial electricity at $0.073/kWh </t>
  </si>
  <si>
    <t>5.      The model build does not include frame, cables, and junctions.</t>
  </si>
  <si>
    <t>Step 1: Selection of Materials</t>
  </si>
  <si>
    <t>Step 2: Selection of Extraction Method</t>
  </si>
  <si>
    <t>Step 3: Results</t>
  </si>
  <si>
    <t>Tanner</t>
  </si>
  <si>
    <t>total</t>
  </si>
  <si>
    <t xml:space="preserve">chemical </t>
  </si>
  <si>
    <r>
      <t>SnO</t>
    </r>
    <r>
      <rPr>
        <vertAlign val="subscript"/>
        <sz val="11"/>
        <color theme="1"/>
        <rFont val="Calibri"/>
        <family val="2"/>
        <scheme val="minor"/>
      </rPr>
      <t>2</t>
    </r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</si>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</sst>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.0000_);_(&quot;$&quot;* \(#,##0.0000\);_(&quot;$&quot;* &quot;-&quot;??_);_(@_)"/>
    <numFmt numFmtId="166" formatCode="_(&quot;$&quot;* #,##0.00000_);_(&quot;$&quot;* \(#,##0.00000\);_(&quot;$&quot;* &quot;-&quot;??_);_(@_)"/>
    <numFmt numFmtId="167" formatCode="&quot;$&quot;#,##0.00"/>
    <numFmt numFmtId="168" formatCode="&quot;$&quot;#,##0.00000"/>
    <numFmt numFmtId="169" formatCode="_(&quot;$&quot;* #,##0.0000000_);_(&quot;$&quot;* \(#,##0.0000000\);_(&quot;$&quot;* &quot;-&quot;??_);_(@_)"/>
    <numFmt numFmtId="170" formatCode="_(&quot;$&quot;* #,##0.000_);_(&quot;$&quot;* \(#,##0.000\);_(&quot;$&quot;* &quot;-&quot;??_);_(@_)"/>
    <numFmt numFmtId="171" formatCode="_(&quot;$&quot;* #,##0.0000000_);_(&quot;$&quot;* \(#,##0.0000000\);_(&quot;$&quot;* &quot;-&quot;???????_);_(@_)"/>
    <numFmt numFmtId="172" formatCode="0.000"/>
    <numFmt numFmtId="173" formatCode="_(&quot;$&quot;* #,##0.000000_);_(&quot;$&quot;* \(#,##0.000000\);_(&quot;$&quot;* &quot;-&quot;??_);_(@_)"/>
    <numFmt numFmtId="174" formatCode="&quot;$&quot;#,##0.000000"/>
    <numFmt numFmtId="175" formatCode="0.0000"/>
    <numFmt numFmtId="176" formatCode="0.00000"/>
    <numFmt numFmtId="177" formatCode="_(&quot;$&quot;* #,##0.000_);_(&quot;$&quot;* \(#,##0.000\);_(&quot;$&quot;* &quot;-&quot;???_);_(@_)"/>
    <numFmt numFmtId="178" formatCode="_(* #,##0.000000_);_(* \(#,##0.000000\);_(* &quot;-&quot;??_);_(@_)"/>
    <numFmt numFmtId="179" formatCode="&quot;$&quot;#,##0.000"/>
  </numFmts>
  <fonts count="30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name val="Times New Roman"/>
      <family val="1"/>
    </font>
    <font>
      <vertAlign val="superscript"/>
      <sz val="8"/>
      <name val="Times New Roman"/>
      <family val="1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24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8" fillId="17" borderId="0" applyNumberFormat="0" applyBorder="0" applyAlignment="0" applyProtection="0"/>
  </cellStyleXfs>
  <cellXfs count="218">
    <xf numFmtId="0" fontId="0" fillId="0" borderId="0" xfId="0"/>
    <xf numFmtId="0" fontId="0" fillId="0" borderId="1" xfId="0" applyBorder="1"/>
    <xf numFmtId="44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4" fillId="2" borderId="1" xfId="0" applyFont="1" applyFill="1" applyBorder="1"/>
    <xf numFmtId="0" fontId="5" fillId="3" borderId="0" xfId="0" applyFont="1" applyFill="1"/>
    <xf numFmtId="0" fontId="0" fillId="4" borderId="0" xfId="0" applyFill="1"/>
    <xf numFmtId="0" fontId="4" fillId="2" borderId="0" xfId="0" applyFont="1" applyFill="1"/>
    <xf numFmtId="0" fontId="6" fillId="0" borderId="0" xfId="1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0" fillId="0" borderId="3" xfId="0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0" fillId="4" borderId="1" xfId="0" applyFill="1" applyBorder="1"/>
    <xf numFmtId="165" fontId="0" fillId="4" borderId="0" xfId="0" applyNumberFormat="1" applyFill="1"/>
    <xf numFmtId="0" fontId="0" fillId="7" borderId="0" xfId="0" applyFill="1"/>
    <xf numFmtId="170" fontId="0" fillId="0" borderId="0" xfId="0" applyNumberFormat="1"/>
    <xf numFmtId="0" fontId="0" fillId="5" borderId="0" xfId="0" applyFill="1"/>
    <xf numFmtId="2" fontId="0" fillId="0" borderId="0" xfId="0" applyNumberFormat="1"/>
    <xf numFmtId="8" fontId="0" fillId="3" borderId="0" xfId="0" applyNumberFormat="1" applyFill="1"/>
    <xf numFmtId="44" fontId="0" fillId="8" borderId="0" xfId="0" applyNumberFormat="1" applyFill="1"/>
    <xf numFmtId="44" fontId="0" fillId="3" borderId="0" xfId="0" applyNumberFormat="1" applyFill="1"/>
    <xf numFmtId="167" fontId="0" fillId="3" borderId="0" xfId="0" applyNumberFormat="1" applyFill="1"/>
    <xf numFmtId="167" fontId="0" fillId="8" borderId="0" xfId="0" applyNumberFormat="1" applyFill="1"/>
    <xf numFmtId="0" fontId="0" fillId="10" borderId="0" xfId="0" applyFill="1"/>
    <xf numFmtId="8" fontId="0" fillId="3" borderId="0" xfId="0" applyNumberFormat="1" applyFill="1" applyAlignment="1">
      <alignment horizontal="center"/>
    </xf>
    <xf numFmtId="0" fontId="0" fillId="11" borderId="0" xfId="0" applyFill="1"/>
    <xf numFmtId="0" fontId="0" fillId="9" borderId="0" xfId="0" applyFill="1" applyAlignment="1">
      <alignment horizontal="center"/>
    </xf>
    <xf numFmtId="0" fontId="0" fillId="5" borderId="1" xfId="0" applyFill="1" applyBorder="1"/>
    <xf numFmtId="6" fontId="0" fillId="0" borderId="0" xfId="0" applyNumberFormat="1"/>
    <xf numFmtId="171" fontId="0" fillId="0" borderId="0" xfId="0" applyNumberFormat="1"/>
    <xf numFmtId="44" fontId="0" fillId="5" borderId="0" xfId="0" applyNumberFormat="1" applyFill="1"/>
    <xf numFmtId="0" fontId="0" fillId="4" borderId="0" xfId="0" applyFill="1" applyAlignment="1">
      <alignment horizontal="right"/>
    </xf>
    <xf numFmtId="172" fontId="0" fillId="0" borderId="0" xfId="0" applyNumberFormat="1"/>
    <xf numFmtId="172" fontId="5" fillId="0" borderId="0" xfId="0" applyNumberFormat="1" applyFont="1" applyAlignment="1">
      <alignment horizontal="center"/>
    </xf>
    <xf numFmtId="0" fontId="6" fillId="5" borderId="0" xfId="1" applyFill="1"/>
    <xf numFmtId="0" fontId="4" fillId="0" borderId="1" xfId="0" applyFont="1" applyBorder="1"/>
    <xf numFmtId="44" fontId="0" fillId="12" borderId="0" xfId="0" applyNumberFormat="1" applyFill="1"/>
    <xf numFmtId="167" fontId="0" fillId="12" borderId="0" xfId="0" applyNumberFormat="1" applyFill="1"/>
    <xf numFmtId="173" fontId="0" fillId="0" borderId="0" xfId="0" applyNumberFormat="1"/>
    <xf numFmtId="174" fontId="0" fillId="0" borderId="0" xfId="0" applyNumberFormat="1"/>
    <xf numFmtId="17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6" borderId="0" xfId="0" applyNumberFormat="1" applyFill="1"/>
    <xf numFmtId="175" fontId="0" fillId="0" borderId="0" xfId="0" applyNumberFormat="1"/>
    <xf numFmtId="176" fontId="0" fillId="0" borderId="0" xfId="0" applyNumberFormat="1"/>
    <xf numFmtId="165" fontId="0" fillId="8" borderId="0" xfId="0" applyNumberFormat="1" applyFill="1"/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77" fontId="0" fillId="0" borderId="0" xfId="0" applyNumberFormat="1"/>
    <xf numFmtId="0" fontId="0" fillId="12" borderId="0" xfId="0" applyFill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24" xfId="0" applyBorder="1"/>
    <xf numFmtId="0" fontId="0" fillId="0" borderId="20" xfId="0" applyBorder="1"/>
    <xf numFmtId="0" fontId="0" fillId="0" borderId="27" xfId="0" applyBorder="1"/>
    <xf numFmtId="0" fontId="0" fillId="0" borderId="23" xfId="0" applyBorder="1"/>
    <xf numFmtId="0" fontId="0" fillId="14" borderId="0" xfId="0" applyFill="1"/>
    <xf numFmtId="8" fontId="0" fillId="0" borderId="0" xfId="0" applyNumberFormat="1"/>
    <xf numFmtId="165" fontId="0" fillId="1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170" fontId="0" fillId="0" borderId="0" xfId="3" applyNumberFormat="1" applyFont="1"/>
    <xf numFmtId="165" fontId="0" fillId="0" borderId="0" xfId="3" applyNumberFormat="1" applyFont="1"/>
    <xf numFmtId="0" fontId="0" fillId="0" borderId="25" xfId="0" applyBorder="1"/>
    <xf numFmtId="0" fontId="0" fillId="0" borderId="2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16" borderId="0" xfId="5"/>
    <xf numFmtId="0" fontId="0" fillId="0" borderId="28" xfId="0" applyBorder="1"/>
    <xf numFmtId="0" fontId="0" fillId="0" borderId="0" xfId="0" applyAlignment="1">
      <alignment horizontal="left"/>
    </xf>
    <xf numFmtId="44" fontId="0" fillId="18" borderId="0" xfId="0" applyNumberFormat="1" applyFill="1"/>
    <xf numFmtId="0" fontId="0" fillId="19" borderId="0" xfId="0" applyFill="1"/>
    <xf numFmtId="44" fontId="0" fillId="11" borderId="0" xfId="0" applyNumberFormat="1" applyFill="1"/>
    <xf numFmtId="0" fontId="0" fillId="0" borderId="0" xfId="0" applyAlignment="1">
      <alignment horizontal="center" vertical="center" wrapText="1"/>
    </xf>
    <xf numFmtId="0" fontId="0" fillId="20" borderId="0" xfId="0" applyFill="1"/>
    <xf numFmtId="0" fontId="0" fillId="0" borderId="0" xfId="0" applyAlignment="1">
      <alignment horizontal="center" wrapText="1"/>
    </xf>
    <xf numFmtId="0" fontId="0" fillId="0" borderId="29" xfId="0" applyBorder="1"/>
    <xf numFmtId="0" fontId="0" fillId="0" borderId="22" xfId="0" applyBorder="1"/>
    <xf numFmtId="179" fontId="0" fillId="0" borderId="0" xfId="0" applyNumberFormat="1"/>
    <xf numFmtId="11" fontId="0" fillId="0" borderId="0" xfId="0" applyNumberFormat="1"/>
    <xf numFmtId="0" fontId="7" fillId="0" borderId="0" xfId="0" applyFont="1"/>
    <xf numFmtId="0" fontId="21" fillId="0" borderId="0" xfId="0" applyFont="1"/>
    <xf numFmtId="0" fontId="14" fillId="0" borderId="0" xfId="0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0" fillId="0" borderId="31" xfId="0" applyBorder="1"/>
    <xf numFmtId="167" fontId="0" fillId="0" borderId="32" xfId="0" applyNumberFormat="1" applyBorder="1"/>
    <xf numFmtId="0" fontId="0" fillId="0" borderId="33" xfId="0" applyBorder="1"/>
    <xf numFmtId="167" fontId="0" fillId="0" borderId="34" xfId="0" applyNumberFormat="1" applyBorder="1"/>
    <xf numFmtId="0" fontId="0" fillId="0" borderId="35" xfId="0" applyBorder="1"/>
    <xf numFmtId="167" fontId="0" fillId="0" borderId="36" xfId="0" applyNumberFormat="1" applyBorder="1"/>
    <xf numFmtId="0" fontId="0" fillId="0" borderId="37" xfId="0" applyBorder="1"/>
    <xf numFmtId="167" fontId="0" fillId="0" borderId="38" xfId="0" applyNumberFormat="1" applyBorder="1"/>
    <xf numFmtId="172" fontId="4" fillId="2" borderId="0" xfId="0" applyNumberFormat="1" applyFont="1" applyFill="1"/>
    <xf numFmtId="172" fontId="0" fillId="3" borderId="0" xfId="0" applyNumberFormat="1" applyFill="1"/>
    <xf numFmtId="172" fontId="0" fillId="10" borderId="0" xfId="0" applyNumberFormat="1" applyFill="1"/>
    <xf numFmtId="0" fontId="5" fillId="3" borderId="0" xfId="0" applyFont="1" applyFill="1" applyAlignment="1">
      <alignment horizontal="center"/>
    </xf>
    <xf numFmtId="0" fontId="0" fillId="18" borderId="0" xfId="0" applyFill="1"/>
    <xf numFmtId="0" fontId="0" fillId="13" borderId="0" xfId="0" applyFill="1"/>
    <xf numFmtId="0" fontId="0" fillId="21" borderId="0" xfId="0" applyFill="1"/>
    <xf numFmtId="3" fontId="0" fillId="0" borderId="0" xfId="0" applyNumberFormat="1"/>
    <xf numFmtId="0" fontId="0" fillId="9" borderId="0" xfId="0" applyFill="1"/>
    <xf numFmtId="0" fontId="0" fillId="22" borderId="0" xfId="0" applyFill="1"/>
    <xf numFmtId="0" fontId="0" fillId="0" borderId="0" xfId="0" applyAlignment="1">
      <alignment horizontal="right"/>
    </xf>
    <xf numFmtId="0" fontId="19" fillId="0" borderId="0" xfId="0" applyFont="1"/>
    <xf numFmtId="0" fontId="5" fillId="0" borderId="0" xfId="0" applyFont="1"/>
    <xf numFmtId="44" fontId="18" fillId="0" borderId="0" xfId="6" applyNumberFormat="1" applyFill="1"/>
    <xf numFmtId="44" fontId="17" fillId="0" borderId="0" xfId="0" applyNumberFormat="1" applyFont="1"/>
    <xf numFmtId="168" fontId="0" fillId="18" borderId="0" xfId="0" applyNumberFormat="1" applyFill="1"/>
    <xf numFmtId="168" fontId="0" fillId="23" borderId="0" xfId="0" applyNumberFormat="1" applyFill="1"/>
    <xf numFmtId="10" fontId="0" fillId="0" borderId="0" xfId="0" applyNumberFormat="1"/>
    <xf numFmtId="0" fontId="0" fillId="3" borderId="24" xfId="0" applyFill="1" applyBorder="1"/>
    <xf numFmtId="0" fontId="0" fillId="3" borderId="23" xfId="0" applyFill="1" applyBorder="1"/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4" fontId="0" fillId="12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15" fillId="15" borderId="0" xfId="4" applyAlignment="1">
      <alignment horizontal="center"/>
    </xf>
    <xf numFmtId="175" fontId="0" fillId="0" borderId="0" xfId="0" applyNumberFormat="1" applyAlignment="1">
      <alignment horizontal="center"/>
    </xf>
    <xf numFmtId="178" fontId="0" fillId="0" borderId="0" xfId="2" applyNumberFormat="1" applyFont="1" applyAlignment="1">
      <alignment horizontal="center"/>
    </xf>
    <xf numFmtId="44" fontId="18" fillId="5" borderId="0" xfId="6" applyNumberFormat="1" applyFill="1"/>
    <xf numFmtId="0" fontId="0" fillId="0" borderId="4" xfId="0" applyBorder="1"/>
    <xf numFmtId="0" fontId="0" fillId="0" borderId="26" xfId="0" applyBorder="1" applyAlignment="1">
      <alignment horizontal="center"/>
    </xf>
    <xf numFmtId="0" fontId="0" fillId="10" borderId="1" xfId="0" applyFill="1" applyBorder="1"/>
    <xf numFmtId="0" fontId="0" fillId="0" borderId="39" xfId="0" applyBorder="1"/>
    <xf numFmtId="0" fontId="0" fillId="5" borderId="30" xfId="0" applyFill="1" applyBorder="1"/>
    <xf numFmtId="44" fontId="0" fillId="0" borderId="19" xfId="0" applyNumberFormat="1" applyBorder="1"/>
    <xf numFmtId="0" fontId="22" fillId="0" borderId="1" xfId="0" applyFont="1" applyBorder="1"/>
    <xf numFmtId="0" fontId="0" fillId="23" borderId="0" xfId="0" applyFill="1"/>
    <xf numFmtId="0" fontId="6" fillId="0" borderId="0" xfId="1" applyFill="1" applyBorder="1"/>
    <xf numFmtId="165" fontId="0" fillId="5" borderId="0" xfId="0" applyNumberFormat="1" applyFill="1"/>
    <xf numFmtId="170" fontId="19" fillId="0" borderId="0" xfId="3" applyNumberFormat="1" applyFont="1"/>
    <xf numFmtId="44" fontId="19" fillId="0" borderId="0" xfId="3" applyFont="1"/>
    <xf numFmtId="2" fontId="0" fillId="23" borderId="0" xfId="0" applyNumberFormat="1" applyFill="1" applyAlignment="1">
      <alignment horizontal="center"/>
    </xf>
    <xf numFmtId="44" fontId="0" fillId="23" borderId="0" xfId="0" applyNumberFormat="1" applyFill="1"/>
    <xf numFmtId="0" fontId="19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44" fontId="28" fillId="18" borderId="0" xfId="3" applyFont="1" applyFill="1"/>
    <xf numFmtId="0" fontId="28" fillId="0" borderId="0" xfId="0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5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6" fillId="23" borderId="0" xfId="0" applyFont="1" applyFill="1" applyAlignment="1">
      <alignment horizontal="center" vertical="center"/>
    </xf>
    <xf numFmtId="0" fontId="27" fillId="11" borderId="0" xfId="0" applyFont="1" applyFill="1" applyAlignment="1">
      <alignment horizontal="center" vertical="center"/>
    </xf>
    <xf numFmtId="0" fontId="29" fillId="10" borderId="0" xfId="0" applyFont="1" applyFill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6" fillId="21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21" fillId="0" borderId="30" xfId="0" applyFont="1" applyBorder="1" applyAlignment="1">
      <alignment horizontal="center"/>
    </xf>
    <xf numFmtId="0" fontId="24" fillId="0" borderId="2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</cellXfs>
  <cellStyles count="7">
    <cellStyle name="Bad" xfId="5" builtinId="27"/>
    <cellStyle name="Comma" xfId="2" builtinId="3"/>
    <cellStyle name="Currency" xfId="3" builtinId="4"/>
    <cellStyle name="Good" xfId="4" builtinId="26"/>
    <cellStyle name="Hyperlink" xfId="1" builtinId="8"/>
    <cellStyle name="Neutral" xfId="6" builtinId="28"/>
    <cellStyle name="Normal" xfId="0" builtinId="0"/>
  </cellStyles>
  <dxfs count="0"/>
  <tableStyles count="0" defaultTableStyle="TableStyleMedium2" defaultPivotStyle="PivotStyleLight16"/>
  <colors>
    <mruColors>
      <color rgb="FFEB6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'Inventory 1'!$Y$111:$Z$120</c:f>
              <c:multiLvlStrCache>
                <c:ptCount val="10"/>
                <c:lvl>
                  <c:pt idx="0">
                    <c:v>Hot Kife</c:v>
                  </c:pt>
                  <c:pt idx="1">
                    <c:v>Thermal Decomp </c:v>
                  </c:pt>
                  <c:pt idx="2">
                    <c:v>Autoclaving </c:v>
                  </c:pt>
                  <c:pt idx="3">
                    <c:v>Physical </c:v>
                  </c:pt>
                  <c:pt idx="4">
                    <c:v>Chemical </c:v>
                  </c:pt>
                  <c:pt idx="5">
                    <c:v>Strong Chemical </c:v>
                  </c:pt>
                  <c:pt idx="6">
                    <c:v>H20</c:v>
                  </c:pt>
                  <c:pt idx="7">
                    <c:v>Ion Exange </c:v>
                  </c:pt>
                  <c:pt idx="8">
                    <c:v>Precipitate (HI)</c:v>
                  </c:pt>
                  <c:pt idx="9">
                    <c:v>Cleaning </c:v>
                  </c:pt>
                </c:lvl>
                <c:lvl>
                  <c:pt idx="0">
                    <c:v>Cover Glass</c:v>
                  </c:pt>
                  <c:pt idx="3">
                    <c:v>Back Contact</c:v>
                  </c:pt>
                  <c:pt idx="5">
                    <c:v>Absorber </c:v>
                  </c:pt>
                  <c:pt idx="9">
                    <c:v>ETL/Coated glass </c:v>
                  </c:pt>
                </c:lvl>
              </c:multiLvlStrCache>
            </c:multiLvlStrRef>
          </c:cat>
          <c:val>
            <c:numRef>
              <c:f>'Inventory 1'!$AA$111:$AA$120</c:f>
              <c:numCache>
                <c:formatCode>"$"#,##0.00</c:formatCode>
                <c:ptCount val="10"/>
                <c:pt idx="0">
                  <c:v>0.10080021333333333</c:v>
                </c:pt>
                <c:pt idx="1">
                  <c:v>3.6299999999999999E-2</c:v>
                </c:pt>
                <c:pt idx="2">
                  <c:v>0.43559999999999999</c:v>
                </c:pt>
                <c:pt idx="3">
                  <c:v>4.6809300119999998E-3</c:v>
                </c:pt>
                <c:pt idx="4">
                  <c:v>2.2385000000000002E-2</c:v>
                </c:pt>
                <c:pt idx="5">
                  <c:v>0.3140958333333333</c:v>
                </c:pt>
                <c:pt idx="6">
                  <c:v>0.34883291666666666</c:v>
                </c:pt>
                <c:pt idx="7">
                  <c:v>5.3240000000000003E-2</c:v>
                </c:pt>
                <c:pt idx="8">
                  <c:v>1.5004</c:v>
                </c:pt>
                <c:pt idx="9">
                  <c:v>2.4199999999999998E-3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D-4F6F-A818-69F22BB1ABE2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'Inventory 1'!$Y$111:$Z$120</c:f>
              <c:multiLvlStrCache>
                <c:ptCount val="10"/>
                <c:lvl>
                  <c:pt idx="0">
                    <c:v>Hot Kife</c:v>
                  </c:pt>
                  <c:pt idx="1">
                    <c:v>Thermal Decomp </c:v>
                  </c:pt>
                  <c:pt idx="2">
                    <c:v>Autoclaving </c:v>
                  </c:pt>
                  <c:pt idx="3">
                    <c:v>Physical </c:v>
                  </c:pt>
                  <c:pt idx="4">
                    <c:v>Chemical </c:v>
                  </c:pt>
                  <c:pt idx="5">
                    <c:v>Strong Chemical </c:v>
                  </c:pt>
                  <c:pt idx="6">
                    <c:v>H20</c:v>
                  </c:pt>
                  <c:pt idx="7">
                    <c:v>Ion Exange </c:v>
                  </c:pt>
                  <c:pt idx="8">
                    <c:v>Precipitate (HI)</c:v>
                  </c:pt>
                  <c:pt idx="9">
                    <c:v>Cleaning </c:v>
                  </c:pt>
                </c:lvl>
                <c:lvl>
                  <c:pt idx="0">
                    <c:v>Cover Glass</c:v>
                  </c:pt>
                  <c:pt idx="3">
                    <c:v>Back Contact</c:v>
                  </c:pt>
                  <c:pt idx="5">
                    <c:v>Absorber </c:v>
                  </c:pt>
                  <c:pt idx="9">
                    <c:v>ETL/Coated glass </c:v>
                  </c:pt>
                </c:lvl>
              </c:multiLvlStrCache>
            </c:multiLvlStrRef>
          </c:cat>
          <c:val>
            <c:numRef>
              <c:f>'Inventory 1'!$AB$111:$AB$120</c:f>
              <c:numCache>
                <c:formatCode>"$"#,##0.00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D-4F6F-A818-69F22BB1ABE2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'Inventory 1'!$Y$111:$Z$120</c:f>
              <c:multiLvlStrCache>
                <c:ptCount val="10"/>
                <c:lvl>
                  <c:pt idx="0">
                    <c:v>Hot Kife</c:v>
                  </c:pt>
                  <c:pt idx="1">
                    <c:v>Thermal Decomp </c:v>
                  </c:pt>
                  <c:pt idx="2">
                    <c:v>Autoclaving </c:v>
                  </c:pt>
                  <c:pt idx="3">
                    <c:v>Physical </c:v>
                  </c:pt>
                  <c:pt idx="4">
                    <c:v>Chemical </c:v>
                  </c:pt>
                  <c:pt idx="5">
                    <c:v>Strong Chemical </c:v>
                  </c:pt>
                  <c:pt idx="6">
                    <c:v>H20</c:v>
                  </c:pt>
                  <c:pt idx="7">
                    <c:v>Ion Exange </c:v>
                  </c:pt>
                  <c:pt idx="8">
                    <c:v>Precipitate (HI)</c:v>
                  </c:pt>
                  <c:pt idx="9">
                    <c:v>Cleaning </c:v>
                  </c:pt>
                </c:lvl>
                <c:lvl>
                  <c:pt idx="0">
                    <c:v>Cover Glass</c:v>
                  </c:pt>
                  <c:pt idx="3">
                    <c:v>Back Contact</c:v>
                  </c:pt>
                  <c:pt idx="5">
                    <c:v>Absorber </c:v>
                  </c:pt>
                  <c:pt idx="9">
                    <c:v>ETL/Coated glass </c:v>
                  </c:pt>
                </c:lvl>
              </c:multiLvlStrCache>
            </c:multiLvlStrRef>
          </c:cat>
          <c:val>
            <c:numRef>
              <c:f>'Inventory 1'!$AC$111:$AC$120</c:f>
              <c:numCache>
                <c:formatCode>"$"#,##0.00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4.3126199999999999</c:v>
                </c:pt>
                <c:pt idx="5">
                  <c:v>4.0579836017895019</c:v>
                </c:pt>
                <c:pt idx="6">
                  <c:v>3.0393008947511633E-3</c:v>
                </c:pt>
                <c:pt idx="7">
                  <c:v>1.5280490031727081</c:v>
                </c:pt>
                <c:pt idx="8">
                  <c:v>9.3712343560000004</c:v>
                </c:pt>
                <c:pt idx="9">
                  <c:v>4.3126199999999999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D-4F6F-A818-69F22BB1ABE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'Inventory 1'!$Y$111:$Z$120</c:f>
              <c:multiLvlStrCache>
                <c:ptCount val="10"/>
                <c:lvl>
                  <c:pt idx="0">
                    <c:v>Hot Kife</c:v>
                  </c:pt>
                  <c:pt idx="1">
                    <c:v>Thermal Decomp </c:v>
                  </c:pt>
                  <c:pt idx="2">
                    <c:v>Autoclaving </c:v>
                  </c:pt>
                  <c:pt idx="3">
                    <c:v>Physical </c:v>
                  </c:pt>
                  <c:pt idx="4">
                    <c:v>Chemical </c:v>
                  </c:pt>
                  <c:pt idx="5">
                    <c:v>Strong Chemical </c:v>
                  </c:pt>
                  <c:pt idx="6">
                    <c:v>H20</c:v>
                  </c:pt>
                  <c:pt idx="7">
                    <c:v>Ion Exange </c:v>
                  </c:pt>
                  <c:pt idx="8">
                    <c:v>Precipitate (HI)</c:v>
                  </c:pt>
                  <c:pt idx="9">
                    <c:v>Cleaning </c:v>
                  </c:pt>
                </c:lvl>
                <c:lvl>
                  <c:pt idx="0">
                    <c:v>Cover Glass</c:v>
                  </c:pt>
                  <c:pt idx="3">
                    <c:v>Back Contact</c:v>
                  </c:pt>
                  <c:pt idx="5">
                    <c:v>Absorber </c:v>
                  </c:pt>
                  <c:pt idx="9">
                    <c:v>ETL/Coated glass </c:v>
                  </c:pt>
                </c:lvl>
              </c:multiLvlStrCache>
            </c:multiLvlStrRef>
          </c:cat>
          <c:val>
            <c:numRef>
              <c:f>'Inventory 1'!$AD$111:$AD$120</c:f>
              <c:numCache>
                <c:formatCode>"$"#,##0.00</c:formatCode>
                <c:ptCount val="10"/>
                <c:pt idx="0">
                  <c:v>1.3399999999999999</c:v>
                </c:pt>
                <c:pt idx="1">
                  <c:v>1.3399999999999999</c:v>
                </c:pt>
                <c:pt idx="2">
                  <c:v>1.3399999999999999</c:v>
                </c:pt>
                <c:pt idx="3">
                  <c:v>1.3399999999999999</c:v>
                </c:pt>
                <c:pt idx="4">
                  <c:v>1.3399999999999999</c:v>
                </c:pt>
                <c:pt idx="5">
                  <c:v>1.3399999999999999</c:v>
                </c:pt>
                <c:pt idx="6">
                  <c:v>1.3399999999999999</c:v>
                </c:pt>
                <c:pt idx="7">
                  <c:v>1.3399999999999999</c:v>
                </c:pt>
                <c:pt idx="8">
                  <c:v>1.3399999999999999</c:v>
                </c:pt>
                <c:pt idx="9">
                  <c:v>1.3399999999999999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A-4BCF-90EF-F62D2F39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7827135"/>
        <c:axId val="897827551"/>
      </c:barChart>
      <c:catAx>
        <c:axId val="89782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27551"/>
        <c:crosses val="autoZero"/>
        <c:auto val="1"/>
        <c:lblAlgn val="ctr"/>
        <c:lblOffset val="100"/>
        <c:noMultiLvlLbl val="0"/>
      </c:catAx>
      <c:valAx>
        <c:axId val="897827551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Cost ($/m</a:t>
                </a:r>
                <a:r>
                  <a:rPr lang="en-US" sz="1600" baseline="30000">
                    <a:solidFill>
                      <a:schemeClr val="tx1"/>
                    </a:solidFill>
                  </a:rPr>
                  <a:t>2</a:t>
                </a:r>
                <a:r>
                  <a:rPr lang="en-US" sz="1600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2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96086933884729"/>
          <c:y val="4.9934351829388664E-2"/>
          <c:w val="0.29373997077655339"/>
          <c:h val="5.5733640565878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Recyling Cost</a:t>
            </a:r>
            <a:r>
              <a:rPr lang="en-US" sz="28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28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102-4B30-AF0D-BA20CA29F9E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02-4B30-AF0D-BA20CA29F9E3}"/>
              </c:ext>
            </c:extLst>
          </c:dPt>
          <c:dPt>
            <c:idx val="2"/>
            <c:invertIfNegative val="0"/>
            <c:bubble3D val="0"/>
            <c:spPr>
              <a:solidFill>
                <a:srgbClr val="EB6E1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02-4B30-AF0D-BA20CA29F9E3}"/>
              </c:ext>
            </c:extLst>
          </c:dPt>
          <c:cat>
            <c:strRef>
              <c:f>TOOL!$E$50:$E$53</c:f>
              <c:strCache>
                <c:ptCount val="4"/>
                <c:pt idx="0">
                  <c:v>Cover glass</c:v>
                </c:pt>
                <c:pt idx="1">
                  <c:v>Back Contact</c:v>
                </c:pt>
                <c:pt idx="2">
                  <c:v>Absorber </c:v>
                </c:pt>
                <c:pt idx="3">
                  <c:v>ETL/coated glass</c:v>
                </c:pt>
              </c:strCache>
            </c:strRef>
          </c:cat>
          <c:val>
            <c:numRef>
              <c:f>TOOL!$H$50:$H$53</c:f>
              <c:numCache>
                <c:formatCode>_("$"* #,##0.00_);_("$"* \(#,##0.00\);_("$"* "-"??_);_(@_)</c:formatCode>
                <c:ptCount val="4"/>
                <c:pt idx="0">
                  <c:v>0.10080021333333333</c:v>
                </c:pt>
                <c:pt idx="1">
                  <c:v>0.49468093001199998</c:v>
                </c:pt>
                <c:pt idx="2">
                  <c:v>1.6212890031727081</c:v>
                </c:pt>
                <c:pt idx="3">
                  <c:v>4.3150399999999998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8-4599-BEC2-8F0B008C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109744"/>
        <c:axId val="1113584592"/>
      </c:barChart>
      <c:catAx>
        <c:axId val="11081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3584592"/>
        <c:crosses val="autoZero"/>
        <c:auto val="1"/>
        <c:lblAlgn val="ctr"/>
        <c:lblOffset val="100"/>
        <c:noMultiLvlLbl val="0"/>
      </c:catAx>
      <c:valAx>
        <c:axId val="111358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$/m</a:t>
                </a:r>
                <a:r>
                  <a:rPr lang="en-US" sz="20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81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49534</xdr:colOff>
      <xdr:row>125</xdr:row>
      <xdr:rowOff>86062</xdr:rowOff>
    </xdr:from>
    <xdr:to>
      <xdr:col>36</xdr:col>
      <xdr:colOff>108857</xdr:colOff>
      <xdr:row>153</xdr:row>
      <xdr:rowOff>126999</xdr:rowOff>
    </xdr:to>
    <xdr:graphicFrame macro="">
      <xdr:nvGraphicFramePr>
        <xdr:cNvPr id="49" name="Chart 8">
          <a:extLst>
            <a:ext uri="{FF2B5EF4-FFF2-40B4-BE49-F238E27FC236}">
              <a16:creationId xmlns:a16="http://schemas.microsoft.com/office/drawing/2014/main" id="{BE3FFAAD-CDB3-69A9-DEC1-087296748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68385</xdr:colOff>
      <xdr:row>155</xdr:row>
      <xdr:rowOff>135093</xdr:rowOff>
    </xdr:from>
    <xdr:to>
      <xdr:col>36</xdr:col>
      <xdr:colOff>120357</xdr:colOff>
      <xdr:row>165</xdr:row>
      <xdr:rowOff>121138</xdr:rowOff>
    </xdr:to>
    <xdr:sp macro="" textlink="">
      <xdr:nvSpPr>
        <xdr:cNvPr id="532" name="TextBox 1">
          <a:extLst>
            <a:ext uri="{FF2B5EF4-FFF2-40B4-BE49-F238E27FC236}">
              <a16:creationId xmlns:a16="http://schemas.microsoft.com/office/drawing/2014/main" id="{0ECC3C2A-ABCB-C325-CA96-0855997E75AF}"/>
            </a:ext>
          </a:extLst>
        </xdr:cNvPr>
        <xdr:cNvSpPr txBox="1"/>
      </xdr:nvSpPr>
      <xdr:spPr>
        <a:xfrm>
          <a:off x="18791814" y="28111379"/>
          <a:ext cx="7987657" cy="183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Figure x shows the cost of  material recovery</a:t>
          </a:r>
          <a:r>
            <a:rPr lang="en-US" sz="1100" baseline="0"/>
            <a:t> from perovskite PV modules. Our results show the cost of cover glass, back contact, absorbebr and coated glass varies between $min and max per 1 m2 of PV waste. For cover glass recovery, xx method is the most feasible while thermal decom is the least. The high cost of thermal decom is duer cdd,csdz.,,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Paragrap# 2 comparison with literature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243574</xdr:colOff>
      <xdr:row>38</xdr:row>
      <xdr:rowOff>175532</xdr:rowOff>
    </xdr:from>
    <xdr:to>
      <xdr:col>22</xdr:col>
      <xdr:colOff>533069</xdr:colOff>
      <xdr:row>58</xdr:row>
      <xdr:rowOff>151057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AC049B7A-92D6-F7AC-1240-4A39614E1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1119619</xdr:colOff>
      <xdr:row>9</xdr:row>
      <xdr:rowOff>89312</xdr:rowOff>
    </xdr:from>
    <xdr:to>
      <xdr:col>7</xdr:col>
      <xdr:colOff>44448</xdr:colOff>
      <xdr:row>30</xdr:row>
      <xdr:rowOff>149259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49520D7B-52FA-39D2-AA94-56278F788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619" y="4361955"/>
          <a:ext cx="7837054" cy="4929127"/>
        </a:xfrm>
        <a:prstGeom prst="rect">
          <a:avLst/>
        </a:prstGeom>
      </xdr:spPr>
    </xdr:pic>
    <xdr:clientData/>
  </xdr:twoCellAnchor>
  <xdr:twoCellAnchor editAs="oneCell">
    <xdr:from>
      <xdr:col>13</xdr:col>
      <xdr:colOff>401782</xdr:colOff>
      <xdr:row>8</xdr:row>
      <xdr:rowOff>152399</xdr:rowOff>
    </xdr:from>
    <xdr:to>
      <xdr:col>28</xdr:col>
      <xdr:colOff>213582</xdr:colOff>
      <xdr:row>30</xdr:row>
      <xdr:rowOff>149843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8F952E-6E3B-283C-6366-5C3E3C39F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19018" y="4184072"/>
          <a:ext cx="8955800" cy="50682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sdsmt0-my.sharepoint.com/personal/ilke_celik_sdsmt_edu/Documents/2022%20Perovskite%20Recycling%20Project-%20MS%20Students/Old%20Files/2021%20Perovskite%20Recycling/Combineinventories_9%25Solvendistillationcontinued(2)%20(version%201).xlsb.xlsx?31821FFE" TargetMode="External"/><Relationship Id="rId1" Type="http://schemas.openxmlformats.org/officeDocument/2006/relationships/externalLinkPath" Target="file:///\\31821FFE\Combineinventories_9%25Solvendistillationcontinued(2)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stification"/>
      <sheetName val="Working LCI+LCIA (Incineration)"/>
      <sheetName val="Working LCI+LCIA (Dist)"/>
      <sheetName val="Working LCI+LCIA (Dist+NewMass)"/>
      <sheetName val="Virgin materials"/>
      <sheetName val="Word LCI"/>
      <sheetName val="Electricity demand"/>
      <sheetName val="Densities"/>
      <sheetName val="Distillation"/>
      <sheetName val="SI Tables"/>
      <sheetName val="Solubility"/>
      <sheetName val="Normalization"/>
      <sheetName val="Working impacts"/>
      <sheetName val="Sensitivity solvent"/>
      <sheetName val="Tape"/>
      <sheetName val="Sensitivity solvent (10 distil)"/>
      <sheetName val="Sensitivity solvent (Incinerat)"/>
      <sheetName val="Sensitivity solvent (10 dis (2)"/>
      <sheetName val="Sensitivity solvent (10 dis (3)"/>
      <sheetName val="Combineinventories_9%Solvendist"/>
    </sheetNames>
    <sheetDataSet>
      <sheetData sheetId="0">
        <row r="6">
          <cell r="E6">
            <v>4259.2000000000016</v>
          </cell>
        </row>
      </sheetData>
      <sheetData sheetId="1">
        <row r="41">
          <cell r="AB41">
            <v>3.25</v>
          </cell>
        </row>
      </sheetData>
      <sheetData sheetId="2"/>
      <sheetData sheetId="3"/>
      <sheetData sheetId="4">
        <row r="5">
          <cell r="F5">
            <v>116.92269081101244</v>
          </cell>
        </row>
      </sheetData>
      <sheetData sheetId="5"/>
      <sheetData sheetId="6">
        <row r="7">
          <cell r="G7">
            <v>4</v>
          </cell>
        </row>
        <row r="8">
          <cell r="V8">
            <v>3.25</v>
          </cell>
        </row>
        <row r="10">
          <cell r="Q10">
            <v>3.4722222222222223</v>
          </cell>
        </row>
        <row r="11">
          <cell r="BW11">
            <v>5.6516670518842925E-2</v>
          </cell>
        </row>
        <row r="12">
          <cell r="BW12">
            <v>6.7820004622611507E-2</v>
          </cell>
        </row>
      </sheetData>
      <sheetData sheetId="7">
        <row r="5">
          <cell r="F5">
            <v>0.79100000000000004</v>
          </cell>
        </row>
        <row r="9">
          <cell r="F9">
            <v>0.73799999999999999</v>
          </cell>
        </row>
        <row r="12">
          <cell r="F12">
            <v>1.1060000000000001</v>
          </cell>
        </row>
        <row r="15">
          <cell r="F15">
            <v>1.101</v>
          </cell>
        </row>
        <row r="16">
          <cell r="F16">
            <v>0.78900000000000003</v>
          </cell>
        </row>
        <row r="17">
          <cell r="F17">
            <v>0.90200000000000002</v>
          </cell>
        </row>
        <row r="34">
          <cell r="F34">
            <v>0.94399999999999995</v>
          </cell>
        </row>
        <row r="38">
          <cell r="L38">
            <v>1.001566</v>
          </cell>
        </row>
        <row r="44">
          <cell r="F44">
            <v>1</v>
          </cell>
        </row>
        <row r="45">
          <cell r="F45">
            <v>1.1200000000000001</v>
          </cell>
        </row>
      </sheetData>
      <sheetData sheetId="8">
        <row r="5">
          <cell r="F5" t="str">
            <v>CB</v>
          </cell>
        </row>
      </sheetData>
      <sheetData sheetId="9">
        <row r="5">
          <cell r="F5" t="str">
            <v>Ag</v>
          </cell>
        </row>
      </sheetData>
      <sheetData sheetId="10">
        <row r="5">
          <cell r="F5" t="str">
            <v>MAPbBr3</v>
          </cell>
        </row>
      </sheetData>
      <sheetData sheetId="11">
        <row r="5">
          <cell r="F5">
            <v>0.13580246913580246</v>
          </cell>
        </row>
      </sheetData>
      <sheetData sheetId="12">
        <row r="5">
          <cell r="F5">
            <v>90.2</v>
          </cell>
        </row>
      </sheetData>
      <sheetData sheetId="13">
        <row r="5">
          <cell r="F5">
            <v>5.253095047400377</v>
          </cell>
        </row>
      </sheetData>
      <sheetData sheetId="14"/>
      <sheetData sheetId="15">
        <row r="5">
          <cell r="F5" t="str">
            <v>GBL</v>
          </cell>
        </row>
      </sheetData>
      <sheetData sheetId="16">
        <row r="5">
          <cell r="F5">
            <v>5.4196229114497028</v>
          </cell>
        </row>
      </sheetData>
      <sheetData sheetId="17">
        <row r="5">
          <cell r="F5" t="str">
            <v>GBL</v>
          </cell>
        </row>
      </sheetData>
      <sheetData sheetId="18">
        <row r="5">
          <cell r="F5" t="str">
            <v>GBL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pa.gov/watersense/understanding-your-water-bill" TargetMode="External"/><Relationship Id="rId13" Type="http://schemas.openxmlformats.org/officeDocument/2006/relationships/hyperlink" Target="https://www.alibaba.com/trade/search?tab=all&amp;searchText=magnetic+stirrer+rod+" TargetMode="External"/><Relationship Id="rId18" Type="http://schemas.openxmlformats.org/officeDocument/2006/relationships/hyperlink" Target="https://www.usgs.gov/media/files/aluminum-historical-statistics-data-series-140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gaylordchemical.com/products/literature/physical-properties/" TargetMode="External"/><Relationship Id="rId21" Type="http://schemas.openxmlformats.org/officeDocument/2006/relationships/hyperlink" Target="https://www.alibaba.com/product-detail/Micron-Pleated-Filter-Cartridge-0-2_1600384723606.html?spm=a2700.galleryofferlist.normal_offer.d_title.7c387b2avYmB60&amp;s=p" TargetMode="External"/><Relationship Id="rId7" Type="http://schemas.openxmlformats.org/officeDocument/2006/relationships/hyperlink" Target="https://www.toolots.com/ar-50lg-460-airrun-ar-50lg-460-dh26rxlbn.html/ng-frontend/?gclid=Cj0KCQjwhsmaBhCvARIsAIbEbH5ZiWY6lxL5aBN85jQrruMrtOgmch27vQ3EMQ0usgJVeBhuSt_uq7saAgUyEALw_wcB/" TargetMode="External"/><Relationship Id="rId12" Type="http://schemas.openxmlformats.org/officeDocument/2006/relationships/hyperlink" Target="https://www.sigmaaldrich.com/US/en/product/sigald/221945" TargetMode="External"/><Relationship Id="rId17" Type="http://schemas.openxmlformats.org/officeDocument/2006/relationships/hyperlink" Target="https://www.chemanalyst.com/Pricing-data/sulphuric-acid-7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alibaba.com/showroom/price-diethyl-ether.html" TargetMode="External"/><Relationship Id="rId16" Type="http://schemas.openxmlformats.org/officeDocument/2006/relationships/hyperlink" Target="https://www.indexbox.io/blog/activated-carbon-price-per-ton-june-2022/" TargetMode="External"/><Relationship Id="rId20" Type="http://schemas.openxmlformats.org/officeDocument/2006/relationships/hyperlink" Target="https://www.chemicalbook.com/ChemicalProductProperty_EN_CB6320979.htm" TargetMode="External"/><Relationship Id="rId1" Type="http://schemas.openxmlformats.org/officeDocument/2006/relationships/hyperlink" Target="https://www.alibaba.com/product-detail/70g-Thermal-Paper-With-Hot-Melt_1600638829218.html?s=p" TargetMode="External"/><Relationship Id="rId6" Type="http://schemas.openxmlformats.org/officeDocument/2006/relationships/hyperlink" Target="https://www.chemanalyst.com/Pricing-data/ammonia-37" TargetMode="External"/><Relationship Id="rId11" Type="http://schemas.openxmlformats.org/officeDocument/2006/relationships/hyperlink" Target="https://nabertherm.com/en/products/laboratory/muffle-furnaces/muffle-furnaces-1100-degc-or-1200-degc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chemanalyst.com/Pricing-data/isopropyl-alcohol-31" TargetMode="External"/><Relationship Id="rId15" Type="http://schemas.openxmlformats.org/officeDocument/2006/relationships/hyperlink" Target="https://www.statista.com/statistics/190680/us-industrial-consumer-price-estimates-for-retail-electricity-since-1970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katom.com/013-JA8X1202083.html?gclid=CjwKCAjw4c-ZBhAEEiwAZ105ReoznndC9LWujxzIczyu2PRyBUAu563PbMAYZDzTIcpKjGq5M_-UJRoCxagQAvD_BwE" TargetMode="External"/><Relationship Id="rId19" Type="http://schemas.openxmlformats.org/officeDocument/2006/relationships/hyperlink" Target="https://www.usgs.gov/media/files/lead-historical-statistics-data-series-140" TargetMode="External"/><Relationship Id="rId4" Type="http://schemas.openxmlformats.org/officeDocument/2006/relationships/hyperlink" Target="https://www.toolots.com/tgl20m-24-1p5-xiangmaida-tgl20m-24-1p5-r2kvx8lxk.html/ng-frontend/" TargetMode="External"/><Relationship Id="rId9" Type="http://schemas.openxmlformats.org/officeDocument/2006/relationships/hyperlink" Target="http://heaters.valadelectric.com/item/electric-hot-plates/tegories-electric-hot-plates-industrial-hot-plat-2/hp18x24-22-5-1" TargetMode="External"/><Relationship Id="rId14" Type="http://schemas.openxmlformats.org/officeDocument/2006/relationships/hyperlink" Target="https://www.alibaba.com/trade/search?fsb=y&amp;IndexArea=product_en&amp;CatId=&amp;tab=all&amp;SearchText=ion+exchange+resin+9600" TargetMode="External"/><Relationship Id="rId22" Type="http://schemas.openxmlformats.org/officeDocument/2006/relationships/hyperlink" Target="https://www.chemanalyst.com/Pricing-data/ethyl-acetate-7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exbox.io/blog/sulphuric-acid-price-per-ton-april-20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24FE-CFA1-488B-A2D6-570E49FF113F}">
  <dimension ref="A1:D6"/>
  <sheetViews>
    <sheetView workbookViewId="0">
      <selection activeCell="D8" sqref="D8"/>
    </sheetView>
  </sheetViews>
  <sheetFormatPr defaultRowHeight="15" x14ac:dyDescent="0.25"/>
  <cols>
    <col min="1" max="2" width="11.140625" bestFit="1" customWidth="1"/>
    <col min="3" max="3" width="11.42578125" customWidth="1"/>
  </cols>
  <sheetData>
    <row r="1" spans="1:4" x14ac:dyDescent="0.25">
      <c r="C1">
        <v>1</v>
      </c>
      <c r="D1" t="s">
        <v>121</v>
      </c>
    </row>
    <row r="2" spans="1:4" x14ac:dyDescent="0.25">
      <c r="A2" t="s">
        <v>525</v>
      </c>
      <c r="B2" t="s">
        <v>524</v>
      </c>
      <c r="C2" t="s">
        <v>526</v>
      </c>
    </row>
    <row r="3" spans="1:4" x14ac:dyDescent="0.25">
      <c r="A3">
        <v>1</v>
      </c>
      <c r="B3" t="s">
        <v>396</v>
      </c>
    </row>
    <row r="4" spans="1:4" x14ac:dyDescent="0.25">
      <c r="A4">
        <v>2</v>
      </c>
      <c r="B4" t="s">
        <v>252</v>
      </c>
      <c r="C4" s="100">
        <f>0.0000001</f>
        <v>9.9999999999999995E-8</v>
      </c>
      <c r="D4" t="s">
        <v>358</v>
      </c>
    </row>
    <row r="5" spans="1:4" x14ac:dyDescent="0.25">
      <c r="A5">
        <v>3</v>
      </c>
      <c r="B5" t="s">
        <v>518</v>
      </c>
      <c r="C5" s="100">
        <f>0.0000008</f>
        <v>7.9999999999999996E-7</v>
      </c>
      <c r="D5" t="s">
        <v>358</v>
      </c>
    </row>
    <row r="6" spans="1:4" x14ac:dyDescent="0.25">
      <c r="A6">
        <v>4</v>
      </c>
      <c r="B6" t="s">
        <v>527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EC24-A483-4728-AC46-7305B8F4CF93}">
  <dimension ref="B2:H30"/>
  <sheetViews>
    <sheetView topLeftCell="A10" workbookViewId="0">
      <selection activeCell="J27" sqref="J27"/>
    </sheetView>
  </sheetViews>
  <sheetFormatPr defaultRowHeight="15" x14ac:dyDescent="0.25"/>
  <cols>
    <col min="2" max="2" width="10.5703125" customWidth="1"/>
    <col min="3" max="3" width="14.5703125" customWidth="1"/>
  </cols>
  <sheetData>
    <row r="2" spans="2:8" x14ac:dyDescent="0.25">
      <c r="B2" t="s">
        <v>310</v>
      </c>
      <c r="C2" s="53">
        <f>F2/10^6</f>
        <v>1.84E-4</v>
      </c>
      <c r="F2">
        <f>(190+178)/2</f>
        <v>184</v>
      </c>
      <c r="G2" t="s">
        <v>29</v>
      </c>
      <c r="H2" t="s">
        <v>311</v>
      </c>
    </row>
    <row r="3" spans="2:8" x14ac:dyDescent="0.25">
      <c r="B3" t="s">
        <v>312</v>
      </c>
      <c r="C3" s="53">
        <f>F3/10^6</f>
        <v>6.78E-4</v>
      </c>
      <c r="F3" s="15">
        <v>678</v>
      </c>
      <c r="G3" s="49" t="s">
        <v>313</v>
      </c>
      <c r="H3" t="s">
        <v>294</v>
      </c>
    </row>
    <row r="4" spans="2:8" x14ac:dyDescent="0.25">
      <c r="B4" t="s">
        <v>314</v>
      </c>
      <c r="C4" s="53">
        <f>F4/10^6</f>
        <v>3.82E-3</v>
      </c>
      <c r="F4">
        <v>3820</v>
      </c>
      <c r="G4" t="s">
        <v>313</v>
      </c>
      <c r="H4" t="s">
        <v>315</v>
      </c>
    </row>
    <row r="5" spans="2:8" x14ac:dyDescent="0.25">
      <c r="B5" t="s">
        <v>316</v>
      </c>
      <c r="C5" s="53">
        <f>F5/10^6</f>
        <v>3.4499999999999998E-4</v>
      </c>
      <c r="F5" s="15">
        <v>345</v>
      </c>
      <c r="G5" s="49" t="s">
        <v>29</v>
      </c>
      <c r="H5" t="s">
        <v>296</v>
      </c>
    </row>
    <row r="6" spans="2:8" x14ac:dyDescent="0.25">
      <c r="B6" t="s">
        <v>317</v>
      </c>
      <c r="C6" s="53"/>
    </row>
    <row r="7" spans="2:8" x14ac:dyDescent="0.25">
      <c r="B7" t="s">
        <v>318</v>
      </c>
      <c r="C7" s="53">
        <f>F7/10^6</f>
        <v>1E-3</v>
      </c>
      <c r="F7">
        <v>1000</v>
      </c>
      <c r="G7" s="49" t="s">
        <v>319</v>
      </c>
      <c r="H7" t="s">
        <v>320</v>
      </c>
    </row>
    <row r="8" spans="2:8" x14ac:dyDescent="0.25">
      <c r="B8" t="s">
        <v>321</v>
      </c>
      <c r="C8" s="53">
        <f>F8/10^6</f>
        <v>1.1659999999999999E-3</v>
      </c>
      <c r="F8">
        <v>1166</v>
      </c>
      <c r="H8" t="s">
        <v>322</v>
      </c>
    </row>
    <row r="9" spans="2:8" x14ac:dyDescent="0.25">
      <c r="B9" t="s">
        <v>323</v>
      </c>
      <c r="C9" s="53">
        <f t="shared" ref="C9" si="0">F9/10^6</f>
        <v>1.7000000000000001E-4</v>
      </c>
      <c r="E9" t="s">
        <v>26</v>
      </c>
      <c r="F9" s="2">
        <v>170</v>
      </c>
      <c r="G9" t="s">
        <v>29</v>
      </c>
      <c r="H9" t="s">
        <v>324</v>
      </c>
    </row>
    <row r="10" spans="2:8" x14ac:dyDescent="0.25">
      <c r="C10" s="53"/>
    </row>
    <row r="11" spans="2:8" x14ac:dyDescent="0.25">
      <c r="B11" t="s">
        <v>297</v>
      </c>
      <c r="C11" s="53">
        <v>0.12</v>
      </c>
    </row>
    <row r="12" spans="2:8" x14ac:dyDescent="0.25">
      <c r="C12" s="53"/>
    </row>
    <row r="13" spans="2:8" x14ac:dyDescent="0.25">
      <c r="C13" s="53"/>
    </row>
    <row r="14" spans="2:8" x14ac:dyDescent="0.25">
      <c r="C14" s="53"/>
    </row>
    <row r="15" spans="2:8" x14ac:dyDescent="0.25">
      <c r="B15" t="s">
        <v>310</v>
      </c>
      <c r="C15" s="53">
        <v>750</v>
      </c>
      <c r="D15" t="s">
        <v>26</v>
      </c>
      <c r="E15">
        <f>C15*C2</f>
        <v>0.13800000000000001</v>
      </c>
    </row>
    <row r="16" spans="2:8" x14ac:dyDescent="0.25">
      <c r="B16" t="s">
        <v>312</v>
      </c>
      <c r="C16" s="53">
        <v>23</v>
      </c>
      <c r="D16" t="s">
        <v>26</v>
      </c>
      <c r="E16" s="15">
        <f>C16*C3</f>
        <v>1.5594E-2</v>
      </c>
    </row>
    <row r="17" spans="2:5" x14ac:dyDescent="0.25">
      <c r="B17" t="s">
        <v>314</v>
      </c>
      <c r="C17" s="53">
        <v>23</v>
      </c>
      <c r="D17" t="s">
        <v>26</v>
      </c>
      <c r="E17">
        <f>C17*C4</f>
        <v>8.7860000000000008E-2</v>
      </c>
    </row>
    <row r="18" spans="2:5" x14ac:dyDescent="0.25">
      <c r="B18" t="s">
        <v>316</v>
      </c>
      <c r="C18" s="53">
        <v>330</v>
      </c>
      <c r="D18" t="s">
        <v>26</v>
      </c>
      <c r="E18">
        <f>C18*C5</f>
        <v>0.11384999999999999</v>
      </c>
    </row>
    <row r="19" spans="2:5" x14ac:dyDescent="0.25">
      <c r="B19" t="s">
        <v>317</v>
      </c>
      <c r="C19" s="53">
        <v>75</v>
      </c>
      <c r="D19" t="s">
        <v>26</v>
      </c>
    </row>
    <row r="20" spans="2:5" x14ac:dyDescent="0.25">
      <c r="B20" t="s">
        <v>318</v>
      </c>
      <c r="C20" s="53">
        <v>30</v>
      </c>
      <c r="D20" t="s">
        <v>26</v>
      </c>
      <c r="E20">
        <f>C20*C7</f>
        <v>0.03</v>
      </c>
    </row>
    <row r="21" spans="2:5" x14ac:dyDescent="0.25">
      <c r="B21" t="s">
        <v>321</v>
      </c>
      <c r="C21" s="53">
        <v>120</v>
      </c>
      <c r="D21" t="s">
        <v>26</v>
      </c>
      <c r="E21">
        <f>C21*C8</f>
        <v>0.13991999999999999</v>
      </c>
    </row>
    <row r="22" spans="2:5" x14ac:dyDescent="0.25">
      <c r="B22" t="s">
        <v>323</v>
      </c>
      <c r="C22" s="53">
        <v>750</v>
      </c>
      <c r="D22" t="s">
        <v>26</v>
      </c>
      <c r="E22">
        <f>C22*C9</f>
        <v>0.1275</v>
      </c>
    </row>
    <row r="23" spans="2:5" x14ac:dyDescent="0.25">
      <c r="B23" t="s">
        <v>316</v>
      </c>
      <c r="C23" s="53">
        <v>105</v>
      </c>
      <c r="D23" t="s">
        <v>26</v>
      </c>
      <c r="E23">
        <f>C23*C5</f>
        <v>3.6225E-2</v>
      </c>
    </row>
    <row r="24" spans="2:5" x14ac:dyDescent="0.25">
      <c r="B24" t="s">
        <v>318</v>
      </c>
      <c r="C24" s="53">
        <v>36</v>
      </c>
      <c r="D24" t="s">
        <v>26</v>
      </c>
      <c r="E24">
        <f>C24*C7</f>
        <v>3.6000000000000004E-2</v>
      </c>
    </row>
    <row r="25" spans="2:5" x14ac:dyDescent="0.25">
      <c r="B25" t="s">
        <v>321</v>
      </c>
      <c r="C25" s="53">
        <v>145</v>
      </c>
      <c r="D25" t="s">
        <v>26</v>
      </c>
      <c r="E25">
        <f>C25*C8</f>
        <v>0.16907</v>
      </c>
    </row>
    <row r="26" spans="2:5" x14ac:dyDescent="0.25">
      <c r="B26" t="s">
        <v>325</v>
      </c>
      <c r="C26" s="53">
        <v>900</v>
      </c>
      <c r="D26" t="s">
        <v>26</v>
      </c>
      <c r="E26">
        <f>C26*C5</f>
        <v>0.3105</v>
      </c>
    </row>
    <row r="28" spans="2:5" x14ac:dyDescent="0.25">
      <c r="B28" t="s">
        <v>326</v>
      </c>
      <c r="C28" s="53">
        <v>4.4000000000000004</v>
      </c>
      <c r="D28" t="s">
        <v>327</v>
      </c>
      <c r="E28">
        <f>C28*C11</f>
        <v>0.52800000000000002</v>
      </c>
    </row>
    <row r="30" spans="2:5" x14ac:dyDescent="0.25">
      <c r="E30" s="26">
        <f>SUM(E15:E28)</f>
        <v>1.7325189999999999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B85C-F5D4-4D51-B2FD-1D9BDA9E3DFD}">
  <dimension ref="A2:C9"/>
  <sheetViews>
    <sheetView workbookViewId="0">
      <selection activeCell="L14" sqref="L14"/>
    </sheetView>
  </sheetViews>
  <sheetFormatPr defaultRowHeight="15" x14ac:dyDescent="0.25"/>
  <sheetData>
    <row r="2" spans="1:3" ht="39" thickBot="1" x14ac:dyDescent="0.3">
      <c r="A2" s="57" t="s">
        <v>328</v>
      </c>
      <c r="B2" s="58" t="s">
        <v>329</v>
      </c>
      <c r="C2" s="59" t="s">
        <v>330</v>
      </c>
    </row>
    <row r="3" spans="1:3" ht="26.25" thickBot="1" x14ac:dyDescent="0.3">
      <c r="A3" s="60" t="s">
        <v>331</v>
      </c>
      <c r="B3" s="56" t="s">
        <v>332</v>
      </c>
      <c r="C3" s="61" t="s">
        <v>333</v>
      </c>
    </row>
    <row r="4" spans="1:3" ht="26.25" thickBot="1" x14ac:dyDescent="0.3">
      <c r="A4" s="60" t="s">
        <v>334</v>
      </c>
      <c r="B4" s="56" t="s">
        <v>335</v>
      </c>
      <c r="C4" s="61" t="s">
        <v>336</v>
      </c>
    </row>
    <row r="5" spans="1:3" ht="15.75" thickBot="1" x14ac:dyDescent="0.3">
      <c r="A5" s="60" t="s">
        <v>337</v>
      </c>
      <c r="B5" s="56" t="s">
        <v>338</v>
      </c>
      <c r="C5" s="61" t="s">
        <v>339</v>
      </c>
    </row>
    <row r="6" spans="1:3" ht="15.75" thickBot="1" x14ac:dyDescent="0.3">
      <c r="A6" s="60" t="s">
        <v>340</v>
      </c>
      <c r="B6" s="56" t="s">
        <v>335</v>
      </c>
      <c r="C6" s="61" t="s">
        <v>341</v>
      </c>
    </row>
    <row r="7" spans="1:3" ht="15.75" thickBot="1" x14ac:dyDescent="0.3">
      <c r="A7" s="60" t="s">
        <v>342</v>
      </c>
      <c r="B7" s="56" t="s">
        <v>335</v>
      </c>
      <c r="C7" s="61" t="s">
        <v>343</v>
      </c>
    </row>
    <row r="8" spans="1:3" ht="38.25" x14ac:dyDescent="0.25">
      <c r="A8" s="62" t="s">
        <v>344</v>
      </c>
      <c r="B8" s="63"/>
      <c r="C8" s="64" t="s">
        <v>345</v>
      </c>
    </row>
    <row r="9" spans="1:3" ht="25.5" x14ac:dyDescent="0.25">
      <c r="B9" s="65" t="s">
        <v>346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3BFF-BEE9-4EF7-A9CA-B0A9E7EF949C}">
  <dimension ref="A1:Q25"/>
  <sheetViews>
    <sheetView zoomScaleNormal="100" workbookViewId="0">
      <selection activeCell="N22" sqref="N22"/>
    </sheetView>
  </sheetViews>
  <sheetFormatPr defaultRowHeight="15" x14ac:dyDescent="0.25"/>
  <cols>
    <col min="1" max="1" width="14.5703125" bestFit="1" customWidth="1"/>
    <col min="2" max="2" width="12.85546875" customWidth="1"/>
    <col min="3" max="3" width="13.85546875" bestFit="1" customWidth="1"/>
    <col min="4" max="4" width="10.85546875" customWidth="1"/>
    <col min="6" max="6" width="11.5703125" bestFit="1" customWidth="1"/>
    <col min="10" max="10" width="21" bestFit="1" customWidth="1"/>
    <col min="11" max="11" width="16.42578125" bestFit="1" customWidth="1"/>
    <col min="12" max="12" width="12.140625" bestFit="1" customWidth="1"/>
    <col min="13" max="14" width="18.140625" customWidth="1"/>
    <col min="15" max="15" width="11.85546875" customWidth="1"/>
    <col min="16" max="16" width="21" bestFit="1" customWidth="1"/>
    <col min="17" max="17" width="12.5703125" customWidth="1"/>
  </cols>
  <sheetData>
    <row r="1" spans="1:17" ht="24" customHeight="1" x14ac:dyDescent="0.35">
      <c r="A1" s="200" t="s">
        <v>542</v>
      </c>
      <c r="B1" s="200"/>
      <c r="C1" s="200"/>
      <c r="D1" s="200"/>
      <c r="E1" s="200"/>
      <c r="F1" s="200"/>
      <c r="G1" s="103"/>
      <c r="H1" s="103"/>
      <c r="I1" s="103"/>
      <c r="J1" s="201" t="s">
        <v>545</v>
      </c>
      <c r="K1" s="201"/>
      <c r="L1" s="201"/>
      <c r="M1" s="201"/>
      <c r="N1" s="104"/>
      <c r="O1" s="105"/>
      <c r="P1" s="106" t="s">
        <v>551</v>
      </c>
      <c r="Q1" s="107" t="s">
        <v>496</v>
      </c>
    </row>
    <row r="2" spans="1:17" x14ac:dyDescent="0.25">
      <c r="A2" s="12" t="s">
        <v>396</v>
      </c>
      <c r="B2" s="12" t="s">
        <v>216</v>
      </c>
      <c r="C2" s="12" t="s">
        <v>172</v>
      </c>
      <c r="D2" s="12" t="s">
        <v>495</v>
      </c>
      <c r="E2" s="12" t="s">
        <v>173</v>
      </c>
      <c r="F2" s="12" t="s">
        <v>535</v>
      </c>
      <c r="J2" s="12" t="s">
        <v>396</v>
      </c>
      <c r="K2" s="12" t="s">
        <v>216</v>
      </c>
      <c r="L2" s="12" t="s">
        <v>495</v>
      </c>
      <c r="M2" s="12" t="s">
        <v>505</v>
      </c>
      <c r="O2" s="202" t="s">
        <v>552</v>
      </c>
      <c r="P2" s="108" t="s">
        <v>546</v>
      </c>
      <c r="Q2" s="109">
        <f>'Inventory 1'!AG112</f>
        <v>3.6299999999999999E-2</v>
      </c>
    </row>
    <row r="3" spans="1:17" ht="18" x14ac:dyDescent="0.35">
      <c r="A3" t="s">
        <v>396</v>
      </c>
      <c r="B3" t="s">
        <v>538</v>
      </c>
      <c r="C3" t="s">
        <v>602</v>
      </c>
      <c r="D3" t="s">
        <v>518</v>
      </c>
      <c r="E3" t="s">
        <v>599</v>
      </c>
      <c r="F3" t="s">
        <v>544</v>
      </c>
      <c r="J3" t="s">
        <v>546</v>
      </c>
      <c r="K3" t="s">
        <v>467</v>
      </c>
      <c r="L3" t="s">
        <v>550</v>
      </c>
      <c r="M3" t="s">
        <v>483</v>
      </c>
      <c r="O3" s="202"/>
      <c r="P3" s="110" t="s">
        <v>547</v>
      </c>
      <c r="Q3" s="111">
        <f>'Inventory 1'!AG111</f>
        <v>0.10080021333333333</v>
      </c>
    </row>
    <row r="4" spans="1:17" ht="18" x14ac:dyDescent="0.35">
      <c r="B4" t="s">
        <v>539</v>
      </c>
      <c r="C4" t="s">
        <v>543</v>
      </c>
      <c r="E4" t="s">
        <v>775</v>
      </c>
      <c r="J4" t="s">
        <v>547</v>
      </c>
      <c r="K4" t="s">
        <v>550</v>
      </c>
      <c r="L4" t="s">
        <v>497</v>
      </c>
      <c r="O4" s="202"/>
      <c r="P4" s="112" t="s">
        <v>548</v>
      </c>
      <c r="Q4" s="113">
        <f>'Inventory 1'!AG113</f>
        <v>0.43559999999999999</v>
      </c>
    </row>
    <row r="5" spans="1:17" x14ac:dyDescent="0.25">
      <c r="B5" t="s">
        <v>540</v>
      </c>
      <c r="C5" t="s">
        <v>603</v>
      </c>
      <c r="J5" t="s">
        <v>548</v>
      </c>
      <c r="K5" t="s">
        <v>754</v>
      </c>
      <c r="L5" t="s">
        <v>498</v>
      </c>
      <c r="O5" s="202" t="s">
        <v>216</v>
      </c>
      <c r="P5" s="159" t="s">
        <v>467</v>
      </c>
      <c r="Q5" s="109">
        <f>'Inventory 1'!AG114</f>
        <v>0.49468093001199998</v>
      </c>
    </row>
    <row r="6" spans="1:17" x14ac:dyDescent="0.25">
      <c r="B6" t="s">
        <v>541</v>
      </c>
      <c r="C6" t="s">
        <v>601</v>
      </c>
      <c r="L6" t="s">
        <v>549</v>
      </c>
      <c r="O6" s="202"/>
      <c r="P6" t="s">
        <v>550</v>
      </c>
      <c r="Q6" s="111">
        <f>'Inventory 1'!AG115</f>
        <v>4.3750049999999998</v>
      </c>
    </row>
    <row r="7" spans="1:17" x14ac:dyDescent="0.25">
      <c r="B7" s="26" t="s">
        <v>776</v>
      </c>
      <c r="O7" s="202"/>
      <c r="P7" s="160" t="s">
        <v>754</v>
      </c>
      <c r="Q7" s="113">
        <f>'Inventory 1'!O426</f>
        <v>2.73042549</v>
      </c>
    </row>
    <row r="8" spans="1:17" ht="18.75" x14ac:dyDescent="0.3">
      <c r="I8" s="102"/>
      <c r="O8" s="175" t="s">
        <v>495</v>
      </c>
      <c r="P8" s="110" t="s">
        <v>550</v>
      </c>
      <c r="Q8" s="111">
        <f>'Inventory 1'!AG116</f>
        <v>4.412079435122835</v>
      </c>
    </row>
    <row r="9" spans="1:17" x14ac:dyDescent="0.25">
      <c r="O9" s="175"/>
      <c r="P9" s="110" t="s">
        <v>497</v>
      </c>
      <c r="Q9" s="111">
        <f>'Inventory 1'!AG117</f>
        <v>0.39187221756141782</v>
      </c>
    </row>
    <row r="10" spans="1:17" x14ac:dyDescent="0.25">
      <c r="O10" s="175"/>
      <c r="P10" s="110" t="s">
        <v>553</v>
      </c>
      <c r="Q10" s="111">
        <f>'Inventory 1'!AG118</f>
        <v>1.6212890031727081</v>
      </c>
    </row>
    <row r="11" spans="1:17" x14ac:dyDescent="0.25">
      <c r="O11" s="175"/>
      <c r="P11" s="112" t="s">
        <v>549</v>
      </c>
      <c r="Q11" s="113">
        <f>'Inventory 1'!AG119</f>
        <v>10.911634356</v>
      </c>
    </row>
    <row r="12" spans="1:17" x14ac:dyDescent="0.25">
      <c r="O12" s="1" t="s">
        <v>554</v>
      </c>
      <c r="P12" s="114" t="s">
        <v>483</v>
      </c>
      <c r="Q12" s="115">
        <f>'Inventory 1'!AG120</f>
        <v>4.3150399999999998</v>
      </c>
    </row>
    <row r="25" ht="14.45" customHeight="1" x14ac:dyDescent="0.25"/>
  </sheetData>
  <sheetProtection formatCells="0" formatColumns="0" formatRows="0" insertColumns="0" insertRows="0" insertHyperlinks="0" deleteColumns="0" deleteRows="0" sort="0" autoFilter="0" pivotTables="0"/>
  <mergeCells count="5">
    <mergeCell ref="A1:F1"/>
    <mergeCell ref="J1:M1"/>
    <mergeCell ref="O2:O4"/>
    <mergeCell ref="O8:O11"/>
    <mergeCell ref="O5:O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FF5A-8393-4C55-A83B-2249800B7F42}">
  <dimension ref="A1:AD55"/>
  <sheetViews>
    <sheetView zoomScale="40" zoomScaleNormal="40" workbookViewId="0">
      <selection activeCell="K3" sqref="K3"/>
    </sheetView>
  </sheetViews>
  <sheetFormatPr defaultRowHeight="15" x14ac:dyDescent="0.25"/>
  <cols>
    <col min="1" max="1" width="19.85546875" bestFit="1" customWidth="1"/>
    <col min="2" max="2" width="21" customWidth="1"/>
    <col min="4" max="4" width="16.140625" customWidth="1"/>
    <col min="5" max="5" width="25.5703125" style="19" customWidth="1"/>
    <col min="6" max="6" width="25.85546875" style="19" customWidth="1"/>
    <col min="7" max="7" width="12.85546875" customWidth="1"/>
    <col min="8" max="8" width="17.5703125" customWidth="1"/>
    <col min="9" max="9" width="9.42578125" customWidth="1"/>
    <col min="11" max="11" width="9" customWidth="1"/>
    <col min="12" max="12" width="8.85546875" customWidth="1"/>
  </cols>
  <sheetData>
    <row r="1" spans="1:30" ht="31.5" x14ac:dyDescent="0.5">
      <c r="A1" s="206" t="s">
        <v>762</v>
      </c>
      <c r="B1" s="207"/>
      <c r="C1" s="207"/>
      <c r="D1" s="207"/>
      <c r="E1" s="207"/>
      <c r="F1" s="207"/>
      <c r="G1" s="208"/>
    </row>
    <row r="2" spans="1:30" ht="50.45" customHeight="1" x14ac:dyDescent="0.25">
      <c r="A2" s="212" t="s">
        <v>764</v>
      </c>
      <c r="B2" s="213"/>
      <c r="C2" s="213"/>
      <c r="D2" s="213"/>
      <c r="E2" s="213"/>
      <c r="F2" s="213"/>
      <c r="G2" s="214"/>
    </row>
    <row r="3" spans="1:30" ht="52.7" customHeight="1" x14ac:dyDescent="0.25">
      <c r="A3" s="212" t="s">
        <v>765</v>
      </c>
      <c r="B3" s="213"/>
      <c r="C3" s="213"/>
      <c r="D3" s="213"/>
      <c r="E3" s="213"/>
      <c r="F3" s="213"/>
      <c r="G3" s="214"/>
    </row>
    <row r="4" spans="1:30" ht="52.7" customHeight="1" x14ac:dyDescent="0.25">
      <c r="A4" s="212" t="s">
        <v>766</v>
      </c>
      <c r="B4" s="213"/>
      <c r="C4" s="213"/>
      <c r="D4" s="213"/>
      <c r="E4" s="213"/>
      <c r="F4" s="213"/>
      <c r="G4" s="214"/>
    </row>
    <row r="5" spans="1:30" ht="47.45" customHeight="1" x14ac:dyDescent="0.25">
      <c r="A5" s="212" t="s">
        <v>767</v>
      </c>
      <c r="B5" s="213"/>
      <c r="C5" s="213"/>
      <c r="D5" s="213"/>
      <c r="E5" s="213"/>
      <c r="F5" s="213"/>
      <c r="G5" s="214"/>
    </row>
    <row r="6" spans="1:30" ht="45" customHeight="1" thickBot="1" x14ac:dyDescent="0.3">
      <c r="A6" s="215" t="s">
        <v>768</v>
      </c>
      <c r="B6" s="216"/>
      <c r="C6" s="216"/>
      <c r="D6" s="216"/>
      <c r="E6" s="216"/>
      <c r="F6" s="216"/>
      <c r="G6" s="217"/>
    </row>
    <row r="7" spans="1:30" ht="19.7" customHeight="1" x14ac:dyDescent="0.25"/>
    <row r="8" spans="1:30" ht="19.7" customHeight="1" x14ac:dyDescent="0.25">
      <c r="B8" s="209" t="s">
        <v>769</v>
      </c>
      <c r="C8" s="210"/>
      <c r="D8" s="210"/>
      <c r="E8" s="210"/>
      <c r="P8" s="203" t="s">
        <v>770</v>
      </c>
      <c r="Q8" s="203"/>
      <c r="R8" s="203"/>
      <c r="S8" s="203"/>
      <c r="T8" s="203"/>
      <c r="U8" s="203"/>
      <c r="V8" s="203"/>
    </row>
    <row r="9" spans="1:30" ht="19.7" customHeight="1" x14ac:dyDescent="0.25">
      <c r="B9" s="210"/>
      <c r="C9" s="210"/>
      <c r="D9" s="210"/>
      <c r="E9" s="210"/>
      <c r="P9" s="203"/>
      <c r="Q9" s="203"/>
      <c r="R9" s="203"/>
      <c r="S9" s="203"/>
      <c r="T9" s="203"/>
      <c r="U9" s="203"/>
      <c r="V9" s="203"/>
    </row>
    <row r="10" spans="1:30" ht="19.7" customHeight="1" x14ac:dyDescent="0.25">
      <c r="A10" s="199"/>
      <c r="B10" s="199"/>
      <c r="C10" s="199"/>
      <c r="D10" s="199"/>
      <c r="E10" s="199"/>
      <c r="F10" s="199"/>
      <c r="G10" s="199"/>
      <c r="H10" s="199"/>
      <c r="I10" s="199"/>
    </row>
    <row r="11" spans="1:30" ht="19.7" customHeight="1" x14ac:dyDescent="0.25">
      <c r="A11" s="199"/>
      <c r="B11" s="199"/>
      <c r="C11" s="199"/>
      <c r="D11" s="199"/>
      <c r="E11" s="199"/>
      <c r="F11" s="199"/>
      <c r="G11" s="199"/>
      <c r="H11" s="199"/>
      <c r="I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</row>
    <row r="12" spans="1:30" ht="19.7" customHeight="1" x14ac:dyDescent="0.25">
      <c r="A12" s="199"/>
      <c r="B12" s="199"/>
      <c r="C12" s="199"/>
      <c r="D12" s="199"/>
      <c r="E12" s="199"/>
      <c r="F12" s="199"/>
      <c r="G12" s="199"/>
      <c r="H12" s="199"/>
      <c r="I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</row>
    <row r="13" spans="1:30" ht="19.7" customHeight="1" x14ac:dyDescent="0.25">
      <c r="A13" s="199"/>
      <c r="B13" s="199"/>
      <c r="C13" s="199"/>
      <c r="D13" s="199"/>
      <c r="E13" s="199"/>
      <c r="F13" s="199"/>
      <c r="G13" s="199"/>
      <c r="H13" s="199"/>
      <c r="I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</row>
    <row r="14" spans="1:30" ht="19.7" customHeight="1" x14ac:dyDescent="0.25">
      <c r="A14" s="199"/>
      <c r="B14" s="199"/>
      <c r="C14" s="199"/>
      <c r="D14" s="199"/>
      <c r="E14" s="199"/>
      <c r="F14" s="199"/>
      <c r="G14" s="199"/>
      <c r="H14" s="199"/>
      <c r="I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</row>
    <row r="15" spans="1:30" ht="19.7" customHeight="1" x14ac:dyDescent="0.25">
      <c r="A15" s="199"/>
      <c r="B15" s="199"/>
      <c r="C15" s="199"/>
      <c r="D15" s="199"/>
      <c r="E15" s="199"/>
      <c r="F15" s="199"/>
      <c r="G15" s="199"/>
      <c r="H15" s="199"/>
      <c r="I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</row>
    <row r="16" spans="1:30" ht="19.7" customHeight="1" x14ac:dyDescent="0.25">
      <c r="A16" s="199"/>
      <c r="B16" s="199"/>
      <c r="C16" s="199"/>
      <c r="D16" s="199"/>
      <c r="E16" s="199"/>
      <c r="F16" s="199"/>
      <c r="G16" s="199"/>
      <c r="H16" s="199"/>
      <c r="I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</row>
    <row r="17" spans="1:30" ht="19.7" customHeight="1" x14ac:dyDescent="0.25">
      <c r="A17" s="199"/>
      <c r="B17" s="199"/>
      <c r="C17" s="199"/>
      <c r="D17" s="199"/>
      <c r="E17" s="199"/>
      <c r="F17" s="199"/>
      <c r="G17" s="199"/>
      <c r="H17" s="199"/>
      <c r="I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</row>
    <row r="18" spans="1:30" ht="19.7" customHeight="1" x14ac:dyDescent="0.25">
      <c r="A18" s="199"/>
      <c r="B18" s="199"/>
      <c r="C18" s="199"/>
      <c r="D18" s="199"/>
      <c r="E18" s="199"/>
      <c r="F18" s="199"/>
      <c r="G18" s="199"/>
      <c r="H18" s="199"/>
      <c r="I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</row>
    <row r="19" spans="1:30" ht="19.7" customHeight="1" x14ac:dyDescent="0.25">
      <c r="A19" s="199"/>
      <c r="B19" s="199"/>
      <c r="C19" s="199"/>
      <c r="D19" s="199"/>
      <c r="E19" s="199"/>
      <c r="F19" s="199"/>
      <c r="G19" s="199"/>
      <c r="H19" s="199"/>
      <c r="I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</row>
    <row r="20" spans="1:30" ht="19.7" customHeight="1" x14ac:dyDescent="0.25">
      <c r="A20" s="199"/>
      <c r="B20" s="199"/>
      <c r="C20" s="199"/>
      <c r="D20" s="199"/>
      <c r="E20" s="199"/>
      <c r="F20" s="199"/>
      <c r="G20" s="199"/>
      <c r="H20" s="199"/>
      <c r="I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</row>
    <row r="21" spans="1:30" ht="19.7" customHeight="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</row>
    <row r="22" spans="1:30" ht="19.7" customHeight="1" x14ac:dyDescent="0.25">
      <c r="A22" s="199"/>
      <c r="B22" s="199"/>
      <c r="C22" s="199"/>
      <c r="D22" s="199"/>
      <c r="E22" s="199"/>
      <c r="F22" s="199"/>
      <c r="G22" s="199"/>
      <c r="H22" s="199"/>
      <c r="I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</row>
    <row r="23" spans="1:30" ht="19.7" customHeight="1" x14ac:dyDescent="0.25">
      <c r="A23" s="199"/>
      <c r="B23" s="199"/>
      <c r="C23" s="199"/>
      <c r="D23" s="199"/>
      <c r="E23" s="199"/>
      <c r="F23" s="199"/>
      <c r="G23" s="199"/>
      <c r="H23" s="199"/>
      <c r="I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</row>
    <row r="24" spans="1:30" ht="19.7" customHeight="1" x14ac:dyDescent="0.25">
      <c r="A24" s="199"/>
      <c r="B24" s="199"/>
      <c r="C24" s="199"/>
      <c r="D24" s="199"/>
      <c r="E24" s="199"/>
      <c r="F24" s="199"/>
      <c r="G24" s="199"/>
      <c r="H24" s="199"/>
      <c r="I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</row>
    <row r="25" spans="1:30" x14ac:dyDescent="0.25">
      <c r="A25" s="199"/>
      <c r="B25" s="199"/>
      <c r="C25" s="199"/>
      <c r="D25" s="199"/>
      <c r="E25" s="199"/>
      <c r="F25" s="199"/>
      <c r="G25" s="199"/>
      <c r="H25" s="199"/>
      <c r="I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</row>
    <row r="26" spans="1:30" x14ac:dyDescent="0.25">
      <c r="A26" s="199"/>
      <c r="B26" s="199"/>
      <c r="C26" s="199"/>
      <c r="D26" s="199"/>
      <c r="E26" s="199"/>
      <c r="F26" s="199"/>
      <c r="G26" s="199"/>
      <c r="H26" s="199"/>
      <c r="I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</row>
    <row r="27" spans="1:30" x14ac:dyDescent="0.25">
      <c r="A27" s="199"/>
      <c r="B27" s="199"/>
      <c r="C27" s="199"/>
      <c r="D27" s="199"/>
      <c r="E27" s="199"/>
      <c r="F27" s="199"/>
      <c r="G27" s="199"/>
      <c r="H27" s="199"/>
      <c r="I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</row>
    <row r="28" spans="1:30" x14ac:dyDescent="0.25">
      <c r="A28" s="199"/>
      <c r="B28" s="199"/>
      <c r="C28" s="199"/>
      <c r="D28" s="199"/>
      <c r="E28" s="199"/>
      <c r="F28" s="199"/>
      <c r="G28" s="199"/>
      <c r="H28" s="199"/>
      <c r="I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</row>
    <row r="29" spans="1:30" x14ac:dyDescent="0.25">
      <c r="A29" s="199"/>
      <c r="B29" s="199"/>
      <c r="C29" s="199"/>
      <c r="D29" s="199"/>
      <c r="E29" s="199"/>
      <c r="F29" s="199"/>
      <c r="G29" s="199"/>
      <c r="H29" s="199"/>
      <c r="I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</row>
    <row r="30" spans="1:30" x14ac:dyDescent="0.25">
      <c r="A30" s="199"/>
      <c r="B30" s="199"/>
      <c r="C30" s="199"/>
      <c r="D30" s="199"/>
      <c r="E30" s="199"/>
      <c r="F30" s="199"/>
      <c r="G30" s="199"/>
      <c r="H30" s="199"/>
      <c r="I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</row>
    <row r="31" spans="1:30" x14ac:dyDescent="0.25">
      <c r="A31" s="199"/>
      <c r="B31" s="199"/>
      <c r="C31" s="199"/>
      <c r="D31" s="199"/>
      <c r="E31" s="199"/>
      <c r="F31" s="199"/>
      <c r="G31" s="199"/>
      <c r="H31" s="199"/>
      <c r="I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</row>
    <row r="32" spans="1:30" x14ac:dyDescent="0.25">
      <c r="A32" s="199"/>
      <c r="B32" s="199"/>
      <c r="C32" s="199"/>
      <c r="D32" s="199"/>
      <c r="E32" s="199"/>
      <c r="F32" s="199"/>
      <c r="G32" s="199"/>
      <c r="H32" s="199"/>
      <c r="I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</row>
    <row r="33" spans="1:20" ht="18.75" x14ac:dyDescent="0.3">
      <c r="E33" s="170"/>
      <c r="H33" s="101"/>
    </row>
    <row r="34" spans="1:20" ht="18.75" x14ac:dyDescent="0.3">
      <c r="E34" s="170"/>
    </row>
    <row r="37" spans="1:20" ht="20.45" customHeight="1" x14ac:dyDescent="0.25">
      <c r="E37" s="204" t="s">
        <v>771</v>
      </c>
      <c r="F37" s="204"/>
      <c r="G37" s="204"/>
      <c r="H37" s="204"/>
      <c r="P37" s="205" t="s">
        <v>215</v>
      </c>
      <c r="Q37" s="205"/>
      <c r="R37" s="205"/>
      <c r="S37" s="205"/>
      <c r="T37" s="205"/>
    </row>
    <row r="38" spans="1:20" x14ac:dyDescent="0.25">
      <c r="E38" s="204"/>
      <c r="F38" s="204"/>
      <c r="G38" s="204"/>
      <c r="H38" s="204"/>
      <c r="P38" s="205"/>
      <c r="Q38" s="205"/>
      <c r="R38" s="205"/>
      <c r="S38" s="205"/>
      <c r="T38" s="205"/>
    </row>
    <row r="39" spans="1:20" ht="18" customHeight="1" x14ac:dyDescent="0.25">
      <c r="E39" s="204"/>
      <c r="F39" s="204"/>
      <c r="G39" s="204"/>
      <c r="H39" s="204"/>
    </row>
    <row r="40" spans="1:20" ht="18.75" x14ac:dyDescent="0.3">
      <c r="E40" s="170"/>
    </row>
    <row r="41" spans="1:20" ht="18.75" x14ac:dyDescent="0.3">
      <c r="E41" s="211" t="s">
        <v>536</v>
      </c>
      <c r="F41" s="211"/>
      <c r="G41" s="127"/>
      <c r="H41" s="127"/>
    </row>
    <row r="42" spans="1:20" ht="18.75" x14ac:dyDescent="0.3">
      <c r="E42" s="172" t="s">
        <v>396</v>
      </c>
      <c r="F42" s="171" t="s">
        <v>396</v>
      </c>
      <c r="G42" s="127"/>
      <c r="H42" s="127"/>
    </row>
    <row r="43" spans="1:20" ht="18.75" x14ac:dyDescent="0.3">
      <c r="E43" s="172" t="s">
        <v>216</v>
      </c>
      <c r="F43" s="171" t="s">
        <v>776</v>
      </c>
      <c r="G43" s="127"/>
      <c r="H43" s="127"/>
    </row>
    <row r="44" spans="1:20" ht="18.75" x14ac:dyDescent="0.3">
      <c r="E44" s="172" t="s">
        <v>172</v>
      </c>
      <c r="F44" s="171" t="s">
        <v>602</v>
      </c>
      <c r="G44" s="127"/>
      <c r="H44" s="127"/>
    </row>
    <row r="45" spans="1:20" ht="18.75" x14ac:dyDescent="0.3">
      <c r="E45" s="172" t="s">
        <v>495</v>
      </c>
      <c r="F45" s="171" t="s">
        <v>518</v>
      </c>
      <c r="G45" s="127"/>
      <c r="H45" s="127"/>
    </row>
    <row r="46" spans="1:20" ht="18.75" x14ac:dyDescent="0.3">
      <c r="E46" s="172" t="s">
        <v>173</v>
      </c>
      <c r="F46" s="171" t="s">
        <v>600</v>
      </c>
      <c r="G46" s="127"/>
      <c r="H46" s="127"/>
    </row>
    <row r="47" spans="1:20" ht="18.75" x14ac:dyDescent="0.3">
      <c r="E47" s="172" t="s">
        <v>535</v>
      </c>
      <c r="F47" s="171" t="s">
        <v>544</v>
      </c>
      <c r="G47" s="127"/>
      <c r="H47" s="127"/>
    </row>
    <row r="48" spans="1:20" ht="18.75" x14ac:dyDescent="0.3">
      <c r="A48" s="127"/>
      <c r="B48" s="127"/>
      <c r="C48" s="127"/>
      <c r="D48" s="127"/>
      <c r="E48" s="170"/>
      <c r="F48" s="170"/>
      <c r="G48" s="127"/>
      <c r="H48" s="127"/>
    </row>
    <row r="49" spans="1:8" ht="18.75" x14ac:dyDescent="0.3">
      <c r="A49" s="127"/>
      <c r="B49" s="127"/>
      <c r="C49" s="127"/>
      <c r="D49" s="127"/>
      <c r="E49" s="211" t="s">
        <v>537</v>
      </c>
      <c r="F49" s="211"/>
      <c r="G49" s="127"/>
      <c r="H49" s="127" t="s">
        <v>496</v>
      </c>
    </row>
    <row r="50" spans="1:8" ht="18.75" x14ac:dyDescent="0.3">
      <c r="A50" s="127"/>
      <c r="B50" s="127"/>
      <c r="C50" s="127"/>
      <c r="D50" s="127"/>
      <c r="E50" s="172" t="s">
        <v>494</v>
      </c>
      <c r="F50" s="171" t="s">
        <v>547</v>
      </c>
      <c r="G50" s="127"/>
      <c r="H50" s="167">
        <f>VLOOKUP(F50,'Look up tables '!P2:Q4,2,FALSE)</f>
        <v>0.10080021333333333</v>
      </c>
    </row>
    <row r="51" spans="1:8" ht="18.75" x14ac:dyDescent="0.3">
      <c r="E51" s="172" t="s">
        <v>216</v>
      </c>
      <c r="F51" s="171" t="s">
        <v>467</v>
      </c>
      <c r="G51" s="127"/>
      <c r="H51" s="167">
        <f>VLOOKUP(TOOL!F51,'Look up tables '!P5:Q7,2,FALSE)</f>
        <v>0.49468093001199998</v>
      </c>
    </row>
    <row r="52" spans="1:8" ht="18.75" x14ac:dyDescent="0.3">
      <c r="E52" s="172" t="s">
        <v>472</v>
      </c>
      <c r="F52" s="171" t="s">
        <v>498</v>
      </c>
      <c r="G52" s="127"/>
      <c r="H52" s="167">
        <f>VLOOKUP(F52,'Look up tables '!P8:Q11,2,FALSE)</f>
        <v>1.6212890031727081</v>
      </c>
    </row>
    <row r="53" spans="1:8" ht="18.75" x14ac:dyDescent="0.3">
      <c r="E53" s="172" t="s">
        <v>505</v>
      </c>
      <c r="F53" s="171" t="s">
        <v>483</v>
      </c>
      <c r="G53" s="127"/>
      <c r="H53" s="167">
        <f>VLOOKUP(F53,'Look up tables '!P12:Q12,2,FALSE)</f>
        <v>4.3150399999999998</v>
      </c>
    </row>
    <row r="54" spans="1:8" ht="18.75" x14ac:dyDescent="0.3">
      <c r="E54" s="170"/>
      <c r="F54" s="170"/>
      <c r="G54" s="127"/>
      <c r="H54" s="166"/>
    </row>
    <row r="55" spans="1:8" ht="23.25" x14ac:dyDescent="0.35">
      <c r="E55" s="170"/>
      <c r="F55" s="170"/>
      <c r="G55" s="174" t="s">
        <v>500</v>
      </c>
      <c r="H55" s="173">
        <f>SUM(H50:H53)</f>
        <v>6.5318101465180414</v>
      </c>
    </row>
  </sheetData>
  <mergeCells count="14">
    <mergeCell ref="A1:G1"/>
    <mergeCell ref="B8:E9"/>
    <mergeCell ref="E41:F41"/>
    <mergeCell ref="E49:F49"/>
    <mergeCell ref="A2:G2"/>
    <mergeCell ref="A3:G3"/>
    <mergeCell ref="A4:G4"/>
    <mergeCell ref="A5:G5"/>
    <mergeCell ref="A6:G6"/>
    <mergeCell ref="P8:V9"/>
    <mergeCell ref="A10:I32"/>
    <mergeCell ref="M11:AD32"/>
    <mergeCell ref="E37:H39"/>
    <mergeCell ref="P37:T3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2A95EBA-37F9-46D0-8BEE-BC6DC7CD393E}">
          <x14:formula1>
            <xm:f>'Look up tables '!$A$3</xm:f>
          </x14:formula1>
          <xm:sqref>F42</xm:sqref>
        </x14:dataValidation>
        <x14:dataValidation type="list" allowBlank="1" showInputMessage="1" showErrorMessage="1" xr:uid="{D18FCF61-A41B-4A95-9FCF-F0B7F432E8C2}">
          <x14:formula1>
            <xm:f>'Look up tables '!$D$3:$D$5</xm:f>
          </x14:formula1>
          <xm:sqref>F45</xm:sqref>
        </x14:dataValidation>
        <x14:dataValidation type="list" allowBlank="1" showInputMessage="1" showErrorMessage="1" xr:uid="{EB4BABFD-7931-4C49-BD37-BAD7BA170B05}">
          <x14:formula1>
            <xm:f>'Look up tables '!$E$3:$E$5</xm:f>
          </x14:formula1>
          <xm:sqref>F46</xm:sqref>
        </x14:dataValidation>
        <x14:dataValidation type="list" allowBlank="1" showInputMessage="1" showErrorMessage="1" xr:uid="{9182332E-5F24-44E5-9BF2-4B907F334945}">
          <x14:formula1>
            <xm:f>'Look up tables '!$F$3</xm:f>
          </x14:formula1>
          <xm:sqref>F47</xm:sqref>
        </x14:dataValidation>
        <x14:dataValidation type="list" allowBlank="1" showInputMessage="1" showErrorMessage="1" xr:uid="{FC4C6C6E-AD52-4BC0-81DE-8AD2C1DDE4CF}">
          <x14:formula1>
            <xm:f>'Look up tables '!$J$3:$J$5</xm:f>
          </x14:formula1>
          <xm:sqref>F50</xm:sqref>
        </x14:dataValidation>
        <x14:dataValidation type="list" allowBlank="1" showInputMessage="1" showErrorMessage="1" xr:uid="{56F44825-5610-409F-A567-59834A43BC52}">
          <x14:formula1>
            <xm:f>'Look up tables '!$K$3:$K$5</xm:f>
          </x14:formula1>
          <xm:sqref>F51</xm:sqref>
        </x14:dataValidation>
        <x14:dataValidation type="list" allowBlank="1" showInputMessage="1" showErrorMessage="1" xr:uid="{B484D6EB-FA79-4D04-9810-E093F205F3CE}">
          <x14:formula1>
            <xm:f>'Look up tables '!$L$3:$L$6</xm:f>
          </x14:formula1>
          <xm:sqref>F52</xm:sqref>
        </x14:dataValidation>
        <x14:dataValidation type="list" allowBlank="1" showInputMessage="1" showErrorMessage="1" xr:uid="{D62EADC5-D86C-4591-8AF0-471A42D8618F}">
          <x14:formula1>
            <xm:f>'Look up tables '!$M$3</xm:f>
          </x14:formula1>
          <xm:sqref>F53</xm:sqref>
        </x14:dataValidation>
        <x14:dataValidation type="list" allowBlank="1" showInputMessage="1" showErrorMessage="1" xr:uid="{F68E9414-9AC8-42B5-BA73-2A07E7F03BFC}">
          <x14:formula1>
            <xm:f>'Look up tables '!$C$3:$C$6</xm:f>
          </x14:formula1>
          <xm:sqref>F44</xm:sqref>
        </x14:dataValidation>
        <x14:dataValidation type="list" allowBlank="1" showInputMessage="1" showErrorMessage="1" xr:uid="{8D5AF8DF-24AD-4ADB-8498-C1CF7C794486}">
          <x14:formula1>
            <xm:f>'Look up tables '!$B$3:$B$7</xm:f>
          </x14:formula1>
          <xm:sqref>F43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8AD7-EE97-4551-B32C-B5F248316CBE}">
  <dimension ref="A1:CJ502"/>
  <sheetViews>
    <sheetView tabSelected="1" zoomScale="85" zoomScaleNormal="85" workbookViewId="0">
      <selection activeCell="T277" sqref="T277"/>
    </sheetView>
  </sheetViews>
  <sheetFormatPr defaultRowHeight="15" x14ac:dyDescent="0.25"/>
  <cols>
    <col min="2" max="2" width="13.5703125" customWidth="1"/>
    <col min="3" max="3" width="29.42578125" customWidth="1"/>
    <col min="4" max="4" width="15.42578125" customWidth="1"/>
    <col min="5" max="5" width="9" bestFit="1" customWidth="1"/>
    <col min="6" max="6" width="10.5703125" customWidth="1"/>
    <col min="7" max="7" width="16.42578125" customWidth="1"/>
    <col min="8" max="8" width="11" customWidth="1"/>
    <col min="10" max="10" width="9" style="19" bestFit="1" customWidth="1"/>
    <col min="11" max="11" width="18.5703125" customWidth="1"/>
    <col min="12" max="12" width="31.140625" customWidth="1"/>
    <col min="13" max="13" width="11.140625" style="19" customWidth="1"/>
    <col min="14" max="14" width="12" bestFit="1" customWidth="1"/>
    <col min="15" max="15" width="13.140625" customWidth="1"/>
    <col min="17" max="17" width="10.5703125" customWidth="1"/>
    <col min="19" max="19" width="9" bestFit="1" customWidth="1"/>
    <col min="20" max="20" width="15.85546875" customWidth="1"/>
    <col min="21" max="21" width="14.42578125" customWidth="1"/>
    <col min="22" max="22" width="12.5703125" customWidth="1"/>
    <col min="24" max="24" width="11.42578125" customWidth="1"/>
    <col min="25" max="25" width="11.85546875" bestFit="1" customWidth="1"/>
    <col min="26" max="26" width="16" bestFit="1" customWidth="1"/>
    <col min="27" max="28" width="12.5703125" bestFit="1" customWidth="1"/>
    <col min="29" max="29" width="13.85546875" bestFit="1" customWidth="1"/>
    <col min="30" max="30" width="10.42578125" customWidth="1"/>
    <col min="31" max="31" width="15" bestFit="1" customWidth="1"/>
    <col min="32" max="32" width="15" customWidth="1"/>
    <col min="33" max="33" width="17.5703125" customWidth="1"/>
    <col min="38" max="38" width="14" customWidth="1"/>
    <col min="39" max="39" width="21.5703125" customWidth="1"/>
    <col min="40" max="40" width="15.5703125" customWidth="1"/>
    <col min="41" max="41" width="10.5703125" style="19" customWidth="1"/>
    <col min="42" max="42" width="9.42578125" bestFit="1" customWidth="1"/>
    <col min="43" max="43" width="11" bestFit="1" customWidth="1"/>
    <col min="44" max="44" width="9.42578125" bestFit="1" customWidth="1"/>
    <col min="45" max="45" width="24.42578125" customWidth="1"/>
    <col min="46" max="46" width="25.5703125" customWidth="1"/>
    <col min="47" max="47" width="15.5703125" customWidth="1"/>
    <col min="48" max="48" width="24.42578125" bestFit="1" customWidth="1"/>
    <col min="49" max="49" width="25" customWidth="1"/>
    <col min="50" max="50" width="11.5703125" bestFit="1" customWidth="1"/>
    <col min="51" max="51" width="12.42578125" bestFit="1" customWidth="1"/>
    <col min="52" max="52" width="11.140625" bestFit="1" customWidth="1"/>
    <col min="82" max="82" width="10.5703125" bestFit="1" customWidth="1"/>
  </cols>
  <sheetData>
    <row r="1" spans="1:34" ht="15.75" thickBot="1" x14ac:dyDescent="0.3">
      <c r="D1" s="44" t="s">
        <v>0</v>
      </c>
      <c r="J1" s="136" t="s">
        <v>391</v>
      </c>
      <c r="K1" s="73"/>
      <c r="M1" s="136" t="s">
        <v>1</v>
      </c>
      <c r="N1" s="84">
        <v>3785.41</v>
      </c>
      <c r="O1" s="73" t="s">
        <v>2</v>
      </c>
      <c r="P1" s="74" t="s">
        <v>392</v>
      </c>
      <c r="Q1" s="89">
        <f>(1*10^-6)</f>
        <v>9.9999999999999995E-7</v>
      </c>
      <c r="R1" s="68" t="s">
        <v>359</v>
      </c>
    </row>
    <row r="2" spans="1:34" ht="15.75" thickBot="1" x14ac:dyDescent="0.3">
      <c r="J2" s="137">
        <f>0.0039</f>
        <v>3.8999999999999998E-3</v>
      </c>
      <c r="K2" s="70" t="s">
        <v>360</v>
      </c>
      <c r="M2" s="136" t="s">
        <v>3</v>
      </c>
      <c r="N2" s="84">
        <v>2.93071E-4</v>
      </c>
      <c r="O2" s="84" t="s">
        <v>4</v>
      </c>
      <c r="P2" s="135" t="s">
        <v>422</v>
      </c>
      <c r="Q2" s="89">
        <v>1</v>
      </c>
      <c r="R2" s="89" t="s">
        <v>26</v>
      </c>
      <c r="S2" s="89">
        <v>5.0000000000000001E-3</v>
      </c>
      <c r="T2" s="68" t="s">
        <v>406</v>
      </c>
      <c r="U2" t="s">
        <v>717</v>
      </c>
    </row>
    <row r="3" spans="1:34" ht="15.75" thickBot="1" x14ac:dyDescent="0.3">
      <c r="F3" t="s">
        <v>5</v>
      </c>
      <c r="J3" s="138">
        <v>3.9</v>
      </c>
      <c r="K3" s="72" t="s">
        <v>406</v>
      </c>
      <c r="M3" s="136" t="s">
        <v>6</v>
      </c>
      <c r="N3" s="84">
        <v>1000</v>
      </c>
      <c r="O3" s="84" t="s">
        <v>2</v>
      </c>
      <c r="P3" s="134" t="s">
        <v>422</v>
      </c>
      <c r="Q3" s="97">
        <v>10</v>
      </c>
      <c r="R3" s="97" t="s">
        <v>26</v>
      </c>
      <c r="S3" s="97">
        <v>0.1</v>
      </c>
      <c r="T3" s="72" t="s">
        <v>406</v>
      </c>
    </row>
    <row r="4" spans="1:34" x14ac:dyDescent="0.25">
      <c r="C4" t="s">
        <v>7</v>
      </c>
      <c r="D4" t="s">
        <v>8</v>
      </c>
      <c r="F4" t="s">
        <v>9</v>
      </c>
      <c r="G4" t="s">
        <v>10</v>
      </c>
      <c r="H4" t="s">
        <v>11</v>
      </c>
      <c r="I4" t="s">
        <v>12</v>
      </c>
      <c r="L4" t="s">
        <v>13</v>
      </c>
      <c r="M4" s="19" t="s">
        <v>14</v>
      </c>
      <c r="N4" t="s">
        <v>15</v>
      </c>
      <c r="O4" t="s">
        <v>16</v>
      </c>
      <c r="P4" t="s">
        <v>17</v>
      </c>
      <c r="AH4" t="s">
        <v>18</v>
      </c>
    </row>
    <row r="5" spans="1:34" x14ac:dyDescent="0.25">
      <c r="A5" s="175" t="s">
        <v>19</v>
      </c>
      <c r="B5" s="175" t="s">
        <v>20</v>
      </c>
      <c r="C5" s="1" t="s">
        <v>21</v>
      </c>
      <c r="F5" t="s">
        <v>22</v>
      </c>
      <c r="G5" s="2">
        <v>7.2599999999999998E-2</v>
      </c>
      <c r="H5" t="s">
        <v>23</v>
      </c>
      <c r="I5" s="10" t="s">
        <v>24</v>
      </c>
    </row>
    <row r="6" spans="1:34" ht="15.75" thickBot="1" x14ac:dyDescent="0.3">
      <c r="A6" s="175"/>
      <c r="B6" s="175"/>
      <c r="C6" s="1" t="s">
        <v>25</v>
      </c>
      <c r="F6" t="s">
        <v>26</v>
      </c>
      <c r="G6" s="2"/>
    </row>
    <row r="7" spans="1:34" x14ac:dyDescent="0.25">
      <c r="A7" s="175"/>
      <c r="B7" s="12"/>
      <c r="C7" s="1"/>
      <c r="G7" s="2"/>
      <c r="Q7" s="85" t="s">
        <v>410</v>
      </c>
    </row>
    <row r="8" spans="1:34" ht="18" x14ac:dyDescent="0.35">
      <c r="A8" s="175"/>
      <c r="B8" s="175" t="s">
        <v>27</v>
      </c>
      <c r="C8" s="1" t="s">
        <v>28</v>
      </c>
      <c r="D8" s="5">
        <f>G8/10^6</f>
        <v>1.1000000000000001E-3</v>
      </c>
      <c r="F8" t="s">
        <v>26</v>
      </c>
      <c r="G8" s="2">
        <v>1100</v>
      </c>
      <c r="H8" t="s">
        <v>29</v>
      </c>
      <c r="I8" t="s">
        <v>30</v>
      </c>
      <c r="K8" s="1" t="s">
        <v>28</v>
      </c>
      <c r="M8" s="19" t="s">
        <v>31</v>
      </c>
      <c r="N8">
        <v>0.78449999999999998</v>
      </c>
      <c r="O8" t="s">
        <v>32</v>
      </c>
      <c r="P8" t="s">
        <v>33</v>
      </c>
      <c r="Q8" s="86"/>
    </row>
    <row r="9" spans="1:34" ht="17.25" x14ac:dyDescent="0.25">
      <c r="A9" s="175"/>
      <c r="B9" s="175"/>
      <c r="C9" s="1" t="s">
        <v>34</v>
      </c>
      <c r="D9" s="5">
        <v>0.49</v>
      </c>
      <c r="F9" t="s">
        <v>35</v>
      </c>
      <c r="G9" s="2"/>
      <c r="I9" s="10" t="s">
        <v>763</v>
      </c>
      <c r="K9" s="1" t="s">
        <v>34</v>
      </c>
      <c r="Q9" s="86"/>
    </row>
    <row r="10" spans="1:34" ht="18" x14ac:dyDescent="0.35">
      <c r="A10" s="175"/>
      <c r="B10" s="175"/>
      <c r="C10" s="1" t="s">
        <v>36</v>
      </c>
      <c r="D10" s="5">
        <f>G10/10^6</f>
        <v>1.97E-3</v>
      </c>
      <c r="F10" t="s">
        <v>26</v>
      </c>
      <c r="G10" s="2">
        <v>1970</v>
      </c>
      <c r="H10" t="s">
        <v>37</v>
      </c>
      <c r="K10" s="1" t="s">
        <v>38</v>
      </c>
      <c r="L10" t="s">
        <v>39</v>
      </c>
      <c r="M10" s="19" t="s">
        <v>40</v>
      </c>
      <c r="N10">
        <v>0.73270000000000002</v>
      </c>
      <c r="O10" t="s">
        <v>32</v>
      </c>
      <c r="P10" t="s">
        <v>41</v>
      </c>
      <c r="Q10" s="86"/>
    </row>
    <row r="11" spans="1:34" ht="18" x14ac:dyDescent="0.35">
      <c r="A11" s="175"/>
      <c r="B11" s="175"/>
      <c r="C11" s="1" t="s">
        <v>42</v>
      </c>
      <c r="D11" s="5">
        <f>G11/10^3</f>
        <v>1E-3</v>
      </c>
      <c r="F11" t="s">
        <v>26</v>
      </c>
      <c r="G11" s="38">
        <v>1</v>
      </c>
      <c r="H11" t="s">
        <v>43</v>
      </c>
      <c r="I11" t="s">
        <v>44</v>
      </c>
      <c r="K11" s="1" t="s">
        <v>42</v>
      </c>
      <c r="L11" t="s">
        <v>45</v>
      </c>
      <c r="M11" s="19" t="s">
        <v>46</v>
      </c>
      <c r="N11">
        <v>1.1057999999999999</v>
      </c>
      <c r="O11" t="s">
        <v>32</v>
      </c>
      <c r="P11" t="s">
        <v>47</v>
      </c>
      <c r="Q11" s="86"/>
    </row>
    <row r="12" spans="1:34" ht="18" x14ac:dyDescent="0.35">
      <c r="A12" s="175"/>
      <c r="B12" s="175"/>
      <c r="C12" s="1" t="s">
        <v>48</v>
      </c>
      <c r="D12" s="5">
        <f t="shared" ref="D12:D22" si="0">G12/10^6</f>
        <v>1.1000000000000001E-3</v>
      </c>
      <c r="F12" t="s">
        <v>26</v>
      </c>
      <c r="G12" s="2">
        <v>1100</v>
      </c>
      <c r="H12" t="s">
        <v>37</v>
      </c>
      <c r="I12" t="s">
        <v>49</v>
      </c>
      <c r="K12" s="1" t="s">
        <v>50</v>
      </c>
      <c r="L12" t="s">
        <v>48</v>
      </c>
      <c r="M12" s="19" t="s">
        <v>51</v>
      </c>
      <c r="N12">
        <v>0.94450000000000001</v>
      </c>
      <c r="O12" t="s">
        <v>32</v>
      </c>
      <c r="P12" t="s">
        <v>52</v>
      </c>
      <c r="Q12" s="86"/>
    </row>
    <row r="13" spans="1:34" ht="18" x14ac:dyDescent="0.35">
      <c r="A13" s="175"/>
      <c r="B13" s="175"/>
      <c r="C13" s="1" t="s">
        <v>53</v>
      </c>
      <c r="D13" s="5">
        <f t="shared" si="0"/>
        <v>8.8699999999999998E-4</v>
      </c>
      <c r="F13" t="s">
        <v>26</v>
      </c>
      <c r="G13" s="2">
        <v>887</v>
      </c>
      <c r="H13" t="s">
        <v>29</v>
      </c>
      <c r="I13" t="s">
        <v>54</v>
      </c>
      <c r="K13" s="1" t="s">
        <v>53</v>
      </c>
      <c r="L13" t="s">
        <v>55</v>
      </c>
      <c r="M13" s="19" t="s">
        <v>56</v>
      </c>
      <c r="N13">
        <v>0.7893</v>
      </c>
      <c r="O13" t="s">
        <v>32</v>
      </c>
      <c r="P13" t="s">
        <v>57</v>
      </c>
      <c r="Q13" s="86"/>
    </row>
    <row r="14" spans="1:34" x14ac:dyDescent="0.25">
      <c r="A14" s="175"/>
      <c r="B14" s="175"/>
      <c r="C14" s="1" t="s">
        <v>455</v>
      </c>
      <c r="D14" s="5">
        <f>G14/N1</f>
        <v>4.7286819657580027E-4</v>
      </c>
      <c r="G14" s="2">
        <v>1.79</v>
      </c>
      <c r="H14" t="s">
        <v>308</v>
      </c>
      <c r="I14" t="s">
        <v>458</v>
      </c>
      <c r="K14" s="1"/>
      <c r="N14">
        <v>0.79800000000000004</v>
      </c>
      <c r="O14" t="s">
        <v>456</v>
      </c>
      <c r="P14" t="s">
        <v>457</v>
      </c>
      <c r="Q14" s="86"/>
    </row>
    <row r="15" spans="1:34" x14ac:dyDescent="0.25">
      <c r="A15" s="175"/>
      <c r="B15" s="175"/>
      <c r="C15" s="1" t="s">
        <v>58</v>
      </c>
      <c r="D15" s="5">
        <f t="shared" si="0"/>
        <v>1.3749999999999999E-3</v>
      </c>
      <c r="G15" s="2">
        <v>1375</v>
      </c>
      <c r="H15" t="s">
        <v>29</v>
      </c>
      <c r="I15" t="s">
        <v>59</v>
      </c>
      <c r="K15" s="1" t="s">
        <v>60</v>
      </c>
      <c r="N15">
        <v>1.0489999999999999</v>
      </c>
      <c r="O15" t="s">
        <v>32</v>
      </c>
      <c r="P15" t="s">
        <v>61</v>
      </c>
      <c r="Q15" s="86"/>
    </row>
    <row r="16" spans="1:34" ht="18" x14ac:dyDescent="0.35">
      <c r="A16" s="175"/>
      <c r="B16" s="175"/>
      <c r="C16" s="1" t="s">
        <v>62</v>
      </c>
      <c r="D16" s="5">
        <f>G16/10^6</f>
        <v>1.5918E-3</v>
      </c>
      <c r="F16" t="s">
        <v>26</v>
      </c>
      <c r="G16" s="2">
        <f>(1429+1340+1883+1682+1625)/5</f>
        <v>1591.8</v>
      </c>
      <c r="H16" t="s">
        <v>29</v>
      </c>
      <c r="I16" s="10" t="s">
        <v>63</v>
      </c>
      <c r="K16" s="1" t="s">
        <v>62</v>
      </c>
      <c r="L16" t="s">
        <v>64</v>
      </c>
      <c r="M16" s="19" t="s">
        <v>65</v>
      </c>
      <c r="N16">
        <v>0.90029999999999999</v>
      </c>
      <c r="O16" t="s">
        <v>32</v>
      </c>
      <c r="P16" t="s">
        <v>66</v>
      </c>
      <c r="Q16" s="86"/>
    </row>
    <row r="17" spans="1:19" x14ac:dyDescent="0.25">
      <c r="A17" s="175"/>
      <c r="B17" s="175"/>
      <c r="C17" s="1" t="s">
        <v>67</v>
      </c>
      <c r="D17" s="5">
        <f>G17/10^6</f>
        <v>1.7000000000000001E-4</v>
      </c>
      <c r="F17" t="s">
        <v>26</v>
      </c>
      <c r="G17" s="2">
        <v>170</v>
      </c>
      <c r="H17" t="s">
        <v>29</v>
      </c>
      <c r="K17" s="1" t="s">
        <v>68</v>
      </c>
      <c r="M17" s="142" t="s">
        <v>69</v>
      </c>
      <c r="N17">
        <v>1.18</v>
      </c>
      <c r="O17" t="s">
        <v>32</v>
      </c>
      <c r="P17" t="s">
        <v>70</v>
      </c>
      <c r="Q17" s="86"/>
    </row>
    <row r="18" spans="1:19" x14ac:dyDescent="0.25">
      <c r="A18" s="175"/>
      <c r="B18" s="175"/>
      <c r="C18" s="158" t="s">
        <v>71</v>
      </c>
      <c r="D18" s="5">
        <f>G18/500</f>
        <v>0.28000000000000003</v>
      </c>
      <c r="F18" t="s">
        <v>26</v>
      </c>
      <c r="G18" s="2">
        <v>140</v>
      </c>
      <c r="H18" t="s">
        <v>737</v>
      </c>
      <c r="I18" s="10" t="s">
        <v>738</v>
      </c>
      <c r="K18" s="1" t="s">
        <v>72</v>
      </c>
      <c r="L18" t="s">
        <v>73</v>
      </c>
      <c r="M18" s="142"/>
      <c r="Q18" s="86">
        <v>127.911</v>
      </c>
      <c r="R18" t="s">
        <v>409</v>
      </c>
      <c r="S18" t="s">
        <v>414</v>
      </c>
    </row>
    <row r="19" spans="1:19" x14ac:dyDescent="0.25">
      <c r="A19" s="175"/>
      <c r="B19" s="175"/>
      <c r="C19" s="1" t="s">
        <v>721</v>
      </c>
      <c r="D19" s="5">
        <f>G19/10^6</f>
        <v>2.5999999999999998E-4</v>
      </c>
      <c r="F19" t="s">
        <v>26</v>
      </c>
      <c r="G19" s="2">
        <v>260</v>
      </c>
      <c r="H19" t="s">
        <v>29</v>
      </c>
      <c r="I19" s="10" t="s">
        <v>311</v>
      </c>
      <c r="K19" s="1" t="s">
        <v>722</v>
      </c>
      <c r="L19" t="s">
        <v>707</v>
      </c>
      <c r="M19" s="142"/>
      <c r="N19">
        <v>1.83</v>
      </c>
      <c r="O19" t="s">
        <v>32</v>
      </c>
      <c r="P19" t="s">
        <v>723</v>
      </c>
      <c r="Q19" s="86">
        <v>98.078999999999994</v>
      </c>
      <c r="R19" t="s">
        <v>409</v>
      </c>
    </row>
    <row r="20" spans="1:19" x14ac:dyDescent="0.25">
      <c r="A20" s="175"/>
      <c r="B20" s="175"/>
      <c r="C20" s="1" t="s">
        <v>74</v>
      </c>
      <c r="D20" s="5">
        <f t="shared" si="0"/>
        <v>3.8499999999999998E-4</v>
      </c>
      <c r="F20" t="s">
        <v>26</v>
      </c>
      <c r="G20" s="2">
        <v>385</v>
      </c>
      <c r="H20" t="s">
        <v>29</v>
      </c>
      <c r="I20" t="s">
        <v>75</v>
      </c>
      <c r="K20" s="1" t="s">
        <v>76</v>
      </c>
      <c r="N20">
        <v>1.5128999999999999</v>
      </c>
      <c r="O20" t="s">
        <v>77</v>
      </c>
      <c r="P20" t="s">
        <v>78</v>
      </c>
      <c r="Q20" s="86"/>
    </row>
    <row r="21" spans="1:19" x14ac:dyDescent="0.25">
      <c r="A21" s="175"/>
      <c r="B21" s="175"/>
      <c r="C21" s="1" t="s">
        <v>79</v>
      </c>
      <c r="D21" s="5">
        <f t="shared" si="0"/>
        <v>5.5000000000000003E-4</v>
      </c>
      <c r="G21" s="2">
        <v>550</v>
      </c>
      <c r="H21" t="s">
        <v>37</v>
      </c>
      <c r="I21" t="s">
        <v>80</v>
      </c>
      <c r="K21" s="1" t="s">
        <v>81</v>
      </c>
      <c r="L21" t="s">
        <v>82</v>
      </c>
      <c r="N21">
        <v>1.1990000000000001</v>
      </c>
      <c r="O21" t="s">
        <v>32</v>
      </c>
      <c r="P21" t="s">
        <v>83</v>
      </c>
      <c r="Q21" s="86"/>
    </row>
    <row r="22" spans="1:19" x14ac:dyDescent="0.25">
      <c r="A22" s="175"/>
      <c r="B22" s="175"/>
      <c r="C22" s="1" t="s">
        <v>84</v>
      </c>
      <c r="D22" s="5">
        <f t="shared" si="0"/>
        <v>8.5700000000000001E-4</v>
      </c>
      <c r="F22" t="s">
        <v>26</v>
      </c>
      <c r="G22" s="2">
        <v>857</v>
      </c>
      <c r="H22" t="s">
        <v>29</v>
      </c>
      <c r="I22" t="s">
        <v>85</v>
      </c>
      <c r="K22" s="1" t="s">
        <v>86</v>
      </c>
      <c r="L22" t="s">
        <v>87</v>
      </c>
      <c r="N22">
        <v>1.113</v>
      </c>
      <c r="O22" t="s">
        <v>32</v>
      </c>
      <c r="P22" t="s">
        <v>88</v>
      </c>
      <c r="Q22" s="86"/>
    </row>
    <row r="23" spans="1:19" x14ac:dyDescent="0.25">
      <c r="A23" s="175"/>
      <c r="B23" s="175"/>
      <c r="C23" s="1" t="s">
        <v>89</v>
      </c>
      <c r="D23" s="5">
        <f>G23/10^3</f>
        <v>1E-3</v>
      </c>
      <c r="F23" t="s">
        <v>26</v>
      </c>
      <c r="G23" s="2">
        <v>1</v>
      </c>
      <c r="H23" t="s">
        <v>43</v>
      </c>
      <c r="I23" t="s">
        <v>90</v>
      </c>
      <c r="K23" s="1" t="s">
        <v>91</v>
      </c>
      <c r="N23">
        <v>1.413</v>
      </c>
      <c r="O23" t="s">
        <v>32</v>
      </c>
      <c r="P23" t="s">
        <v>92</v>
      </c>
      <c r="Q23" s="86"/>
    </row>
    <row r="24" spans="1:19" x14ac:dyDescent="0.25">
      <c r="A24" s="175"/>
      <c r="B24" s="175"/>
      <c r="C24" s="1" t="s">
        <v>93</v>
      </c>
      <c r="D24" s="13">
        <f>G24/10^6</f>
        <v>1.8550000000000001E-3</v>
      </c>
      <c r="F24" t="s">
        <v>26</v>
      </c>
      <c r="G24" s="2">
        <v>1855</v>
      </c>
      <c r="H24" t="s">
        <v>29</v>
      </c>
      <c r="I24" t="s">
        <v>94</v>
      </c>
      <c r="K24" s="1" t="s">
        <v>95</v>
      </c>
      <c r="N24">
        <v>1.0954999999999999</v>
      </c>
      <c r="O24" t="s">
        <v>32</v>
      </c>
      <c r="P24" s="10" t="s">
        <v>96</v>
      </c>
      <c r="Q24" s="86"/>
    </row>
    <row r="25" spans="1:19" x14ac:dyDescent="0.25">
      <c r="A25" s="175"/>
      <c r="B25" s="175"/>
      <c r="C25" s="1" t="s">
        <v>393</v>
      </c>
      <c r="D25" s="13"/>
      <c r="G25" s="2"/>
      <c r="K25" s="1" t="s">
        <v>73</v>
      </c>
      <c r="N25">
        <v>2.85</v>
      </c>
      <c r="O25" t="s">
        <v>32</v>
      </c>
      <c r="P25" s="10"/>
      <c r="Q25" s="86"/>
    </row>
    <row r="26" spans="1:19" x14ac:dyDescent="0.25">
      <c r="A26" s="175"/>
      <c r="B26" s="175"/>
      <c r="C26" s="37" t="s">
        <v>97</v>
      </c>
      <c r="D26" s="5">
        <f>G26/10^3</f>
        <v>3.0000000000000001E-3</v>
      </c>
      <c r="G26" s="40">
        <v>3</v>
      </c>
      <c r="H26" t="s">
        <v>43</v>
      </c>
      <c r="I26" s="10" t="s">
        <v>98</v>
      </c>
      <c r="K26" s="1" t="s">
        <v>418</v>
      </c>
      <c r="N26">
        <v>3.12</v>
      </c>
      <c r="O26" t="s">
        <v>32</v>
      </c>
      <c r="P26" s="10" t="s">
        <v>99</v>
      </c>
      <c r="Q26" s="86">
        <v>166</v>
      </c>
      <c r="R26" t="s">
        <v>409</v>
      </c>
      <c r="S26" t="s">
        <v>415</v>
      </c>
    </row>
    <row r="27" spans="1:19" x14ac:dyDescent="0.25">
      <c r="A27" s="175"/>
      <c r="B27" s="175"/>
      <c r="C27" s="1" t="s">
        <v>100</v>
      </c>
      <c r="D27" s="5">
        <f>G27/10^6</f>
        <v>1.5560000000000001E-3</v>
      </c>
      <c r="G27" s="2">
        <v>1556</v>
      </c>
      <c r="H27" t="s">
        <v>29</v>
      </c>
      <c r="I27" s="10" t="s">
        <v>101</v>
      </c>
      <c r="K27" s="1" t="s">
        <v>102</v>
      </c>
      <c r="N27">
        <v>0.85799999999999998</v>
      </c>
      <c r="O27" t="s">
        <v>32</v>
      </c>
      <c r="P27" s="10" t="s">
        <v>103</v>
      </c>
      <c r="Q27" s="86"/>
    </row>
    <row r="28" spans="1:19" x14ac:dyDescent="0.25">
      <c r="A28" s="175"/>
      <c r="B28" s="175"/>
      <c r="C28" s="1" t="s">
        <v>104</v>
      </c>
      <c r="D28" s="5">
        <f>G28/10^6</f>
        <v>1.25E-3</v>
      </c>
      <c r="G28" s="2">
        <v>1250</v>
      </c>
      <c r="H28" t="s">
        <v>29</v>
      </c>
      <c r="I28" s="10" t="s">
        <v>105</v>
      </c>
      <c r="K28" s="1" t="s">
        <v>104</v>
      </c>
      <c r="P28" s="10"/>
      <c r="Q28" s="86"/>
    </row>
    <row r="29" spans="1:19" x14ac:dyDescent="0.25">
      <c r="A29" s="175"/>
      <c r="B29" s="175"/>
      <c r="C29" s="1" t="s">
        <v>102</v>
      </c>
      <c r="D29" s="5">
        <f>G29/50/$N$3/N29</f>
        <v>7.2277227722772272E-3</v>
      </c>
      <c r="F29" t="s">
        <v>26</v>
      </c>
      <c r="G29" s="2">
        <v>292</v>
      </c>
      <c r="H29" t="s">
        <v>106</v>
      </c>
      <c r="K29" s="1" t="s">
        <v>102</v>
      </c>
      <c r="N29">
        <v>0.80800000000000005</v>
      </c>
      <c r="O29" t="s">
        <v>32</v>
      </c>
      <c r="Q29" s="86"/>
    </row>
    <row r="30" spans="1:19" x14ac:dyDescent="0.25">
      <c r="A30" s="175"/>
      <c r="B30" s="175"/>
      <c r="C30" s="1" t="s">
        <v>450</v>
      </c>
      <c r="D30" s="5">
        <f>G30/N1</f>
        <v>5.5476157140177687E-2</v>
      </c>
      <c r="G30" s="2">
        <v>210</v>
      </c>
      <c r="H30" t="s">
        <v>291</v>
      </c>
      <c r="I30" t="s">
        <v>453</v>
      </c>
      <c r="K30" s="1" t="s">
        <v>451</v>
      </c>
      <c r="N30">
        <v>0.86499999999999999</v>
      </c>
      <c r="O30" t="s">
        <v>32</v>
      </c>
      <c r="P30" t="s">
        <v>452</v>
      </c>
      <c r="Q30" s="86"/>
    </row>
    <row r="31" spans="1:19" x14ac:dyDescent="0.25">
      <c r="A31" s="175"/>
      <c r="B31" s="175"/>
      <c r="C31" s="1" t="s">
        <v>107</v>
      </c>
      <c r="D31" s="5">
        <f>G31/1000</f>
        <v>8.0000000000000002E-3</v>
      </c>
      <c r="F31" t="s">
        <v>26</v>
      </c>
      <c r="G31" s="2">
        <v>8</v>
      </c>
      <c r="H31" t="s">
        <v>43</v>
      </c>
      <c r="I31" t="s">
        <v>108</v>
      </c>
      <c r="K31" s="1" t="s">
        <v>107</v>
      </c>
      <c r="N31">
        <v>1.04</v>
      </c>
      <c r="O31" t="s">
        <v>32</v>
      </c>
      <c r="P31" t="s">
        <v>109</v>
      </c>
      <c r="Q31" s="86"/>
    </row>
    <row r="32" spans="1:19" x14ac:dyDescent="0.25">
      <c r="A32" s="175"/>
      <c r="B32" s="175"/>
      <c r="C32" s="1" t="s">
        <v>110</v>
      </c>
      <c r="D32" s="48">
        <f>G32/N1</f>
        <v>7.793079217310675E-7</v>
      </c>
      <c r="F32" t="s">
        <v>26</v>
      </c>
      <c r="G32" s="2">
        <v>2.9499999999999999E-3</v>
      </c>
      <c r="H32" t="s">
        <v>111</v>
      </c>
      <c r="I32" t="s">
        <v>0</v>
      </c>
      <c r="K32" s="1" t="s">
        <v>110</v>
      </c>
      <c r="N32">
        <v>1</v>
      </c>
      <c r="Q32" s="86"/>
    </row>
    <row r="33" spans="1:17" x14ac:dyDescent="0.25">
      <c r="A33" s="175"/>
      <c r="B33" s="14"/>
      <c r="C33" s="1" t="s">
        <v>112</v>
      </c>
      <c r="D33" s="5">
        <f>G33/10^3</f>
        <v>4.4999999999999997E-3</v>
      </c>
      <c r="F33" t="s">
        <v>26</v>
      </c>
      <c r="G33" s="2">
        <v>4.5</v>
      </c>
      <c r="H33" t="s">
        <v>43</v>
      </c>
      <c r="I33" s="10" t="s">
        <v>113</v>
      </c>
      <c r="K33" s="1" t="s">
        <v>114</v>
      </c>
      <c r="N33">
        <v>0.71</v>
      </c>
      <c r="O33" t="s">
        <v>32</v>
      </c>
      <c r="P33" t="s">
        <v>115</v>
      </c>
      <c r="Q33" s="86"/>
    </row>
    <row r="34" spans="1:17" x14ac:dyDescent="0.25">
      <c r="A34" s="175"/>
      <c r="B34" s="14"/>
      <c r="C34" s="1" t="s">
        <v>724</v>
      </c>
      <c r="D34" s="5">
        <f>G34/10^6</f>
        <v>2.712E-3</v>
      </c>
      <c r="G34" s="2">
        <v>2712</v>
      </c>
      <c r="H34" t="s">
        <v>319</v>
      </c>
      <c r="I34" s="10" t="s">
        <v>727</v>
      </c>
      <c r="K34" s="1" t="s">
        <v>725</v>
      </c>
      <c r="Q34" s="86"/>
    </row>
    <row r="35" spans="1:17" x14ac:dyDescent="0.25">
      <c r="A35" s="175"/>
      <c r="B35" s="14"/>
      <c r="C35" s="1" t="s">
        <v>370</v>
      </c>
      <c r="D35" s="5">
        <f>G35/10^6</f>
        <v>1.2899999999999999E-4</v>
      </c>
      <c r="F35" t="s">
        <v>26</v>
      </c>
      <c r="G35" s="2">
        <v>129</v>
      </c>
      <c r="H35" t="s">
        <v>29</v>
      </c>
      <c r="I35" s="10" t="s">
        <v>373</v>
      </c>
      <c r="K35" s="1" t="s">
        <v>370</v>
      </c>
      <c r="Q35" s="86"/>
    </row>
    <row r="36" spans="1:17" x14ac:dyDescent="0.25">
      <c r="A36" s="175"/>
      <c r="B36" s="14"/>
      <c r="C36" s="162" t="s">
        <v>485</v>
      </c>
      <c r="D36" s="5">
        <f>G36/1000</f>
        <v>0.20799999999999999</v>
      </c>
      <c r="F36" t="s">
        <v>26</v>
      </c>
      <c r="G36" s="2">
        <v>208</v>
      </c>
      <c r="H36" s="26" t="s">
        <v>758</v>
      </c>
      <c r="I36" s="10" t="s">
        <v>759</v>
      </c>
      <c r="K36" s="1"/>
      <c r="Q36" s="86"/>
    </row>
    <row r="37" spans="1:17" x14ac:dyDescent="0.25">
      <c r="A37" s="175"/>
      <c r="B37" s="14"/>
      <c r="C37" s="1" t="s">
        <v>423</v>
      </c>
      <c r="D37" s="5">
        <f>G37/1000</f>
        <v>7.7000000000000007E-4</v>
      </c>
      <c r="G37" s="40">
        <f>(0.68+0.86)/2</f>
        <v>0.77</v>
      </c>
      <c r="H37" t="s">
        <v>43</v>
      </c>
      <c r="I37" s="10" t="s">
        <v>421</v>
      </c>
      <c r="K37" s="1" t="s">
        <v>422</v>
      </c>
      <c r="Q37" s="86"/>
    </row>
    <row r="38" spans="1:17" x14ac:dyDescent="0.25">
      <c r="A38" s="175"/>
      <c r="B38" s="14"/>
      <c r="C38" s="37" t="s">
        <v>116</v>
      </c>
      <c r="D38" s="5">
        <f>G38/1000</f>
        <v>3.0000000000000001E-3</v>
      </c>
      <c r="F38" t="s">
        <v>26</v>
      </c>
      <c r="G38" s="40">
        <v>3</v>
      </c>
      <c r="H38" t="s">
        <v>43</v>
      </c>
      <c r="I38" s="10" t="s">
        <v>117</v>
      </c>
      <c r="K38" s="1" t="s">
        <v>118</v>
      </c>
      <c r="N38">
        <v>3.05</v>
      </c>
      <c r="O38" t="s">
        <v>32</v>
      </c>
      <c r="P38" t="s">
        <v>119</v>
      </c>
      <c r="Q38" s="86"/>
    </row>
    <row r="39" spans="1:17" x14ac:dyDescent="0.25">
      <c r="A39" s="175"/>
      <c r="B39" s="14"/>
      <c r="C39" s="1" t="s">
        <v>120</v>
      </c>
      <c r="D39" s="5">
        <f>(10+50)/2</f>
        <v>30</v>
      </c>
      <c r="F39" t="s">
        <v>121</v>
      </c>
      <c r="G39" s="2"/>
      <c r="I39" s="10"/>
      <c r="K39" s="1"/>
      <c r="Q39" s="86"/>
    </row>
    <row r="40" spans="1:17" x14ac:dyDescent="0.25">
      <c r="A40" s="175"/>
      <c r="B40" s="14"/>
      <c r="C40" s="37" t="s">
        <v>122</v>
      </c>
      <c r="D40" s="5">
        <f>G40/24/N40/N3</f>
        <v>0.1113053613053613</v>
      </c>
      <c r="F40" t="s">
        <v>26</v>
      </c>
      <c r="G40" s="40">
        <v>1910</v>
      </c>
      <c r="H40" t="s">
        <v>123</v>
      </c>
      <c r="I40" s="10" t="s">
        <v>124</v>
      </c>
      <c r="K40" s="1" t="s">
        <v>122</v>
      </c>
      <c r="M40" s="19" t="s">
        <v>125</v>
      </c>
      <c r="N40">
        <v>0.71499999999999997</v>
      </c>
      <c r="O40" t="s">
        <v>32</v>
      </c>
      <c r="P40" t="s">
        <v>124</v>
      </c>
      <c r="Q40" s="86"/>
    </row>
    <row r="41" spans="1:17" x14ac:dyDescent="0.25">
      <c r="A41" s="175"/>
      <c r="B41" s="176" t="s">
        <v>126</v>
      </c>
      <c r="C41" s="1" t="s">
        <v>127</v>
      </c>
      <c r="D41" s="5"/>
      <c r="E41">
        <v>37</v>
      </c>
      <c r="F41" t="s">
        <v>4</v>
      </c>
      <c r="G41" s="2"/>
      <c r="I41" s="10" t="s">
        <v>128</v>
      </c>
      <c r="K41" s="1" t="s">
        <v>129</v>
      </c>
      <c r="Q41" s="86"/>
    </row>
    <row r="42" spans="1:17" x14ac:dyDescent="0.25">
      <c r="A42" s="175"/>
      <c r="B42" s="177"/>
      <c r="C42" s="1" t="s">
        <v>395</v>
      </c>
      <c r="D42" s="5"/>
      <c r="E42">
        <v>0.32</v>
      </c>
      <c r="F42" t="s">
        <v>136</v>
      </c>
      <c r="G42" s="2"/>
      <c r="I42" s="10" t="s">
        <v>400</v>
      </c>
      <c r="K42" s="1"/>
      <c r="Q42" s="86"/>
    </row>
    <row r="43" spans="1:17" x14ac:dyDescent="0.25">
      <c r="A43" s="175"/>
      <c r="B43" s="177"/>
      <c r="C43" s="1" t="s">
        <v>402</v>
      </c>
      <c r="D43" s="5"/>
      <c r="E43">
        <v>15</v>
      </c>
      <c r="F43" t="s">
        <v>4</v>
      </c>
      <c r="G43" s="2"/>
      <c r="I43" s="10" t="s">
        <v>403</v>
      </c>
      <c r="K43" s="1"/>
      <c r="Q43" s="86"/>
    </row>
    <row r="44" spans="1:17" x14ac:dyDescent="0.25">
      <c r="A44" s="175"/>
      <c r="B44" s="177"/>
      <c r="C44" s="1" t="s">
        <v>130</v>
      </c>
      <c r="D44" s="5"/>
      <c r="E44">
        <f>0.1*5/60</f>
        <v>8.3333333333333332E-3</v>
      </c>
      <c r="F44" t="s">
        <v>4</v>
      </c>
      <c r="G44" s="2"/>
      <c r="I44" t="s">
        <v>131</v>
      </c>
      <c r="K44" s="1" t="s">
        <v>130</v>
      </c>
      <c r="Q44" s="86"/>
    </row>
    <row r="45" spans="1:17" x14ac:dyDescent="0.25">
      <c r="A45" s="175"/>
      <c r="B45" s="177"/>
      <c r="C45" s="1" t="s">
        <v>486</v>
      </c>
      <c r="D45" s="5"/>
      <c r="E45">
        <v>3</v>
      </c>
      <c r="F45" t="s">
        <v>4</v>
      </c>
      <c r="G45" s="2"/>
      <c r="I45" t="s">
        <v>487</v>
      </c>
      <c r="K45" s="1"/>
      <c r="Q45" s="86"/>
    </row>
    <row r="46" spans="1:17" x14ac:dyDescent="0.25">
      <c r="A46" s="175"/>
      <c r="B46" s="177"/>
      <c r="C46" s="1" t="s">
        <v>474</v>
      </c>
      <c r="D46" s="5"/>
      <c r="E46">
        <v>6</v>
      </c>
      <c r="F46" t="s">
        <v>4</v>
      </c>
      <c r="G46" s="2"/>
      <c r="K46" s="1"/>
      <c r="Q46" s="86"/>
    </row>
    <row r="47" spans="1:17" x14ac:dyDescent="0.25">
      <c r="A47" s="175"/>
      <c r="B47" s="177"/>
      <c r="C47" s="1" t="s">
        <v>710</v>
      </c>
      <c r="D47" s="5"/>
      <c r="E47">
        <f>100/1000</f>
        <v>0.1</v>
      </c>
      <c r="F47" t="s">
        <v>4</v>
      </c>
      <c r="G47" s="2"/>
      <c r="I47" t="s">
        <v>711</v>
      </c>
      <c r="K47" s="1"/>
      <c r="Q47" s="86"/>
    </row>
    <row r="48" spans="1:17" x14ac:dyDescent="0.25">
      <c r="A48" s="175"/>
      <c r="B48" s="178"/>
      <c r="C48" s="1" t="s">
        <v>132</v>
      </c>
      <c r="D48" s="5"/>
      <c r="E48">
        <v>2.5</v>
      </c>
      <c r="F48" t="s">
        <v>4</v>
      </c>
      <c r="G48" s="2"/>
      <c r="I48" s="10" t="s">
        <v>473</v>
      </c>
      <c r="K48" s="1" t="s">
        <v>133</v>
      </c>
      <c r="Q48" s="86"/>
    </row>
    <row r="49" spans="1:21" x14ac:dyDescent="0.25">
      <c r="A49" s="175"/>
      <c r="B49" s="11" t="s">
        <v>134</v>
      </c>
      <c r="C49" s="1" t="s">
        <v>135</v>
      </c>
      <c r="D49" s="5"/>
      <c r="E49">
        <f>20/1000</f>
        <v>0.02</v>
      </c>
      <c r="F49" t="s">
        <v>136</v>
      </c>
      <c r="G49" s="2"/>
      <c r="I49" t="s">
        <v>137</v>
      </c>
      <c r="K49" s="1"/>
      <c r="Q49" s="86"/>
    </row>
    <row r="50" spans="1:21" x14ac:dyDescent="0.25">
      <c r="A50" s="175"/>
      <c r="B50" s="11"/>
      <c r="C50" s="22" t="s">
        <v>138</v>
      </c>
      <c r="D50" s="23"/>
      <c r="E50" s="8">
        <v>0.5</v>
      </c>
      <c r="F50" s="8" t="s">
        <v>22</v>
      </c>
      <c r="G50" s="2"/>
      <c r="K50" s="1"/>
      <c r="Q50" s="86"/>
    </row>
    <row r="51" spans="1:21" x14ac:dyDescent="0.25">
      <c r="A51" s="175"/>
      <c r="B51" s="11"/>
      <c r="C51" s="1" t="s">
        <v>139</v>
      </c>
      <c r="D51" s="5"/>
      <c r="E51">
        <v>10.8</v>
      </c>
      <c r="F51" t="s">
        <v>4</v>
      </c>
      <c r="G51" s="2"/>
      <c r="I51" s="10" t="s">
        <v>140</v>
      </c>
      <c r="K51" s="1" t="s">
        <v>141</v>
      </c>
      <c r="Q51" s="86"/>
    </row>
    <row r="52" spans="1:21" x14ac:dyDescent="0.25">
      <c r="A52" s="175"/>
      <c r="B52" s="11"/>
      <c r="C52" s="1" t="s">
        <v>142</v>
      </c>
      <c r="D52" s="5"/>
      <c r="E52">
        <v>1</v>
      </c>
      <c r="F52" t="s">
        <v>136</v>
      </c>
      <c r="G52" s="2"/>
      <c r="I52" s="10" t="s">
        <v>143</v>
      </c>
      <c r="K52" s="1" t="s">
        <v>20</v>
      </c>
      <c r="Q52" s="86"/>
    </row>
    <row r="53" spans="1:21" x14ac:dyDescent="0.25">
      <c r="A53" s="175"/>
      <c r="B53" s="11"/>
      <c r="C53" s="1" t="s">
        <v>437</v>
      </c>
      <c r="D53" s="5"/>
      <c r="E53">
        <f>(((110+240)/2)*1)/1000</f>
        <v>0.17499999999999999</v>
      </c>
      <c r="F53" t="s">
        <v>4</v>
      </c>
      <c r="G53" s="2"/>
      <c r="I53" s="10" t="s">
        <v>459</v>
      </c>
      <c r="K53" s="1"/>
      <c r="Q53" s="86"/>
    </row>
    <row r="54" spans="1:21" x14ac:dyDescent="0.25">
      <c r="A54" s="175"/>
      <c r="B54" s="11"/>
      <c r="C54" s="1" t="s">
        <v>436</v>
      </c>
      <c r="D54" s="5"/>
      <c r="E54">
        <f>400/1000</f>
        <v>0.4</v>
      </c>
      <c r="F54" t="s">
        <v>4</v>
      </c>
      <c r="G54" s="2"/>
      <c r="I54" s="10" t="s">
        <v>460</v>
      </c>
      <c r="K54" s="1"/>
      <c r="Q54" s="86"/>
    </row>
    <row r="55" spans="1:21" x14ac:dyDescent="0.25">
      <c r="A55" s="175"/>
      <c r="B55" s="11"/>
      <c r="C55" s="1" t="s">
        <v>144</v>
      </c>
      <c r="D55" s="5"/>
      <c r="E55">
        <f>4400*N2</f>
        <v>1.2895124</v>
      </c>
      <c r="F55" t="s">
        <v>4</v>
      </c>
      <c r="G55" s="2"/>
      <c r="I55" s="10"/>
      <c r="K55" s="1"/>
      <c r="Q55" s="86"/>
    </row>
    <row r="56" spans="1:21" x14ac:dyDescent="0.25">
      <c r="A56" s="175"/>
      <c r="B56" s="11"/>
      <c r="C56" s="1" t="s">
        <v>145</v>
      </c>
      <c r="D56" s="5"/>
      <c r="E56">
        <v>1.8</v>
      </c>
      <c r="F56" t="s">
        <v>136</v>
      </c>
      <c r="G56" s="2"/>
      <c r="I56" s="10" t="s">
        <v>146</v>
      </c>
      <c r="K56" s="1" t="s">
        <v>147</v>
      </c>
      <c r="Q56" s="86"/>
    </row>
    <row r="57" spans="1:21" x14ac:dyDescent="0.25">
      <c r="A57" s="175"/>
      <c r="B57" s="11"/>
      <c r="C57" s="1" t="s">
        <v>411</v>
      </c>
      <c r="D57" s="5">
        <f>G57/100</f>
        <v>6.7500000000000008E-3</v>
      </c>
      <c r="F57" t="s">
        <v>16</v>
      </c>
      <c r="G57" s="76">
        <f>(0.35+1)/2</f>
        <v>0.67500000000000004</v>
      </c>
      <c r="H57" t="s">
        <v>412</v>
      </c>
      <c r="I57" s="10" t="s">
        <v>413</v>
      </c>
      <c r="K57" s="1"/>
      <c r="Q57" s="86"/>
    </row>
    <row r="58" spans="1:21" x14ac:dyDescent="0.25">
      <c r="A58" s="175"/>
      <c r="B58" s="11"/>
      <c r="C58" s="1" t="s">
        <v>760</v>
      </c>
      <c r="D58" s="5">
        <f>G58/100</f>
        <v>0.04</v>
      </c>
      <c r="F58" t="s">
        <v>149</v>
      </c>
      <c r="G58" s="2">
        <f>20/((1+9)/2)</f>
        <v>4</v>
      </c>
      <c r="H58" t="s">
        <v>150</v>
      </c>
      <c r="I58" s="164" t="s">
        <v>761</v>
      </c>
      <c r="K58" s="1" t="s">
        <v>148</v>
      </c>
      <c r="Q58" s="86"/>
    </row>
    <row r="59" spans="1:21" ht="15.75" thickBot="1" x14ac:dyDescent="0.3">
      <c r="A59" s="175"/>
      <c r="B59" s="11"/>
      <c r="C59" s="1" t="s">
        <v>151</v>
      </c>
      <c r="D59" s="5"/>
      <c r="G59" s="2" t="s">
        <v>134</v>
      </c>
      <c r="H59" t="s">
        <v>152</v>
      </c>
      <c r="I59" t="s">
        <v>153</v>
      </c>
      <c r="K59" s="1" t="s">
        <v>151</v>
      </c>
      <c r="Q59" s="86"/>
    </row>
    <row r="60" spans="1:21" ht="15.75" thickBot="1" x14ac:dyDescent="0.3">
      <c r="A60" s="175"/>
      <c r="B60" s="175" t="s">
        <v>154</v>
      </c>
      <c r="C60" s="1" t="s">
        <v>155</v>
      </c>
      <c r="G60" s="2">
        <v>2450</v>
      </c>
      <c r="H60" t="s">
        <v>156</v>
      </c>
      <c r="I60" s="10" t="s">
        <v>157</v>
      </c>
      <c r="K60" s="1" t="s">
        <v>155</v>
      </c>
      <c r="Q60" s="86">
        <v>207.2</v>
      </c>
      <c r="R60" t="s">
        <v>726</v>
      </c>
      <c r="S60">
        <v>476.2</v>
      </c>
      <c r="T60" s="98" t="s">
        <v>730</v>
      </c>
      <c r="U60" t="s">
        <v>728</v>
      </c>
    </row>
    <row r="61" spans="1:21" x14ac:dyDescent="0.25">
      <c r="A61" s="175"/>
      <c r="B61" s="175"/>
      <c r="C61" s="1" t="s">
        <v>158</v>
      </c>
      <c r="G61" s="2">
        <v>6290</v>
      </c>
      <c r="H61" t="s">
        <v>156</v>
      </c>
      <c r="I61" t="s">
        <v>159</v>
      </c>
      <c r="K61" s="1" t="s">
        <v>158</v>
      </c>
    </row>
    <row r="62" spans="1:21" x14ac:dyDescent="0.25">
      <c r="A62" s="175"/>
      <c r="B62" s="175"/>
      <c r="C62" s="1" t="s">
        <v>160</v>
      </c>
      <c r="G62" s="2">
        <v>2190</v>
      </c>
      <c r="H62" t="s">
        <v>156</v>
      </c>
      <c r="I62" s="10" t="s">
        <v>161</v>
      </c>
      <c r="K62" s="1" t="s">
        <v>160</v>
      </c>
      <c r="Q62" s="86"/>
    </row>
    <row r="63" spans="1:21" x14ac:dyDescent="0.25">
      <c r="A63" s="175"/>
      <c r="B63" s="175"/>
      <c r="C63" s="1" t="s">
        <v>162</v>
      </c>
      <c r="G63" s="2">
        <v>20600</v>
      </c>
      <c r="H63" t="s">
        <v>156</v>
      </c>
      <c r="I63" t="s">
        <v>163</v>
      </c>
      <c r="K63" s="1" t="s">
        <v>162</v>
      </c>
      <c r="Q63" s="86"/>
    </row>
    <row r="64" spans="1:21" x14ac:dyDescent="0.25">
      <c r="A64" s="175"/>
      <c r="B64" s="175"/>
      <c r="C64" s="1" t="s">
        <v>164</v>
      </c>
      <c r="G64" s="4">
        <v>4088000</v>
      </c>
      <c r="H64" t="s">
        <v>156</v>
      </c>
      <c r="I64" t="s">
        <v>165</v>
      </c>
      <c r="K64" s="1" t="s">
        <v>164</v>
      </c>
      <c r="Q64" s="86"/>
    </row>
    <row r="65" spans="1:28" x14ac:dyDescent="0.25">
      <c r="A65" s="175"/>
      <c r="B65" s="175"/>
      <c r="C65" s="1" t="s">
        <v>166</v>
      </c>
      <c r="G65" s="2">
        <v>505000</v>
      </c>
      <c r="H65" t="s">
        <v>156</v>
      </c>
      <c r="I65" t="s">
        <v>753</v>
      </c>
      <c r="K65" s="1" t="s">
        <v>166</v>
      </c>
      <c r="Q65" s="86"/>
    </row>
    <row r="66" spans="1:28" x14ac:dyDescent="0.25">
      <c r="A66" s="175"/>
      <c r="B66" s="175"/>
      <c r="C66" s="1" t="s">
        <v>167</v>
      </c>
      <c r="G66" s="2"/>
      <c r="K66" s="1" t="s">
        <v>167</v>
      </c>
      <c r="Q66" s="86"/>
    </row>
    <row r="67" spans="1:28" x14ac:dyDescent="0.25">
      <c r="A67" s="175"/>
      <c r="B67" s="175"/>
      <c r="C67" s="1" t="s">
        <v>168</v>
      </c>
      <c r="G67" s="2"/>
      <c r="K67" s="1" t="s">
        <v>168</v>
      </c>
      <c r="Q67" s="86"/>
    </row>
    <row r="68" spans="1:28" x14ac:dyDescent="0.25">
      <c r="A68" s="175"/>
      <c r="B68" s="175"/>
      <c r="C68" s="1" t="s">
        <v>148</v>
      </c>
      <c r="G68" s="2"/>
      <c r="K68" s="1" t="s">
        <v>148</v>
      </c>
      <c r="Q68" s="86"/>
    </row>
    <row r="69" spans="1:28" ht="15.75" thickBot="1" x14ac:dyDescent="0.3">
      <c r="C69" s="156" t="s">
        <v>719</v>
      </c>
      <c r="Q69" s="87">
        <v>303.2</v>
      </c>
      <c r="R69" t="s">
        <v>726</v>
      </c>
    </row>
    <row r="75" spans="1:28" x14ac:dyDescent="0.25">
      <c r="L75" s="45" t="s">
        <v>170</v>
      </c>
      <c r="M75" s="143" t="s">
        <v>169</v>
      </c>
      <c r="N75" s="45" t="s">
        <v>180</v>
      </c>
      <c r="O75" s="45" t="s">
        <v>181</v>
      </c>
      <c r="S75" t="s">
        <v>562</v>
      </c>
    </row>
    <row r="76" spans="1:28" x14ac:dyDescent="0.25">
      <c r="K76" s="188" t="s">
        <v>396</v>
      </c>
      <c r="L76" s="188"/>
      <c r="S76" s="79">
        <f>J77</f>
        <v>2</v>
      </c>
    </row>
    <row r="77" spans="1:28" x14ac:dyDescent="0.25">
      <c r="J77" s="19">
        <v>2</v>
      </c>
      <c r="K77" t="s">
        <v>19</v>
      </c>
      <c r="L77" t="s">
        <v>488</v>
      </c>
      <c r="M77" s="19">
        <f>J77*E45</f>
        <v>6</v>
      </c>
      <c r="N77" t="s">
        <v>4</v>
      </c>
      <c r="O77" s="2">
        <f>M77*G5</f>
        <v>0.43559999999999999</v>
      </c>
    </row>
    <row r="79" spans="1:28" x14ac:dyDescent="0.25">
      <c r="AB79" t="s">
        <v>748</v>
      </c>
    </row>
    <row r="80" spans="1:28" ht="18.75" x14ac:dyDescent="0.3">
      <c r="L80" s="127" t="s">
        <v>420</v>
      </c>
    </row>
    <row r="81" spans="3:41" ht="15.75" thickBot="1" x14ac:dyDescent="0.3">
      <c r="L81" s="45" t="s">
        <v>170</v>
      </c>
      <c r="M81" s="143" t="s">
        <v>169</v>
      </c>
      <c r="N81" s="45" t="s">
        <v>180</v>
      </c>
      <c r="O81" s="45" t="s">
        <v>181</v>
      </c>
      <c r="AA81" t="s">
        <v>469</v>
      </c>
    </row>
    <row r="82" spans="3:41" ht="15.75" thickBot="1" x14ac:dyDescent="0.3">
      <c r="E82" s="83">
        <f>0.62*10^3</f>
        <v>620</v>
      </c>
      <c r="F82" s="157" t="s">
        <v>731</v>
      </c>
      <c r="G82" s="73" t="s">
        <v>729</v>
      </c>
      <c r="J82" s="21" t="s">
        <v>416</v>
      </c>
      <c r="K82" s="128"/>
      <c r="L82" s="128"/>
      <c r="AA82" t="s">
        <v>160</v>
      </c>
      <c r="AO82"/>
    </row>
    <row r="83" spans="3:41" x14ac:dyDescent="0.25">
      <c r="D83" t="s">
        <v>733</v>
      </c>
      <c r="E83" s="26">
        <f>E82*0.95</f>
        <v>589</v>
      </c>
      <c r="F83" t="s">
        <v>731</v>
      </c>
      <c r="J83" s="19">
        <v>1.5</v>
      </c>
      <c r="K83" s="186" t="s">
        <v>19</v>
      </c>
      <c r="L83" t="s">
        <v>408</v>
      </c>
      <c r="M83" s="19">
        <f>J3*J83*Q26</f>
        <v>971.09999999999991</v>
      </c>
      <c r="N83" t="s">
        <v>26</v>
      </c>
      <c r="O83" s="2">
        <f>M83*D26</f>
        <v>2.9133</v>
      </c>
      <c r="T83" s="74"/>
      <c r="U83" s="89"/>
      <c r="V83" s="89" t="s">
        <v>742</v>
      </c>
      <c r="W83" s="89" t="s">
        <v>743</v>
      </c>
      <c r="X83" s="68" t="s">
        <v>27</v>
      </c>
      <c r="AA83" t="s">
        <v>164</v>
      </c>
      <c r="AO83"/>
    </row>
    <row r="84" spans="3:41" x14ac:dyDescent="0.25">
      <c r="I84" s="26" t="s">
        <v>716</v>
      </c>
      <c r="J84" s="19">
        <v>2</v>
      </c>
      <c r="K84" s="186"/>
      <c r="L84" t="s">
        <v>715</v>
      </c>
      <c r="M84" s="19">
        <f>E47/60*J84</f>
        <v>3.3333333333333335E-3</v>
      </c>
      <c r="N84" t="s">
        <v>22</v>
      </c>
      <c r="O84" s="2">
        <f>M84*G5</f>
        <v>2.42E-4</v>
      </c>
      <c r="T84" s="69" t="s">
        <v>396</v>
      </c>
      <c r="U84" t="s">
        <v>744</v>
      </c>
      <c r="X84" s="70"/>
      <c r="AA84" t="s">
        <v>166</v>
      </c>
      <c r="AO84"/>
    </row>
    <row r="85" spans="3:41" x14ac:dyDescent="0.25">
      <c r="D85" t="s">
        <v>757</v>
      </c>
      <c r="K85" s="186"/>
      <c r="L85" t="s">
        <v>148</v>
      </c>
      <c r="M85" s="19">
        <v>1</v>
      </c>
      <c r="N85" t="s">
        <v>16</v>
      </c>
      <c r="O85" s="129">
        <f>M85*D58</f>
        <v>0.04</v>
      </c>
      <c r="T85" s="69" t="s">
        <v>187</v>
      </c>
      <c r="V85" s="2">
        <f>O84</f>
        <v>2.42E-4</v>
      </c>
      <c r="W85" s="2">
        <f>O85</f>
        <v>0.04</v>
      </c>
      <c r="X85" s="161">
        <f>O83</f>
        <v>2.9133</v>
      </c>
      <c r="AA85" t="s">
        <v>158</v>
      </c>
      <c r="AO85"/>
    </row>
    <row r="86" spans="3:41" x14ac:dyDescent="0.25">
      <c r="K86" s="184" t="s">
        <v>215</v>
      </c>
      <c r="L86" t="s">
        <v>708</v>
      </c>
      <c r="O86" s="129"/>
      <c r="T86" s="69" t="s">
        <v>472</v>
      </c>
      <c r="W86" s="2">
        <f>O91+O96</f>
        <v>0.08</v>
      </c>
      <c r="X86" s="161">
        <f>O90+O93+O95</f>
        <v>0.45613964448953354</v>
      </c>
      <c r="AA86" t="s">
        <v>749</v>
      </c>
      <c r="AO86"/>
    </row>
    <row r="87" spans="3:41" x14ac:dyDescent="0.25">
      <c r="K87" s="184"/>
      <c r="L87" s="26" t="s">
        <v>706</v>
      </c>
      <c r="O87" s="2"/>
      <c r="T87" s="69" t="s">
        <v>745</v>
      </c>
      <c r="U87" t="s">
        <v>746</v>
      </c>
      <c r="X87" s="70"/>
      <c r="AA87" t="s">
        <v>750</v>
      </c>
      <c r="AO87"/>
    </row>
    <row r="88" spans="3:41" ht="15.75" thickBot="1" x14ac:dyDescent="0.3">
      <c r="K88" s="184"/>
      <c r="L88" s="26" t="s">
        <v>387</v>
      </c>
      <c r="T88" s="71"/>
      <c r="U88" s="97"/>
      <c r="V88" s="97"/>
      <c r="W88" s="97"/>
      <c r="X88" s="72"/>
      <c r="AA88" t="s">
        <v>603</v>
      </c>
      <c r="AO88"/>
    </row>
    <row r="89" spans="3:41" x14ac:dyDescent="0.25">
      <c r="J89" s="19" t="s">
        <v>417</v>
      </c>
      <c r="AA89" t="s">
        <v>601</v>
      </c>
      <c r="AO89"/>
    </row>
    <row r="90" spans="3:41" x14ac:dyDescent="0.25">
      <c r="I90" t="s">
        <v>718</v>
      </c>
      <c r="K90" s="186" t="s">
        <v>19</v>
      </c>
      <c r="L90" t="s">
        <v>755</v>
      </c>
      <c r="M90" s="146">
        <f>E83/S60</f>
        <v>1.2368752624947501</v>
      </c>
      <c r="N90" t="s">
        <v>26</v>
      </c>
      <c r="O90" s="2">
        <f>(M90*D36)</f>
        <v>0.257270054598908</v>
      </c>
      <c r="P90" s="124" t="s">
        <v>732</v>
      </c>
      <c r="Q90" s="26"/>
      <c r="R90" s="2">
        <f>M90*D34</f>
        <v>3.3544057118857621E-3</v>
      </c>
      <c r="AA90" t="s">
        <v>518</v>
      </c>
      <c r="AO90"/>
    </row>
    <row r="91" spans="3:41" x14ac:dyDescent="0.25">
      <c r="K91" s="186"/>
      <c r="L91" t="s">
        <v>148</v>
      </c>
      <c r="M91" s="19">
        <v>1</v>
      </c>
      <c r="N91" t="s">
        <v>16</v>
      </c>
      <c r="O91" s="129">
        <f>M91*D58</f>
        <v>0.04</v>
      </c>
      <c r="Q91">
        <f>E82*0.95</f>
        <v>589</v>
      </c>
      <c r="R91" t="s">
        <v>731</v>
      </c>
      <c r="AA91" t="s">
        <v>751</v>
      </c>
      <c r="AO91"/>
    </row>
    <row r="92" spans="3:41" x14ac:dyDescent="0.25">
      <c r="K92" s="19" t="s">
        <v>186</v>
      </c>
      <c r="L92" s="26" t="s">
        <v>388</v>
      </c>
      <c r="AA92" t="s">
        <v>752</v>
      </c>
      <c r="AO92"/>
    </row>
    <row r="93" spans="3:41" x14ac:dyDescent="0.25">
      <c r="J93" s="19">
        <v>0.5</v>
      </c>
      <c r="K93" s="186" t="s">
        <v>19</v>
      </c>
      <c r="L93" s="163" t="s">
        <v>419</v>
      </c>
      <c r="M93" s="168">
        <v>0.71</v>
      </c>
      <c r="N93" s="163" t="s">
        <v>26</v>
      </c>
      <c r="O93" s="169">
        <f>M93*D18</f>
        <v>0.1988</v>
      </c>
      <c r="AA93" t="s">
        <v>430</v>
      </c>
      <c r="AO93"/>
    </row>
    <row r="94" spans="3:41" x14ac:dyDescent="0.25">
      <c r="K94" s="186"/>
      <c r="L94" s="26" t="s">
        <v>148</v>
      </c>
      <c r="M94" s="149">
        <v>1</v>
      </c>
      <c r="N94" s="26" t="s">
        <v>16</v>
      </c>
      <c r="O94" s="155">
        <f>M94*D58</f>
        <v>0.04</v>
      </c>
      <c r="AO94"/>
    </row>
    <row r="95" spans="3:41" x14ac:dyDescent="0.25">
      <c r="C95" t="s">
        <v>734</v>
      </c>
      <c r="D95" t="s">
        <v>735</v>
      </c>
      <c r="E95" s="26">
        <f>E83*0.96</f>
        <v>565.43999999999994</v>
      </c>
      <c r="F95" t="s">
        <v>731</v>
      </c>
      <c r="I95" t="s">
        <v>720</v>
      </c>
      <c r="K95" s="186"/>
      <c r="L95" t="s">
        <v>707</v>
      </c>
      <c r="M95" s="148">
        <f>((E95*Q19)/Q60)/1000</f>
        <v>0.26765342548262544</v>
      </c>
      <c r="N95" t="s">
        <v>26</v>
      </c>
      <c r="O95" s="129">
        <f>M95*D19</f>
        <v>6.9589890625482612E-5</v>
      </c>
      <c r="Q95" s="26" t="s">
        <v>747</v>
      </c>
      <c r="AO95"/>
    </row>
    <row r="96" spans="3:41" x14ac:dyDescent="0.25">
      <c r="D96" t="s">
        <v>756</v>
      </c>
      <c r="K96" s="186"/>
      <c r="L96" t="s">
        <v>148</v>
      </c>
      <c r="M96" s="19">
        <v>1</v>
      </c>
      <c r="N96" t="s">
        <v>362</v>
      </c>
      <c r="O96" s="129">
        <f>D58</f>
        <v>0.04</v>
      </c>
      <c r="AO96"/>
    </row>
    <row r="97" spans="7:41" x14ac:dyDescent="0.25">
      <c r="K97" s="186" t="s">
        <v>215</v>
      </c>
      <c r="L97" s="26" t="s">
        <v>389</v>
      </c>
      <c r="O97" s="2"/>
      <c r="AO97"/>
    </row>
    <row r="98" spans="7:41" x14ac:dyDescent="0.25">
      <c r="G98" t="s">
        <v>736</v>
      </c>
      <c r="K98" s="186"/>
      <c r="L98" s="26" t="s">
        <v>719</v>
      </c>
      <c r="AO98"/>
    </row>
    <row r="99" spans="7:41" x14ac:dyDescent="0.25">
      <c r="K99" s="186"/>
      <c r="L99" s="26" t="s">
        <v>709</v>
      </c>
      <c r="AO99"/>
    </row>
    <row r="100" spans="7:41" x14ac:dyDescent="0.25">
      <c r="K100" s="186"/>
      <c r="L100" t="s">
        <v>390</v>
      </c>
      <c r="R100" s="93">
        <f>O83+O84+O85+R90+O91+O93+O94+O95+O96</f>
        <v>3.2757659956025114</v>
      </c>
      <c r="AO100"/>
    </row>
    <row r="101" spans="7:41" x14ac:dyDescent="0.25">
      <c r="O101" s="130">
        <f>SUM(O83:O99)</f>
        <v>3.5296816444895338</v>
      </c>
      <c r="AO101"/>
    </row>
    <row r="102" spans="7:41" x14ac:dyDescent="0.25">
      <c r="AO102"/>
    </row>
    <row r="103" spans="7:41" x14ac:dyDescent="0.25">
      <c r="O103" s="2">
        <f>(O83+O84+O85+O90+O91+O95+O96)</f>
        <v>3.2908816444895339</v>
      </c>
      <c r="AO103"/>
    </row>
    <row r="104" spans="7:41" x14ac:dyDescent="0.25">
      <c r="K104" t="s">
        <v>564</v>
      </c>
      <c r="L104">
        <v>5</v>
      </c>
      <c r="M104" s="19" t="s">
        <v>565</v>
      </c>
      <c r="AO104"/>
    </row>
    <row r="105" spans="7:41" x14ac:dyDescent="0.25">
      <c r="K105" t="s">
        <v>567</v>
      </c>
      <c r="L105">
        <v>10</v>
      </c>
      <c r="M105" s="19" t="s">
        <v>565</v>
      </c>
      <c r="AO105"/>
    </row>
    <row r="106" spans="7:41" x14ac:dyDescent="0.25">
      <c r="AO106"/>
    </row>
    <row r="107" spans="7:41" x14ac:dyDescent="0.25">
      <c r="AD107" s="8"/>
      <c r="AO107"/>
    </row>
    <row r="108" spans="7:41" x14ac:dyDescent="0.25">
      <c r="K108" t="s">
        <v>178</v>
      </c>
      <c r="AA108" t="s">
        <v>466</v>
      </c>
      <c r="AB108" t="s">
        <v>478</v>
      </c>
      <c r="AC108" t="s">
        <v>27</v>
      </c>
      <c r="AD108" t="s">
        <v>592</v>
      </c>
      <c r="AE108" t="s">
        <v>595</v>
      </c>
      <c r="AG108" t="s">
        <v>506</v>
      </c>
      <c r="AO108"/>
    </row>
    <row r="109" spans="7:41" x14ac:dyDescent="0.25">
      <c r="G109" s="19"/>
      <c r="S109" s="42">
        <f>60*60</f>
        <v>3600</v>
      </c>
      <c r="AO109"/>
    </row>
    <row r="110" spans="7:41" x14ac:dyDescent="0.25">
      <c r="G110" s="19"/>
      <c r="I110" t="s">
        <v>424</v>
      </c>
      <c r="J110" s="19" t="s">
        <v>425</v>
      </c>
      <c r="L110" s="20" t="s">
        <v>179</v>
      </c>
      <c r="M110" s="80"/>
      <c r="N110" s="20"/>
      <c r="Q110">
        <v>5</v>
      </c>
      <c r="S110" s="42">
        <v>60</v>
      </c>
      <c r="AO110"/>
    </row>
    <row r="111" spans="7:41" x14ac:dyDescent="0.25">
      <c r="G111" s="19"/>
      <c r="L111" s="6" t="s">
        <v>170</v>
      </c>
      <c r="M111" s="145" t="s">
        <v>169</v>
      </c>
      <c r="N111" s="6" t="s">
        <v>180</v>
      </c>
      <c r="O111" s="6" t="s">
        <v>181</v>
      </c>
      <c r="R111" s="9"/>
      <c r="S111" s="116" t="s">
        <v>562</v>
      </c>
      <c r="Y111" s="184" t="s">
        <v>469</v>
      </c>
      <c r="Z111" t="s">
        <v>470</v>
      </c>
      <c r="AA111" s="15">
        <f>O413</f>
        <v>0.10080021333333333</v>
      </c>
      <c r="AB111" s="15">
        <v>0</v>
      </c>
      <c r="AC111" s="15">
        <v>0</v>
      </c>
      <c r="AD111" s="15">
        <f>'Labor cost'!$G$50</f>
        <v>1.3399999999999999</v>
      </c>
      <c r="AE111" s="15"/>
      <c r="AF111" s="15"/>
      <c r="AG111" s="131">
        <f>SUM(AA111:AC111)</f>
        <v>0.10080021333333333</v>
      </c>
      <c r="AJ111" s="99">
        <f>AG112+AG114+AG117+AG120</f>
        <v>5.2378931475734181</v>
      </c>
      <c r="AO111"/>
    </row>
    <row r="112" spans="7:41" x14ac:dyDescent="0.25">
      <c r="G112" s="19"/>
      <c r="J112" s="119" t="s">
        <v>182</v>
      </c>
      <c r="K112" s="7"/>
      <c r="L112" s="7"/>
      <c r="Y112" s="184"/>
      <c r="Z112" t="s">
        <v>471</v>
      </c>
      <c r="AA112" s="15">
        <f>M357</f>
        <v>3.6299999999999999E-2</v>
      </c>
      <c r="AB112" s="15">
        <f>0</f>
        <v>0</v>
      </c>
      <c r="AC112" s="15">
        <v>0</v>
      </c>
      <c r="AD112" s="15">
        <f>'Labor cost'!$G$50</f>
        <v>1.3399999999999999</v>
      </c>
      <c r="AE112" s="15"/>
      <c r="AF112" s="15"/>
      <c r="AG112" s="16">
        <f t="shared" ref="AG112:AG120" si="1">SUM(AA112:AC112)</f>
        <v>3.6299999999999999E-2</v>
      </c>
      <c r="AO112"/>
    </row>
    <row r="113" spans="4:41" ht="17.25" x14ac:dyDescent="0.25">
      <c r="G113" s="19"/>
      <c r="J113" s="19">
        <v>10</v>
      </c>
      <c r="K113" s="186" t="s">
        <v>19</v>
      </c>
      <c r="L113" t="s">
        <v>183</v>
      </c>
      <c r="M113" s="146">
        <v>1</v>
      </c>
      <c r="N113" t="s">
        <v>35</v>
      </c>
      <c r="O113" s="2">
        <f>M113*D9</f>
        <v>0.49</v>
      </c>
      <c r="S113" s="42">
        <f>J113/S110</f>
        <v>0.16666666666666666</v>
      </c>
      <c r="Y113" s="184"/>
      <c r="Z113" t="s">
        <v>477</v>
      </c>
      <c r="AA113" s="15">
        <f>O77</f>
        <v>0.43559999999999999</v>
      </c>
      <c r="AB113" s="15">
        <v>0</v>
      </c>
      <c r="AC113" s="15">
        <v>0</v>
      </c>
      <c r="AD113" s="15">
        <f>'Labor cost'!$G$50</f>
        <v>1.3399999999999999</v>
      </c>
      <c r="AE113" s="15"/>
      <c r="AF113" s="15"/>
      <c r="AG113" s="16">
        <f t="shared" si="1"/>
        <v>0.43559999999999999</v>
      </c>
      <c r="AO113"/>
    </row>
    <row r="114" spans="4:41" x14ac:dyDescent="0.25">
      <c r="G114" s="19"/>
      <c r="I114" s="24" t="s">
        <v>184</v>
      </c>
      <c r="J114" s="19">
        <v>3</v>
      </c>
      <c r="K114" s="186"/>
      <c r="L114" t="s">
        <v>185</v>
      </c>
      <c r="M114" s="146">
        <f>E55*J114/60</f>
        <v>6.4475619999999997E-2</v>
      </c>
      <c r="N114" t="s">
        <v>22</v>
      </c>
      <c r="O114" s="5">
        <f>M114*G5</f>
        <v>4.6809300119999998E-3</v>
      </c>
      <c r="S114" s="42">
        <f>J114/S110</f>
        <v>0.05</v>
      </c>
      <c r="Y114" s="184" t="s">
        <v>216</v>
      </c>
      <c r="Z114" t="s">
        <v>467</v>
      </c>
      <c r="AA114" s="15">
        <f>O114</f>
        <v>4.6809300119999998E-3</v>
      </c>
      <c r="AB114" s="15">
        <f>O113</f>
        <v>0.49</v>
      </c>
      <c r="AC114" s="15">
        <v>0</v>
      </c>
      <c r="AD114" s="15">
        <f>'Labor cost'!$G$50</f>
        <v>1.3399999999999999</v>
      </c>
      <c r="AE114" s="15"/>
      <c r="AF114" s="15"/>
      <c r="AG114" s="131">
        <f t="shared" si="1"/>
        <v>0.49468093001199998</v>
      </c>
      <c r="AO114"/>
    </row>
    <row r="115" spans="4:41" x14ac:dyDescent="0.25">
      <c r="G115" s="19"/>
      <c r="K115" t="s">
        <v>186</v>
      </c>
      <c r="L115" t="s">
        <v>187</v>
      </c>
      <c r="M115" s="146"/>
      <c r="P115" s="25">
        <f>O113+O114</f>
        <v>0.49468093001199998</v>
      </c>
      <c r="S115" s="42"/>
      <c r="Y115" s="184"/>
      <c r="Z115" t="s">
        <v>468</v>
      </c>
      <c r="AA115" s="15">
        <f>O167</f>
        <v>2.2385000000000002E-2</v>
      </c>
      <c r="AB115" s="15">
        <f>O166</f>
        <v>0.04</v>
      </c>
      <c r="AC115" s="15">
        <f>O165</f>
        <v>4.3126199999999999</v>
      </c>
      <c r="AD115" s="15">
        <f>'Labor cost'!$G$50</f>
        <v>1.3399999999999999</v>
      </c>
      <c r="AE115" s="15"/>
      <c r="AF115" s="15"/>
      <c r="AG115" s="16">
        <f t="shared" si="1"/>
        <v>4.3750049999999998</v>
      </c>
      <c r="AO115"/>
    </row>
    <row r="116" spans="4:41" x14ac:dyDescent="0.25">
      <c r="G116" s="19"/>
      <c r="J116" s="139" t="s">
        <v>188</v>
      </c>
      <c r="K116" s="8"/>
      <c r="L116" s="8"/>
      <c r="M116" s="146"/>
      <c r="R116" s="2"/>
      <c r="S116" s="42"/>
      <c r="Y116" s="184" t="s">
        <v>472</v>
      </c>
      <c r="Z116" t="s">
        <v>479</v>
      </c>
      <c r="AA116" s="15">
        <f>O122+O123+O125+O127+O129</f>
        <v>0.3140958333333333</v>
      </c>
      <c r="AB116" s="15">
        <f>O128</f>
        <v>0.04</v>
      </c>
      <c r="AC116" s="15">
        <f>O124+O121+O126</f>
        <v>4.0579836017895019</v>
      </c>
      <c r="AD116" s="15">
        <f>'Labor cost'!$G$50</f>
        <v>1.3399999999999999</v>
      </c>
      <c r="AE116" s="15"/>
      <c r="AF116" s="15"/>
      <c r="AG116" s="16">
        <f t="shared" si="1"/>
        <v>4.412079435122835</v>
      </c>
      <c r="AO116"/>
    </row>
    <row r="117" spans="4:41" ht="18" x14ac:dyDescent="0.35">
      <c r="G117" s="19"/>
      <c r="K117" s="184" t="s">
        <v>19</v>
      </c>
      <c r="L117" t="s">
        <v>189</v>
      </c>
      <c r="M117" s="146">
        <f>J3*N11*N3</f>
        <v>4312.62</v>
      </c>
      <c r="N117" t="s">
        <v>26</v>
      </c>
      <c r="O117" s="29">
        <f>M117*D11</f>
        <v>4.3126199999999999</v>
      </c>
      <c r="R117" s="66"/>
      <c r="S117" s="42"/>
      <c r="Y117" s="184"/>
      <c r="Z117" t="s">
        <v>484</v>
      </c>
      <c r="AA117" s="15">
        <f>O364+O366+O368</f>
        <v>0.34883291666666666</v>
      </c>
      <c r="AB117" s="15">
        <f>O367</f>
        <v>0.04</v>
      </c>
      <c r="AC117" s="15">
        <f>O365</f>
        <v>3.0393008947511633E-3</v>
      </c>
      <c r="AD117" s="15">
        <f>'Labor cost'!$G$50</f>
        <v>1.3399999999999999</v>
      </c>
      <c r="AE117" s="15"/>
      <c r="AF117" s="15"/>
      <c r="AG117" s="131">
        <f t="shared" si="1"/>
        <v>0.39187221756141782</v>
      </c>
      <c r="AO117"/>
    </row>
    <row r="118" spans="4:41" x14ac:dyDescent="0.25">
      <c r="G118" s="19"/>
      <c r="J118" s="19">
        <v>30</v>
      </c>
      <c r="K118" s="184"/>
      <c r="L118" t="s">
        <v>190</v>
      </c>
      <c r="M118" s="146">
        <f>E41*30/60/60</f>
        <v>0.30833333333333335</v>
      </c>
      <c r="N118" t="s">
        <v>22</v>
      </c>
      <c r="O118" s="13">
        <f>M118*G5</f>
        <v>2.2385000000000002E-2</v>
      </c>
      <c r="P118" s="2">
        <f>SUM(O113:O118)</f>
        <v>4.8296859300119994</v>
      </c>
      <c r="S118" s="42">
        <f>J118/S109</f>
        <v>8.3333333333333332E-3</v>
      </c>
      <c r="Y118" s="184"/>
      <c r="Z118" t="s">
        <v>480</v>
      </c>
      <c r="AA118" s="15">
        <f>O383+P385+O386+O391</f>
        <v>5.3240000000000003E-2</v>
      </c>
      <c r="AB118" s="15">
        <f>O388</f>
        <v>0.04</v>
      </c>
      <c r="AC118" s="15">
        <f>O384+O387+O389+O390</f>
        <v>1.5280490031727081</v>
      </c>
      <c r="AD118" s="15">
        <f>'Labor cost'!$G$50</f>
        <v>1.3399999999999999</v>
      </c>
      <c r="AE118" s="15"/>
      <c r="AF118" s="15"/>
      <c r="AG118" s="16">
        <f t="shared" si="1"/>
        <v>1.6212890031727081</v>
      </c>
      <c r="AO118"/>
    </row>
    <row r="119" spans="4:41" x14ac:dyDescent="0.25">
      <c r="G119" s="19"/>
      <c r="K119" t="s">
        <v>186</v>
      </c>
      <c r="L119" t="s">
        <v>191</v>
      </c>
      <c r="M119" s="146"/>
      <c r="S119" s="42"/>
      <c r="Y119" s="184"/>
      <c r="Z119" t="s">
        <v>481</v>
      </c>
      <c r="AA119" s="15">
        <f>O302+O306+O308</f>
        <v>1.5004</v>
      </c>
      <c r="AB119" s="15">
        <f>O303</f>
        <v>0.04</v>
      </c>
      <c r="AC119" s="15">
        <f>O301+O304+O305+O307</f>
        <v>9.3712343560000004</v>
      </c>
      <c r="AD119" s="15">
        <f>'Labor cost'!$G$50</f>
        <v>1.3399999999999999</v>
      </c>
      <c r="AE119" s="15"/>
      <c r="AF119" s="15"/>
      <c r="AG119" s="132">
        <f t="shared" si="1"/>
        <v>10.911634356</v>
      </c>
      <c r="AO119"/>
    </row>
    <row r="120" spans="4:41" x14ac:dyDescent="0.25">
      <c r="G120" s="19"/>
      <c r="J120" s="140" t="s">
        <v>192</v>
      </c>
      <c r="K120" s="9"/>
      <c r="L120" s="9"/>
      <c r="M120" s="146"/>
      <c r="P120" t="s">
        <v>193</v>
      </c>
      <c r="Q120" t="s">
        <v>194</v>
      </c>
      <c r="S120" s="42"/>
      <c r="Y120" t="s">
        <v>482</v>
      </c>
      <c r="Z120" t="s">
        <v>483</v>
      </c>
      <c r="AA120" s="15">
        <f>O274</f>
        <v>2.4199999999999998E-3</v>
      </c>
      <c r="AB120" s="15">
        <v>0</v>
      </c>
      <c r="AC120" s="15">
        <f>O276</f>
        <v>4.3126199999999999</v>
      </c>
      <c r="AD120" s="15">
        <f>'Labor cost'!$G$50</f>
        <v>1.3399999999999999</v>
      </c>
      <c r="AE120" s="15"/>
      <c r="AF120" s="15"/>
      <c r="AG120" s="131">
        <f t="shared" si="1"/>
        <v>4.3150399999999998</v>
      </c>
      <c r="AO120"/>
    </row>
    <row r="121" spans="4:41" x14ac:dyDescent="0.25">
      <c r="D121" s="41" t="s">
        <v>195</v>
      </c>
      <c r="E121" t="s">
        <v>196</v>
      </c>
      <c r="G121" s="19"/>
      <c r="K121" s="184" t="s">
        <v>19</v>
      </c>
      <c r="L121" t="s">
        <v>176</v>
      </c>
      <c r="M121" s="146">
        <f>J3*N32*N3</f>
        <v>3900</v>
      </c>
      <c r="N121" t="s">
        <v>26</v>
      </c>
      <c r="O121" s="2">
        <f>M121*D32</f>
        <v>3.0393008947511633E-3</v>
      </c>
      <c r="P121">
        <v>5</v>
      </c>
      <c r="Q121" s="13">
        <f>O121/P121</f>
        <v>6.0786017895023267E-4</v>
      </c>
      <c r="S121" s="42"/>
      <c r="AO121"/>
    </row>
    <row r="122" spans="4:41" x14ac:dyDescent="0.25">
      <c r="D122" s="35" t="s">
        <v>197</v>
      </c>
      <c r="E122" t="s">
        <v>198</v>
      </c>
      <c r="F122" t="s">
        <v>199</v>
      </c>
      <c r="G122" s="19">
        <f>0.0011*M124</f>
        <v>4.0519049999999996</v>
      </c>
      <c r="H122" s="28">
        <v>4.42</v>
      </c>
      <c r="J122" s="19">
        <v>30</v>
      </c>
      <c r="K122" s="184"/>
      <c r="L122" t="s">
        <v>190</v>
      </c>
      <c r="M122" s="146">
        <f>E41*J122/60/60</f>
        <v>0.30833333333333335</v>
      </c>
      <c r="N122" t="s">
        <v>22</v>
      </c>
      <c r="O122" s="2">
        <f>M122*G5</f>
        <v>2.2385000000000002E-2</v>
      </c>
      <c r="S122" s="42">
        <f>J122/S109</f>
        <v>8.3333333333333332E-3</v>
      </c>
      <c r="AO122"/>
    </row>
    <row r="123" spans="4:41" x14ac:dyDescent="0.25">
      <c r="G123" s="19"/>
      <c r="J123" s="19">
        <v>10</v>
      </c>
      <c r="K123" s="184"/>
      <c r="L123" t="s">
        <v>200</v>
      </c>
      <c r="M123" s="146">
        <f>E48/60*J123</f>
        <v>0.41666666666666663</v>
      </c>
      <c r="N123" t="s">
        <v>22</v>
      </c>
      <c r="O123" s="2">
        <f>M123*G5</f>
        <v>3.0249999999999996E-2</v>
      </c>
      <c r="S123" s="42">
        <f>J123/S110</f>
        <v>0.16666666666666666</v>
      </c>
      <c r="AO123"/>
    </row>
    <row r="124" spans="4:41" x14ac:dyDescent="0.25">
      <c r="G124" s="19"/>
      <c r="K124" s="184"/>
      <c r="L124" t="s">
        <v>48</v>
      </c>
      <c r="M124" s="146">
        <f>J3*N12*N3</f>
        <v>3683.5499999999997</v>
      </c>
      <c r="N124" t="s">
        <v>26</v>
      </c>
      <c r="O124" s="29">
        <f>M124*D12</f>
        <v>4.0519049999999996</v>
      </c>
      <c r="P124" s="27">
        <v>5</v>
      </c>
      <c r="Q124" s="2">
        <f>O124/P124</f>
        <v>0.81038099999999991</v>
      </c>
      <c r="S124" s="42"/>
      <c r="AO124"/>
    </row>
    <row r="125" spans="4:41" x14ac:dyDescent="0.25">
      <c r="G125" s="19"/>
      <c r="J125" s="19">
        <v>5</v>
      </c>
      <c r="K125" s="184"/>
      <c r="L125" t="s">
        <v>201</v>
      </c>
      <c r="M125" s="146">
        <f>E44*J125/60</f>
        <v>6.9444444444444436E-4</v>
      </c>
      <c r="O125" s="2">
        <f>M125*G5</f>
        <v>5.0416666666666661E-5</v>
      </c>
      <c r="S125" s="42">
        <f>J125/S110</f>
        <v>8.3333333333333329E-2</v>
      </c>
      <c r="AO125"/>
    </row>
    <row r="126" spans="4:41" x14ac:dyDescent="0.25">
      <c r="G126" s="19"/>
      <c r="K126" s="184"/>
      <c r="L126" t="s">
        <v>202</v>
      </c>
      <c r="M126" s="146">
        <f>M121</f>
        <v>3900</v>
      </c>
      <c r="N126" t="s">
        <v>26</v>
      </c>
      <c r="O126" s="2">
        <f>M126*D32</f>
        <v>3.0393008947511633E-3</v>
      </c>
      <c r="S126" s="42"/>
      <c r="AO126"/>
    </row>
    <row r="127" spans="4:41" x14ac:dyDescent="0.25">
      <c r="E127" s="42">
        <f>M122+M123+M127+M129</f>
        <v>4.3256944444444443</v>
      </c>
      <c r="F127">
        <f>E127*0.1</f>
        <v>0.43256944444444445</v>
      </c>
      <c r="G127" s="19"/>
      <c r="J127" s="19">
        <v>2</v>
      </c>
      <c r="K127" s="184"/>
      <c r="L127" t="s">
        <v>427</v>
      </c>
      <c r="M127" s="146">
        <f>E56*J127</f>
        <v>3.6</v>
      </c>
      <c r="N127" t="s">
        <v>22</v>
      </c>
      <c r="O127" s="2">
        <f>M127*G5</f>
        <v>0.26135999999999998</v>
      </c>
      <c r="S127" s="42">
        <f>J127</f>
        <v>2</v>
      </c>
      <c r="AO127"/>
    </row>
    <row r="128" spans="4:41" x14ac:dyDescent="0.25">
      <c r="G128" s="19"/>
      <c r="J128" s="19">
        <v>5</v>
      </c>
      <c r="K128" s="184"/>
      <c r="L128" t="s">
        <v>566</v>
      </c>
      <c r="M128" s="146">
        <f>D58</f>
        <v>0.04</v>
      </c>
      <c r="N128" t="s">
        <v>150</v>
      </c>
      <c r="O128" s="5">
        <f>M128</f>
        <v>0.04</v>
      </c>
      <c r="S128" s="42">
        <f>J128/S110</f>
        <v>8.3333333333333329E-2</v>
      </c>
      <c r="AO128"/>
    </row>
    <row r="129" spans="6:41" x14ac:dyDescent="0.25">
      <c r="G129" s="19"/>
      <c r="J129" s="19">
        <v>5</v>
      </c>
      <c r="K129" s="184"/>
      <c r="L129" t="s">
        <v>205</v>
      </c>
      <c r="M129" s="146">
        <f>E44/60*J129</f>
        <v>6.9444444444444447E-4</v>
      </c>
      <c r="N129" t="s">
        <v>22</v>
      </c>
      <c r="O129" s="2">
        <f>M129*G5</f>
        <v>5.0416666666666668E-5</v>
      </c>
      <c r="S129" s="42">
        <f>J129/S110</f>
        <v>8.3333333333333329E-2</v>
      </c>
      <c r="AO129"/>
    </row>
    <row r="130" spans="6:41" x14ac:dyDescent="0.25">
      <c r="G130" s="19"/>
      <c r="K130" s="187" t="s">
        <v>186</v>
      </c>
      <c r="L130" t="s">
        <v>206</v>
      </c>
      <c r="M130" s="146"/>
      <c r="P130" s="2">
        <f>SUM(O121,O122:O129)</f>
        <v>4.412079435122835</v>
      </c>
      <c r="S130" s="42"/>
      <c r="AO130"/>
    </row>
    <row r="131" spans="6:41" x14ac:dyDescent="0.25">
      <c r="G131" s="19"/>
      <c r="K131" s="187"/>
      <c r="L131" t="s">
        <v>207</v>
      </c>
      <c r="M131" s="146"/>
      <c r="Q131" s="2" cm="1">
        <f t="array" ref="Q131:Q132">P115+O117:O118+P130</f>
        <v>9.2193803651348354</v>
      </c>
      <c r="S131" s="42"/>
      <c r="AO131"/>
    </row>
    <row r="132" spans="6:41" x14ac:dyDescent="0.25">
      <c r="G132" s="19"/>
      <c r="K132" t="s">
        <v>19</v>
      </c>
      <c r="L132" t="s">
        <v>48</v>
      </c>
      <c r="M132" s="147">
        <f>J3*N12*N3</f>
        <v>3683.5499999999997</v>
      </c>
      <c r="N132" t="s">
        <v>26</v>
      </c>
      <c r="O132" s="2">
        <f>M132*D12</f>
        <v>4.0519049999999996</v>
      </c>
      <c r="Q132">
        <v>4.9291453651348345</v>
      </c>
      <c r="S132" s="42"/>
      <c r="AO132"/>
    </row>
    <row r="133" spans="6:41" x14ac:dyDescent="0.25">
      <c r="G133" s="19"/>
      <c r="L133" t="s">
        <v>208</v>
      </c>
      <c r="M133" s="19">
        <v>1</v>
      </c>
      <c r="O133" s="2">
        <f>M133*D58</f>
        <v>0.04</v>
      </c>
      <c r="S133" s="117">
        <f>SUM(S113:S132)</f>
        <v>2.6500000000000004</v>
      </c>
      <c r="T133" s="79" t="s">
        <v>563</v>
      </c>
      <c r="AO133"/>
    </row>
    <row r="134" spans="6:41" x14ac:dyDescent="0.25">
      <c r="G134" s="19"/>
      <c r="S134" s="42"/>
      <c r="AO134"/>
    </row>
    <row r="135" spans="6:41" x14ac:dyDescent="0.25">
      <c r="G135" s="19"/>
      <c r="L135" t="s">
        <v>209</v>
      </c>
      <c r="S135" s="42"/>
      <c r="AO135"/>
    </row>
    <row r="136" spans="6:41" x14ac:dyDescent="0.25">
      <c r="G136" s="19"/>
      <c r="L136" s="6" t="s">
        <v>170</v>
      </c>
      <c r="M136" s="145" t="s">
        <v>169</v>
      </c>
      <c r="N136" s="6" t="s">
        <v>180</v>
      </c>
      <c r="O136" s="6" t="s">
        <v>181</v>
      </c>
      <c r="S136" s="116" t="s">
        <v>562</v>
      </c>
      <c r="AO136"/>
    </row>
    <row r="137" spans="6:41" x14ac:dyDescent="0.25">
      <c r="F137" t="s">
        <v>210</v>
      </c>
      <c r="G137" s="19" t="s">
        <v>211</v>
      </c>
      <c r="J137" s="119" t="s">
        <v>212</v>
      </c>
      <c r="K137" s="7"/>
      <c r="L137" s="7"/>
      <c r="S137" s="42"/>
    </row>
    <row r="138" spans="6:41" x14ac:dyDescent="0.25">
      <c r="F138" t="s">
        <v>62</v>
      </c>
      <c r="G138" s="36">
        <f>0.00165*M138</f>
        <v>5.7934305000000004</v>
      </c>
      <c r="K138" s="186" t="s">
        <v>213</v>
      </c>
      <c r="L138" t="s">
        <v>62</v>
      </c>
      <c r="M138" s="146">
        <f>J3*N16*N3</f>
        <v>3511.17</v>
      </c>
      <c r="N138" t="s">
        <v>26</v>
      </c>
      <c r="O138" s="29">
        <f>M138*D16</f>
        <v>5.5890804059999999</v>
      </c>
      <c r="S138" s="42">
        <f>J139/S110</f>
        <v>8.3333333333333329E-2</v>
      </c>
    </row>
    <row r="139" spans="6:41" x14ac:dyDescent="0.25">
      <c r="G139" s="19"/>
      <c r="J139" s="19">
        <v>5</v>
      </c>
      <c r="K139" s="186"/>
      <c r="L139" t="s">
        <v>214</v>
      </c>
      <c r="M139" s="146">
        <f>D58</f>
        <v>0.04</v>
      </c>
      <c r="N139" t="s">
        <v>150</v>
      </c>
      <c r="O139" s="5">
        <f>M139</f>
        <v>0.04</v>
      </c>
      <c r="S139" s="42"/>
    </row>
    <row r="140" spans="6:41" x14ac:dyDescent="0.25">
      <c r="G140" s="19"/>
      <c r="J140" s="19">
        <v>30</v>
      </c>
      <c r="K140" s="186"/>
      <c r="L140" t="s">
        <v>190</v>
      </c>
      <c r="M140" s="146">
        <f>E41*J140/60/60</f>
        <v>0.30833333333333335</v>
      </c>
      <c r="N140" t="s">
        <v>22</v>
      </c>
      <c r="O140" s="17">
        <f>M140*G5</f>
        <v>2.2385000000000002E-2</v>
      </c>
      <c r="S140" s="42">
        <f>J140/S109</f>
        <v>8.3333333333333332E-3</v>
      </c>
    </row>
    <row r="141" spans="6:41" x14ac:dyDescent="0.25">
      <c r="G141" s="19"/>
      <c r="K141" s="186" t="s">
        <v>215</v>
      </c>
      <c r="L141" t="s">
        <v>216</v>
      </c>
      <c r="M141" s="146"/>
      <c r="P141" s="2">
        <f>SUM(O138:O140)</f>
        <v>5.6514654059999998</v>
      </c>
      <c r="S141" s="42"/>
    </row>
    <row r="142" spans="6:41" x14ac:dyDescent="0.25">
      <c r="G142" s="19"/>
      <c r="K142" s="186"/>
      <c r="L142" t="s">
        <v>217</v>
      </c>
      <c r="M142" s="146"/>
      <c r="S142" s="42"/>
    </row>
    <row r="143" spans="6:41" x14ac:dyDescent="0.25">
      <c r="G143" s="19"/>
      <c r="J143" s="140" t="s">
        <v>192</v>
      </c>
      <c r="K143" s="9"/>
      <c r="L143" s="9"/>
      <c r="M143" s="146"/>
      <c r="Q143">
        <v>5</v>
      </c>
      <c r="S143" s="42"/>
    </row>
    <row r="144" spans="6:41" x14ac:dyDescent="0.25">
      <c r="G144" s="19"/>
      <c r="I144" t="s">
        <v>218</v>
      </c>
      <c r="K144" s="184" t="s">
        <v>19</v>
      </c>
      <c r="L144" t="s">
        <v>176</v>
      </c>
      <c r="M144" s="146">
        <f>J3*N32*N3</f>
        <v>3900</v>
      </c>
      <c r="N144" t="s">
        <v>26</v>
      </c>
      <c r="O144" s="2">
        <f>M144*D32</f>
        <v>3.0393008947511633E-3</v>
      </c>
      <c r="Q144" s="42">
        <f t="shared" ref="Q144:Q152" si="2">M144/$Q$143</f>
        <v>780</v>
      </c>
      <c r="R144" s="2">
        <f>Q144*D32</f>
        <v>6.0786017895023267E-4</v>
      </c>
      <c r="S144" s="42"/>
    </row>
    <row r="145" spans="7:20" x14ac:dyDescent="0.25">
      <c r="G145" s="19"/>
      <c r="J145" s="19">
        <v>30</v>
      </c>
      <c r="K145" s="184"/>
      <c r="L145" t="s">
        <v>190</v>
      </c>
      <c r="M145" s="146">
        <f>E41*J145/60/60</f>
        <v>0.30833333333333335</v>
      </c>
      <c r="N145" t="s">
        <v>22</v>
      </c>
      <c r="O145" s="2">
        <f>M145*G5</f>
        <v>2.2385000000000002E-2</v>
      </c>
      <c r="Q145" s="42">
        <f t="shared" si="2"/>
        <v>6.1666666666666668E-2</v>
      </c>
      <c r="R145" s="2"/>
      <c r="S145" s="42">
        <f>J145/S109</f>
        <v>8.3333333333333332E-3</v>
      </c>
    </row>
    <row r="146" spans="7:20" x14ac:dyDescent="0.25">
      <c r="G146" s="19"/>
      <c r="J146" s="19">
        <v>10</v>
      </c>
      <c r="K146" s="184"/>
      <c r="L146" t="s">
        <v>219</v>
      </c>
      <c r="M146" s="146">
        <f>E48*J146/60</f>
        <v>0.41666666666666669</v>
      </c>
      <c r="N146" t="s">
        <v>22</v>
      </c>
      <c r="O146" s="2">
        <v>1.9166666666666665E-2</v>
      </c>
      <c r="P146" s="39"/>
      <c r="Q146" s="42">
        <f t="shared" si="2"/>
        <v>8.3333333333333343E-2</v>
      </c>
      <c r="R146" s="2"/>
      <c r="S146" s="42">
        <f>J146/S110</f>
        <v>0.16666666666666666</v>
      </c>
    </row>
    <row r="147" spans="7:20" x14ac:dyDescent="0.25">
      <c r="G147" s="19"/>
      <c r="K147" s="184"/>
      <c r="L147" t="s">
        <v>48</v>
      </c>
      <c r="M147" s="146">
        <f>J3*N12*N3</f>
        <v>3683.5499999999997</v>
      </c>
      <c r="N147" t="s">
        <v>26</v>
      </c>
      <c r="O147" s="29">
        <f>M147*D12</f>
        <v>4.0519049999999996</v>
      </c>
      <c r="Q147" s="42">
        <f t="shared" si="2"/>
        <v>736.70999999999992</v>
      </c>
      <c r="R147" s="2">
        <f>Q147*D12</f>
        <v>0.81038100000000002</v>
      </c>
      <c r="S147" s="42"/>
    </row>
    <row r="148" spans="7:20" x14ac:dyDescent="0.25">
      <c r="G148" s="19"/>
      <c r="J148" s="19">
        <v>5</v>
      </c>
      <c r="K148" s="184"/>
      <c r="L148" t="s">
        <v>426</v>
      </c>
      <c r="M148" s="146">
        <f>E44*J148/60</f>
        <v>6.9444444444444436E-4</v>
      </c>
      <c r="N148" t="s">
        <v>22</v>
      </c>
      <c r="O148" s="2">
        <f>M148*G5</f>
        <v>5.0416666666666661E-5</v>
      </c>
      <c r="Q148" s="42">
        <f t="shared" si="2"/>
        <v>1.3888888888888886E-4</v>
      </c>
      <c r="R148" s="2"/>
      <c r="S148" s="42">
        <f>J148/S110</f>
        <v>8.3333333333333329E-2</v>
      </c>
    </row>
    <row r="149" spans="7:20" x14ac:dyDescent="0.25">
      <c r="G149" s="19"/>
      <c r="K149" s="184"/>
      <c r="L149" t="s">
        <v>202</v>
      </c>
      <c r="M149" s="146">
        <f>M126</f>
        <v>3900</v>
      </c>
      <c r="N149" t="s">
        <v>26</v>
      </c>
      <c r="O149" s="55">
        <f>M149*D32</f>
        <v>3.0393008947511633E-3</v>
      </c>
      <c r="Q149" s="42">
        <f t="shared" si="2"/>
        <v>780</v>
      </c>
      <c r="R149" s="2"/>
      <c r="S149" s="42"/>
    </row>
    <row r="150" spans="7:20" x14ac:dyDescent="0.25">
      <c r="G150" s="19"/>
      <c r="J150" s="19">
        <v>2</v>
      </c>
      <c r="K150" s="184"/>
      <c r="L150" t="s">
        <v>203</v>
      </c>
      <c r="M150" s="146">
        <f>E56*J150</f>
        <v>3.6</v>
      </c>
      <c r="N150" t="s">
        <v>22</v>
      </c>
      <c r="O150" s="2">
        <f>M150*G5</f>
        <v>0.26135999999999998</v>
      </c>
      <c r="Q150" s="42">
        <f t="shared" si="2"/>
        <v>0.72</v>
      </c>
      <c r="R150" s="2"/>
      <c r="S150" s="42"/>
    </row>
    <row r="151" spans="7:20" x14ac:dyDescent="0.25">
      <c r="G151" s="19"/>
      <c r="J151" s="19">
        <v>5</v>
      </c>
      <c r="K151" s="184"/>
      <c r="L151" t="s">
        <v>204</v>
      </c>
      <c r="M151" s="146">
        <f>M128</f>
        <v>0.04</v>
      </c>
      <c r="N151" t="s">
        <v>150</v>
      </c>
      <c r="O151" s="5">
        <v>1.43</v>
      </c>
      <c r="Q151" s="42">
        <f t="shared" si="2"/>
        <v>8.0000000000000002E-3</v>
      </c>
      <c r="R151" s="2"/>
      <c r="S151" s="42">
        <f>J151/S110</f>
        <v>8.3333333333333329E-2</v>
      </c>
    </row>
    <row r="152" spans="7:20" x14ac:dyDescent="0.25">
      <c r="G152" s="19"/>
      <c r="J152" s="19">
        <v>5</v>
      </c>
      <c r="K152" s="184"/>
      <c r="L152" t="s">
        <v>220</v>
      </c>
      <c r="M152" s="146">
        <f>E44*J152/60</f>
        <v>6.9444444444444436E-4</v>
      </c>
      <c r="N152" t="s">
        <v>22</v>
      </c>
      <c r="O152" s="2">
        <v>9.5833333333333339E-4</v>
      </c>
      <c r="Q152" s="42">
        <f t="shared" si="2"/>
        <v>1.3888888888888886E-4</v>
      </c>
      <c r="R152" s="2"/>
      <c r="S152" s="42">
        <f>J152/S110</f>
        <v>8.3333333333333329E-2</v>
      </c>
    </row>
    <row r="153" spans="7:20" x14ac:dyDescent="0.25">
      <c r="G153" s="19"/>
      <c r="K153" s="184" t="s">
        <v>186</v>
      </c>
      <c r="L153" t="s">
        <v>206</v>
      </c>
      <c r="M153" s="146"/>
      <c r="P153" s="2">
        <f>SUM(O144:O152,O144)</f>
        <v>5.794943319350919</v>
      </c>
      <c r="S153" s="42"/>
    </row>
    <row r="154" spans="7:20" x14ac:dyDescent="0.25">
      <c r="G154" s="19"/>
      <c r="K154" s="184"/>
      <c r="L154" t="s">
        <v>207</v>
      </c>
      <c r="M154" s="146"/>
      <c r="S154" s="42"/>
    </row>
    <row r="155" spans="7:20" x14ac:dyDescent="0.25">
      <c r="G155" s="19"/>
      <c r="J155" s="182" t="s">
        <v>221</v>
      </c>
      <c r="K155" s="182"/>
      <c r="L155" s="182"/>
      <c r="M155" s="146"/>
      <c r="S155" s="42"/>
    </row>
    <row r="156" spans="7:20" x14ac:dyDescent="0.25">
      <c r="G156" s="19"/>
      <c r="K156" s="184" t="s">
        <v>19</v>
      </c>
      <c r="L156" t="s">
        <v>48</v>
      </c>
      <c r="M156" s="146">
        <f>J3*N12*N3</f>
        <v>3683.5499999999997</v>
      </c>
      <c r="N156" t="s">
        <v>26</v>
      </c>
      <c r="O156" s="5">
        <f>M156*D12</f>
        <v>4.0519049999999996</v>
      </c>
      <c r="S156" s="42"/>
    </row>
    <row r="157" spans="7:20" x14ac:dyDescent="0.25">
      <c r="G157" s="19"/>
      <c r="K157" s="184"/>
      <c r="L157" t="s">
        <v>150</v>
      </c>
      <c r="M157" s="146">
        <v>1</v>
      </c>
      <c r="N157" t="s">
        <v>180</v>
      </c>
      <c r="O157" s="5">
        <f>D58</f>
        <v>0.04</v>
      </c>
      <c r="S157" s="42"/>
    </row>
    <row r="158" spans="7:20" x14ac:dyDescent="0.25">
      <c r="G158" s="19"/>
      <c r="J158" s="19">
        <v>10</v>
      </c>
      <c r="K158" s="184"/>
      <c r="L158" t="s">
        <v>222</v>
      </c>
      <c r="M158" s="146">
        <f>E48*J158/60</f>
        <v>0.41666666666666669</v>
      </c>
      <c r="N158" t="s">
        <v>22</v>
      </c>
      <c r="O158" s="2">
        <f>M158*G5</f>
        <v>3.0249999999999999E-2</v>
      </c>
      <c r="S158" s="42"/>
    </row>
    <row r="159" spans="7:20" x14ac:dyDescent="0.25">
      <c r="G159" s="19"/>
      <c r="K159" s="20"/>
      <c r="P159" s="5">
        <f>SUM(O156:O158)</f>
        <v>4.1221549999999993</v>
      </c>
      <c r="S159" s="117">
        <f>SUM(S137:S158)</f>
        <v>0.51666666666666661</v>
      </c>
      <c r="T159" t="s">
        <v>563</v>
      </c>
    </row>
    <row r="160" spans="7:20" x14ac:dyDescent="0.25">
      <c r="G160" s="19"/>
      <c r="Q160" s="46">
        <f>SUM(P141+P153+P159)</f>
        <v>15.568563725350918</v>
      </c>
      <c r="S160" s="42"/>
    </row>
    <row r="161" spans="7:19" x14ac:dyDescent="0.25">
      <c r="G161" s="19"/>
      <c r="S161" s="42"/>
    </row>
    <row r="162" spans="7:19" x14ac:dyDescent="0.25">
      <c r="G162" s="19"/>
      <c r="L162" t="s">
        <v>461</v>
      </c>
      <c r="S162" s="42"/>
    </row>
    <row r="163" spans="7:19" x14ac:dyDescent="0.25">
      <c r="G163" s="19"/>
      <c r="L163" s="6" t="s">
        <v>170</v>
      </c>
      <c r="M163" s="145" t="s">
        <v>169</v>
      </c>
      <c r="N163" s="6" t="s">
        <v>180</v>
      </c>
      <c r="O163" s="6" t="s">
        <v>181</v>
      </c>
      <c r="S163" s="42" t="s">
        <v>562</v>
      </c>
    </row>
    <row r="164" spans="7:19" x14ac:dyDescent="0.25">
      <c r="G164" s="19"/>
      <c r="J164" s="119" t="s">
        <v>182</v>
      </c>
      <c r="K164" s="7"/>
      <c r="L164" s="7"/>
      <c r="S164" s="42"/>
    </row>
    <row r="165" spans="7:19" x14ac:dyDescent="0.25">
      <c r="G165" s="19"/>
      <c r="K165" s="184" t="s">
        <v>19</v>
      </c>
      <c r="L165" t="s">
        <v>223</v>
      </c>
      <c r="M165" s="146">
        <f>J3*N11*N3</f>
        <v>4312.62</v>
      </c>
      <c r="N165" t="s">
        <v>26</v>
      </c>
      <c r="O165" s="30">
        <f>M165*D11</f>
        <v>4.3126199999999999</v>
      </c>
      <c r="S165" s="42"/>
    </row>
    <row r="166" spans="7:19" x14ac:dyDescent="0.25">
      <c r="G166" s="19"/>
      <c r="J166" s="19">
        <v>5</v>
      </c>
      <c r="K166" s="184"/>
      <c r="L166" t="s">
        <v>208</v>
      </c>
      <c r="M166" s="146">
        <v>1</v>
      </c>
      <c r="O166" s="5">
        <f>D58</f>
        <v>0.04</v>
      </c>
      <c r="S166" s="42">
        <f>J166/S110</f>
        <v>8.3333333333333329E-2</v>
      </c>
    </row>
    <row r="167" spans="7:19" x14ac:dyDescent="0.25">
      <c r="G167" s="19"/>
      <c r="J167" s="19">
        <v>30</v>
      </c>
      <c r="K167" s="184"/>
      <c r="L167" t="s">
        <v>428</v>
      </c>
      <c r="M167" s="146">
        <f>E41*J167/60/60</f>
        <v>0.30833333333333335</v>
      </c>
      <c r="N167" t="s">
        <v>22</v>
      </c>
      <c r="O167" s="5">
        <f>M167*G5</f>
        <v>2.2385000000000002E-2</v>
      </c>
      <c r="S167" s="42">
        <f>J167/S109</f>
        <v>8.3333333333333332E-3</v>
      </c>
    </row>
    <row r="168" spans="7:19" x14ac:dyDescent="0.25">
      <c r="G168" s="19"/>
      <c r="K168" s="80" t="s">
        <v>215</v>
      </c>
      <c r="L168" t="s">
        <v>187</v>
      </c>
      <c r="P168" s="2">
        <f>O165+O166+O167</f>
        <v>4.3750049999999998</v>
      </c>
      <c r="S168" s="42"/>
    </row>
    <row r="169" spans="7:19" x14ac:dyDescent="0.25">
      <c r="G169" s="19"/>
      <c r="L169" t="s">
        <v>172</v>
      </c>
      <c r="S169" s="42"/>
    </row>
    <row r="170" spans="7:19" x14ac:dyDescent="0.25">
      <c r="G170" s="19"/>
      <c r="J170" s="140" t="s">
        <v>192</v>
      </c>
      <c r="K170" s="9"/>
      <c r="L170" s="9"/>
      <c r="S170" s="42"/>
    </row>
    <row r="171" spans="7:19" x14ac:dyDescent="0.25">
      <c r="G171" s="19"/>
      <c r="K171" t="s">
        <v>19</v>
      </c>
      <c r="L171" t="s">
        <v>176</v>
      </c>
      <c r="M171" s="19">
        <f>J3*N32*N3</f>
        <v>3900</v>
      </c>
      <c r="N171" t="s">
        <v>26</v>
      </c>
      <c r="O171" s="2">
        <f>M171*D32</f>
        <v>3.0393008947511633E-3</v>
      </c>
      <c r="S171" s="42"/>
    </row>
    <row r="172" spans="7:19" x14ac:dyDescent="0.25">
      <c r="G172" s="19"/>
      <c r="J172" s="19">
        <v>30</v>
      </c>
      <c r="L172" t="s">
        <v>190</v>
      </c>
      <c r="M172" s="19">
        <f>E41*J172/60/60</f>
        <v>0.30833333333333335</v>
      </c>
      <c r="N172" t="s">
        <v>22</v>
      </c>
      <c r="O172" s="2">
        <f>M172*G5</f>
        <v>2.2385000000000002E-2</v>
      </c>
      <c r="S172" s="42">
        <f>J172/S109</f>
        <v>8.3333333333333332E-3</v>
      </c>
    </row>
    <row r="173" spans="7:19" x14ac:dyDescent="0.25">
      <c r="G173" s="19"/>
      <c r="J173" s="19">
        <v>15</v>
      </c>
      <c r="L173" t="s">
        <v>219</v>
      </c>
      <c r="M173" s="19">
        <f>E48*J173/60</f>
        <v>0.625</v>
      </c>
      <c r="N173" t="s">
        <v>381</v>
      </c>
      <c r="O173" s="2">
        <f>+M173*G5</f>
        <v>4.5374999999999999E-2</v>
      </c>
      <c r="S173" s="42">
        <f>J173/S110</f>
        <v>0.25</v>
      </c>
    </row>
    <row r="174" spans="7:19" x14ac:dyDescent="0.25">
      <c r="G174" s="19"/>
      <c r="L174" t="s">
        <v>48</v>
      </c>
      <c r="M174" s="19">
        <f>J3*N12*N3</f>
        <v>3683.5499999999997</v>
      </c>
      <c r="N174" t="s">
        <v>26</v>
      </c>
      <c r="O174" s="2">
        <f>M174*D12</f>
        <v>4.0519049999999996</v>
      </c>
      <c r="S174" s="42"/>
    </row>
    <row r="175" spans="7:19" x14ac:dyDescent="0.25">
      <c r="G175" s="19"/>
      <c r="K175" t="s">
        <v>215</v>
      </c>
      <c r="L175" t="s">
        <v>207</v>
      </c>
      <c r="P175" s="2">
        <f>SUM(O171:O174)</f>
        <v>4.1227043008947506</v>
      </c>
      <c r="S175" s="42"/>
    </row>
    <row r="176" spans="7:19" x14ac:dyDescent="0.25">
      <c r="G176" s="19"/>
      <c r="J176" s="182" t="s">
        <v>221</v>
      </c>
      <c r="K176" s="182"/>
      <c r="L176" s="182"/>
      <c r="S176" s="42"/>
    </row>
    <row r="177" spans="5:19" x14ac:dyDescent="0.25">
      <c r="G177" s="19"/>
      <c r="K177" s="90" t="s">
        <v>19</v>
      </c>
      <c r="L177" s="90" t="s">
        <v>48</v>
      </c>
      <c r="M177" s="19">
        <f>J3*N12*N3</f>
        <v>3683.5499999999997</v>
      </c>
      <c r="N177" t="s">
        <v>26</v>
      </c>
      <c r="O177" s="2">
        <f>M177*D12</f>
        <v>4.0519049999999996</v>
      </c>
      <c r="S177" s="42"/>
    </row>
    <row r="178" spans="5:19" x14ac:dyDescent="0.25">
      <c r="G178" s="19"/>
      <c r="J178" s="19">
        <v>5</v>
      </c>
      <c r="K178" s="90"/>
      <c r="L178" s="90" t="s">
        <v>150</v>
      </c>
      <c r="M178" s="19">
        <v>1</v>
      </c>
      <c r="N178" t="s">
        <v>180</v>
      </c>
      <c r="O178" s="2">
        <f>M178*D58</f>
        <v>0.04</v>
      </c>
      <c r="S178" s="42">
        <f>J178/S110</f>
        <v>8.3333333333333329E-2</v>
      </c>
    </row>
    <row r="179" spans="5:19" x14ac:dyDescent="0.25">
      <c r="G179" s="19"/>
      <c r="J179" s="19">
        <v>30</v>
      </c>
      <c r="L179" t="s">
        <v>190</v>
      </c>
      <c r="M179" s="19">
        <f>E41*J179/60/60</f>
        <v>0.30833333333333335</v>
      </c>
      <c r="N179" t="s">
        <v>22</v>
      </c>
      <c r="O179" s="2">
        <f>M179*G5</f>
        <v>2.2385000000000002E-2</v>
      </c>
      <c r="S179" s="42">
        <f>J179/S109</f>
        <v>8.3333333333333332E-3</v>
      </c>
    </row>
    <row r="180" spans="5:19" x14ac:dyDescent="0.25">
      <c r="G180" s="19"/>
      <c r="J180" s="19">
        <v>10</v>
      </c>
      <c r="L180" t="s">
        <v>429</v>
      </c>
      <c r="M180" s="19">
        <f>E48*J180/60</f>
        <v>0.41666666666666669</v>
      </c>
      <c r="N180" t="s">
        <v>22</v>
      </c>
      <c r="O180" s="2">
        <f>M180*G5</f>
        <v>3.0249999999999999E-2</v>
      </c>
      <c r="S180" s="42">
        <f>J180/S110</f>
        <v>0.16666666666666666</v>
      </c>
    </row>
    <row r="181" spans="5:19" x14ac:dyDescent="0.25">
      <c r="G181" s="19"/>
      <c r="K181" t="s">
        <v>215</v>
      </c>
      <c r="L181" t="s">
        <v>268</v>
      </c>
      <c r="P181" s="2">
        <f>SUM(O177:O180)</f>
        <v>4.1445399999999992</v>
      </c>
      <c r="S181" s="42"/>
    </row>
    <row r="182" spans="5:19" x14ac:dyDescent="0.25">
      <c r="G182" s="19"/>
      <c r="L182" t="s">
        <v>430</v>
      </c>
      <c r="S182" s="117">
        <f>SUM(S164:S181)</f>
        <v>0.60833333333333328</v>
      </c>
    </row>
    <row r="183" spans="5:19" ht="14.45" customHeight="1" x14ac:dyDescent="0.25">
      <c r="G183" s="19"/>
      <c r="Q183" s="91">
        <f>P168+P175+P181</f>
        <v>12.642249300894751</v>
      </c>
      <c r="S183" s="42"/>
    </row>
    <row r="184" spans="5:19" ht="20.100000000000001" customHeight="1" x14ac:dyDescent="0.25">
      <c r="G184" s="19"/>
      <c r="S184" s="42"/>
    </row>
    <row r="185" spans="5:19" ht="21.6" customHeight="1" x14ac:dyDescent="0.25">
      <c r="G185" s="19"/>
      <c r="L185" t="s">
        <v>431</v>
      </c>
      <c r="S185" s="42"/>
    </row>
    <row r="186" spans="5:19" x14ac:dyDescent="0.25">
      <c r="G186" s="19"/>
      <c r="L186" s="6" t="s">
        <v>170</v>
      </c>
      <c r="M186" s="145" t="s">
        <v>169</v>
      </c>
      <c r="N186" s="6" t="s">
        <v>180</v>
      </c>
      <c r="O186" s="6" t="s">
        <v>181</v>
      </c>
      <c r="S186" s="42" t="s">
        <v>562</v>
      </c>
    </row>
    <row r="187" spans="5:19" x14ac:dyDescent="0.25">
      <c r="E187" t="s">
        <v>224</v>
      </c>
      <c r="F187" s="19" t="s">
        <v>225</v>
      </c>
      <c r="G187" s="19"/>
      <c r="J187" s="180" t="s">
        <v>226</v>
      </c>
      <c r="K187" s="180"/>
      <c r="L187" s="180"/>
      <c r="M187" s="180"/>
      <c r="S187" s="42"/>
    </row>
    <row r="188" spans="5:19" x14ac:dyDescent="0.25">
      <c r="E188" s="33" t="s">
        <v>227</v>
      </c>
      <c r="F188" s="19">
        <f>0.0045*M189</f>
        <v>1.6575975000000001</v>
      </c>
      <c r="G188" s="19"/>
      <c r="K188" s="184" t="s">
        <v>19</v>
      </c>
      <c r="L188" t="s">
        <v>48</v>
      </c>
      <c r="M188" s="146">
        <f>J3*N12*N3</f>
        <v>3683.5499999999997</v>
      </c>
      <c r="N188" t="s">
        <v>26</v>
      </c>
      <c r="O188" s="2">
        <f>M188*D12</f>
        <v>4.0519049999999996</v>
      </c>
      <c r="S188" s="42"/>
    </row>
    <row r="189" spans="5:19" x14ac:dyDescent="0.25">
      <c r="F189" s="34">
        <v>1.8</v>
      </c>
      <c r="G189" s="19"/>
      <c r="J189" s="19">
        <v>0.1</v>
      </c>
      <c r="K189" s="184"/>
      <c r="L189" s="33" t="s">
        <v>227</v>
      </c>
      <c r="M189" s="146">
        <f>M188*J189</f>
        <v>368.35500000000002</v>
      </c>
      <c r="N189" t="s">
        <v>26</v>
      </c>
      <c r="O189" s="2">
        <f>M189*D33</f>
        <v>1.6575975000000001</v>
      </c>
      <c r="P189" s="2"/>
      <c r="S189" s="42">
        <f>J190/S110</f>
        <v>8.3333333333333329E-2</v>
      </c>
    </row>
    <row r="190" spans="5:19" x14ac:dyDescent="0.25">
      <c r="E190" t="s">
        <v>228</v>
      </c>
      <c r="G190" s="19"/>
      <c r="J190" s="19">
        <v>5</v>
      </c>
      <c r="K190" s="184"/>
      <c r="L190" t="s">
        <v>229</v>
      </c>
      <c r="M190" s="146">
        <f>E52/60*J190</f>
        <v>8.3333333333333329E-2</v>
      </c>
      <c r="N190" t="s">
        <v>22</v>
      </c>
      <c r="O190" s="2">
        <f>M190*G5</f>
        <v>6.0499999999999998E-3</v>
      </c>
      <c r="S190" s="42"/>
    </row>
    <row r="191" spans="5:19" x14ac:dyDescent="0.25">
      <c r="G191" s="19"/>
      <c r="J191" s="19" t="s">
        <v>230</v>
      </c>
      <c r="K191" s="184"/>
      <c r="L191" t="s">
        <v>118</v>
      </c>
      <c r="M191" s="146">
        <f>(J3*Q2)/S2</f>
        <v>780</v>
      </c>
      <c r="N191" t="s">
        <v>26</v>
      </c>
      <c r="O191" s="2">
        <f>M191*D38</f>
        <v>2.34</v>
      </c>
      <c r="S191" s="42"/>
    </row>
    <row r="192" spans="5:19" x14ac:dyDescent="0.25">
      <c r="G192" s="19"/>
      <c r="J192" s="19">
        <v>5</v>
      </c>
      <c r="K192" s="184"/>
      <c r="L192" t="s">
        <v>231</v>
      </c>
      <c r="M192" s="146">
        <v>1</v>
      </c>
      <c r="N192" t="s">
        <v>150</v>
      </c>
      <c r="O192" s="5">
        <f>D58</f>
        <v>0.04</v>
      </c>
      <c r="S192" s="42">
        <f>J192/S110</f>
        <v>8.3333333333333329E-2</v>
      </c>
    </row>
    <row r="193" spans="7:19" x14ac:dyDescent="0.25">
      <c r="G193" s="19"/>
      <c r="K193" s="184" t="s">
        <v>215</v>
      </c>
      <c r="L193" t="s">
        <v>216</v>
      </c>
      <c r="M193" s="146"/>
      <c r="P193" s="25">
        <f>SUM(O188:O192)</f>
        <v>8.0955524999999984</v>
      </c>
      <c r="S193" s="42"/>
    </row>
    <row r="194" spans="7:19" x14ac:dyDescent="0.25">
      <c r="G194" s="19"/>
      <c r="K194" s="184"/>
      <c r="L194" t="s">
        <v>172</v>
      </c>
      <c r="S194" s="42"/>
    </row>
    <row r="195" spans="7:19" ht="17.100000000000001" customHeight="1" x14ac:dyDescent="0.25">
      <c r="G195" s="19"/>
      <c r="K195" s="184"/>
      <c r="L195" t="s">
        <v>207</v>
      </c>
      <c r="S195" s="42"/>
    </row>
    <row r="196" spans="7:19" ht="16.350000000000001" customHeight="1" x14ac:dyDescent="0.25">
      <c r="G196" s="19"/>
      <c r="S196" s="118">
        <f>SUM(S187:S195)</f>
        <v>0.16666666666666666</v>
      </c>
    </row>
    <row r="197" spans="7:19" x14ac:dyDescent="0.25">
      <c r="G197" s="19"/>
      <c r="S197" s="42"/>
    </row>
    <row r="198" spans="7:19" x14ac:dyDescent="0.25">
      <c r="G198" s="19"/>
      <c r="L198" t="s">
        <v>232</v>
      </c>
      <c r="S198" s="42"/>
    </row>
    <row r="199" spans="7:19" x14ac:dyDescent="0.25">
      <c r="G199" s="19"/>
      <c r="L199" s="6" t="s">
        <v>170</v>
      </c>
      <c r="M199" s="145" t="s">
        <v>169</v>
      </c>
      <c r="N199" s="6" t="s">
        <v>180</v>
      </c>
      <c r="O199" s="6" t="s">
        <v>181</v>
      </c>
      <c r="S199" s="42" t="s">
        <v>562</v>
      </c>
    </row>
    <row r="200" spans="7:19" x14ac:dyDescent="0.25">
      <c r="G200" s="19"/>
      <c r="J200" s="180" t="s">
        <v>226</v>
      </c>
      <c r="K200" s="180"/>
      <c r="L200" s="180"/>
      <c r="M200" s="180"/>
      <c r="O200" s="15"/>
      <c r="S200" s="42"/>
    </row>
    <row r="201" spans="7:19" x14ac:dyDescent="0.25">
      <c r="G201" s="19"/>
      <c r="K201" t="s">
        <v>19</v>
      </c>
      <c r="L201" t="s">
        <v>91</v>
      </c>
      <c r="M201" s="146">
        <f>J3*N23*N3</f>
        <v>5510.7</v>
      </c>
      <c r="N201" t="s">
        <v>26</v>
      </c>
      <c r="O201" s="15">
        <f>M201*D23</f>
        <v>5.5106999999999999</v>
      </c>
      <c r="S201" s="42"/>
    </row>
    <row r="202" spans="7:19" ht="13.5" customHeight="1" x14ac:dyDescent="0.25">
      <c r="G202" s="19"/>
      <c r="J202" s="19">
        <v>0.1</v>
      </c>
      <c r="L202" t="s">
        <v>227</v>
      </c>
      <c r="M202" s="146">
        <f>M201*J202</f>
        <v>551.07000000000005</v>
      </c>
      <c r="N202" t="s">
        <v>26</v>
      </c>
      <c r="O202" s="15">
        <f>M202*D33</f>
        <v>2.4798149999999999</v>
      </c>
      <c r="S202" s="42"/>
    </row>
    <row r="203" spans="7:19" x14ac:dyDescent="0.25">
      <c r="G203" s="19" t="s">
        <v>233</v>
      </c>
      <c r="J203" s="19">
        <v>5</v>
      </c>
      <c r="L203" t="s">
        <v>234</v>
      </c>
      <c r="M203" s="146">
        <f>E52/60*J203</f>
        <v>8.3333333333333329E-2</v>
      </c>
      <c r="N203" t="s">
        <v>22</v>
      </c>
      <c r="O203" s="15">
        <v>9.5833333333333326E-3</v>
      </c>
      <c r="S203" s="42"/>
    </row>
    <row r="204" spans="7:19" x14ac:dyDescent="0.25">
      <c r="G204" s="19"/>
      <c r="L204" t="s">
        <v>118</v>
      </c>
      <c r="M204" s="146">
        <f>(J3*Q2)/S2</f>
        <v>780</v>
      </c>
      <c r="N204" t="s">
        <v>26</v>
      </c>
      <c r="O204" s="16">
        <f>M204*D38</f>
        <v>2.34</v>
      </c>
      <c r="S204" s="42"/>
    </row>
    <row r="205" spans="7:19" x14ac:dyDescent="0.25">
      <c r="G205" s="19"/>
      <c r="L205" t="s">
        <v>231</v>
      </c>
      <c r="M205" s="146">
        <v>1</v>
      </c>
      <c r="N205" t="s">
        <v>150</v>
      </c>
      <c r="O205" s="15">
        <v>1.43</v>
      </c>
      <c r="S205" s="42"/>
    </row>
    <row r="206" spans="7:19" x14ac:dyDescent="0.25">
      <c r="G206" s="19"/>
      <c r="K206" t="s">
        <v>215</v>
      </c>
      <c r="L206" t="s">
        <v>216</v>
      </c>
      <c r="M206" s="146"/>
      <c r="O206" s="15"/>
      <c r="P206" s="47">
        <f>SUM(O201:O205)</f>
        <v>11.770098333333333</v>
      </c>
      <c r="S206" s="42"/>
    </row>
    <row r="207" spans="7:19" x14ac:dyDescent="0.25">
      <c r="G207" s="19"/>
      <c r="L207" t="s">
        <v>172</v>
      </c>
      <c r="O207" s="15"/>
      <c r="S207" s="42"/>
    </row>
    <row r="208" spans="7:19" x14ac:dyDescent="0.25">
      <c r="G208" s="19"/>
      <c r="L208" t="s">
        <v>207</v>
      </c>
      <c r="O208" s="15"/>
      <c r="S208" s="42"/>
    </row>
    <row r="209" spans="6:19" x14ac:dyDescent="0.25">
      <c r="G209" s="19"/>
      <c r="S209" s="118">
        <f>S196</f>
        <v>0.16666666666666666</v>
      </c>
    </row>
    <row r="210" spans="6:19" x14ac:dyDescent="0.25">
      <c r="G210" s="19"/>
      <c r="S210" s="42"/>
    </row>
    <row r="211" spans="6:19" x14ac:dyDescent="0.25">
      <c r="G211" s="19"/>
      <c r="L211" t="s">
        <v>235</v>
      </c>
      <c r="S211" s="42"/>
    </row>
    <row r="212" spans="6:19" x14ac:dyDescent="0.25">
      <c r="F212" t="s">
        <v>95</v>
      </c>
      <c r="G212" s="19"/>
      <c r="L212" s="6" t="s">
        <v>170</v>
      </c>
      <c r="M212" s="145" t="s">
        <v>169</v>
      </c>
      <c r="N212" s="6" t="s">
        <v>180</v>
      </c>
      <c r="O212" s="6" t="s">
        <v>181</v>
      </c>
      <c r="S212" s="42" t="s">
        <v>562</v>
      </c>
    </row>
    <row r="213" spans="6:19" x14ac:dyDescent="0.25">
      <c r="G213" s="19"/>
      <c r="J213" s="180" t="s">
        <v>226</v>
      </c>
      <c r="K213" s="180"/>
      <c r="L213" s="180"/>
      <c r="M213" s="180"/>
      <c r="O213" s="15"/>
      <c r="S213" s="42"/>
    </row>
    <row r="214" spans="6:19" x14ac:dyDescent="0.25">
      <c r="G214" s="19"/>
      <c r="K214" t="s">
        <v>19</v>
      </c>
      <c r="L214" t="s">
        <v>95</v>
      </c>
      <c r="M214" s="146">
        <f>J3*N24*N3</f>
        <v>4272.4499999999989</v>
      </c>
      <c r="N214" t="s">
        <v>26</v>
      </c>
      <c r="O214" s="31">
        <f>M214*D24</f>
        <v>7.9253947499999988</v>
      </c>
      <c r="S214" s="42"/>
    </row>
    <row r="215" spans="6:19" x14ac:dyDescent="0.25">
      <c r="G215" s="19"/>
      <c r="J215" s="19">
        <v>0.1</v>
      </c>
      <c r="L215" t="s">
        <v>227</v>
      </c>
      <c r="M215" s="146">
        <f>M214*J215</f>
        <v>427.24499999999989</v>
      </c>
      <c r="N215" t="s">
        <v>26</v>
      </c>
      <c r="O215" s="32">
        <f>M215*D33</f>
        <v>1.9226024999999993</v>
      </c>
      <c r="S215" s="42"/>
    </row>
    <row r="216" spans="6:19" x14ac:dyDescent="0.25">
      <c r="G216" s="19"/>
      <c r="J216" s="19">
        <v>5</v>
      </c>
      <c r="L216" t="s">
        <v>234</v>
      </c>
      <c r="M216" s="146">
        <f>E52*J216/60</f>
        <v>8.3333333333333329E-2</v>
      </c>
      <c r="N216" t="s">
        <v>22</v>
      </c>
      <c r="O216" s="15">
        <v>9.5833333333333326E-3</v>
      </c>
      <c r="S216" s="42"/>
    </row>
    <row r="217" spans="6:19" x14ac:dyDescent="0.25">
      <c r="G217" s="19"/>
      <c r="L217" t="s">
        <v>118</v>
      </c>
      <c r="M217" s="146">
        <f>(J3*Q2)/S2</f>
        <v>780</v>
      </c>
      <c r="N217" t="s">
        <v>26</v>
      </c>
      <c r="O217" s="16">
        <f>M217*D38</f>
        <v>2.34</v>
      </c>
      <c r="S217" s="42"/>
    </row>
    <row r="218" spans="6:19" x14ac:dyDescent="0.25">
      <c r="G218" s="19"/>
      <c r="L218" t="s">
        <v>231</v>
      </c>
      <c r="M218" s="146">
        <v>1</v>
      </c>
      <c r="N218" t="s">
        <v>150</v>
      </c>
      <c r="O218" s="15">
        <v>1.43</v>
      </c>
      <c r="S218" s="42"/>
    </row>
    <row r="219" spans="6:19" x14ac:dyDescent="0.25">
      <c r="G219" s="19"/>
      <c r="K219" t="s">
        <v>215</v>
      </c>
      <c r="L219" t="s">
        <v>216</v>
      </c>
      <c r="M219" s="146"/>
      <c r="O219" s="15"/>
      <c r="P219" s="47">
        <f>SUM(O214:O218)</f>
        <v>13.627580583333332</v>
      </c>
      <c r="S219" s="42"/>
    </row>
    <row r="220" spans="6:19" x14ac:dyDescent="0.25">
      <c r="G220" s="19"/>
      <c r="L220" t="s">
        <v>172</v>
      </c>
      <c r="M220" s="146"/>
      <c r="O220" s="15"/>
      <c r="S220" s="42"/>
    </row>
    <row r="221" spans="6:19" x14ac:dyDescent="0.25">
      <c r="G221" s="19"/>
      <c r="L221" t="s">
        <v>207</v>
      </c>
      <c r="O221" s="15"/>
      <c r="S221" s="42"/>
    </row>
    <row r="222" spans="6:19" x14ac:dyDescent="0.25">
      <c r="G222" s="19"/>
      <c r="S222" s="42"/>
    </row>
    <row r="223" spans="6:19" x14ac:dyDescent="0.25">
      <c r="G223" s="19"/>
      <c r="S223" s="118">
        <f>S196</f>
        <v>0.16666666666666666</v>
      </c>
    </row>
    <row r="224" spans="6:19" x14ac:dyDescent="0.25">
      <c r="G224" s="19"/>
      <c r="S224" s="42"/>
    </row>
    <row r="225" spans="6:19" x14ac:dyDescent="0.25">
      <c r="G225" s="19"/>
      <c r="S225" s="42"/>
    </row>
    <row r="226" spans="6:19" x14ac:dyDescent="0.25">
      <c r="G226" s="19"/>
      <c r="S226" s="42"/>
    </row>
    <row r="227" spans="6:19" x14ac:dyDescent="0.25">
      <c r="G227" s="19"/>
      <c r="K227" s="95" t="s">
        <v>465</v>
      </c>
      <c r="L227" t="s">
        <v>236</v>
      </c>
      <c r="S227" s="42"/>
    </row>
    <row r="228" spans="6:19" x14ac:dyDescent="0.25">
      <c r="G228" s="19"/>
      <c r="L228" s="6" t="s">
        <v>170</v>
      </c>
      <c r="M228" s="145" t="s">
        <v>169</v>
      </c>
      <c r="N228" s="6" t="s">
        <v>180</v>
      </c>
      <c r="O228" s="6" t="s">
        <v>181</v>
      </c>
      <c r="S228" s="42" t="s">
        <v>562</v>
      </c>
    </row>
    <row r="229" spans="6:19" x14ac:dyDescent="0.25">
      <c r="F229" s="179" t="s">
        <v>237</v>
      </c>
      <c r="G229" s="179"/>
      <c r="H229" s="179"/>
      <c r="J229" s="180" t="s">
        <v>238</v>
      </c>
      <c r="K229" s="180"/>
      <c r="L229" s="180"/>
      <c r="M229" s="180"/>
      <c r="S229" s="42"/>
    </row>
    <row r="230" spans="6:19" x14ac:dyDescent="0.25">
      <c r="F230" s="179"/>
      <c r="G230" s="179"/>
      <c r="H230" s="179"/>
      <c r="J230" s="21"/>
      <c r="K230" s="21" t="s">
        <v>239</v>
      </c>
      <c r="L230" s="21" t="s">
        <v>240</v>
      </c>
      <c r="M230" s="43">
        <v>150</v>
      </c>
      <c r="N230" t="s">
        <v>26</v>
      </c>
      <c r="O230" s="30">
        <f>M230*D31</f>
        <v>1.2</v>
      </c>
      <c r="S230" s="42"/>
    </row>
    <row r="231" spans="6:19" x14ac:dyDescent="0.25">
      <c r="F231" s="179"/>
      <c r="G231" s="179"/>
      <c r="H231" s="179"/>
      <c r="J231" s="21"/>
      <c r="K231" s="21" t="s">
        <v>241</v>
      </c>
      <c r="L231" t="s">
        <v>190</v>
      </c>
      <c r="M231" s="43">
        <f>E41*30/60/60</f>
        <v>0.30833333333333335</v>
      </c>
      <c r="N231" t="s">
        <v>22</v>
      </c>
      <c r="O231" s="2">
        <f>M231*G5</f>
        <v>2.2385000000000002E-2</v>
      </c>
      <c r="S231" s="42"/>
    </row>
    <row r="232" spans="6:19" x14ac:dyDescent="0.25">
      <c r="F232" s="179"/>
      <c r="G232" s="179"/>
      <c r="H232" s="179"/>
      <c r="J232" s="21"/>
      <c r="K232" s="21" t="s">
        <v>241</v>
      </c>
      <c r="L232" s="21" t="s">
        <v>222</v>
      </c>
      <c r="M232" s="43">
        <f>E48*12</f>
        <v>30</v>
      </c>
      <c r="N232" t="s">
        <v>22</v>
      </c>
      <c r="O232" s="2">
        <f>M232*G5</f>
        <v>2.1779999999999999</v>
      </c>
      <c r="S232" s="42"/>
    </row>
    <row r="233" spans="6:19" x14ac:dyDescent="0.25">
      <c r="F233" s="179"/>
      <c r="G233" s="179"/>
      <c r="H233" s="179"/>
      <c r="J233" s="21"/>
      <c r="K233" s="21" t="s">
        <v>242</v>
      </c>
      <c r="L233" s="21"/>
      <c r="M233" s="43"/>
      <c r="O233" s="2"/>
      <c r="S233" s="42"/>
    </row>
    <row r="234" spans="6:19" x14ac:dyDescent="0.25">
      <c r="F234" s="179"/>
      <c r="G234" s="179"/>
      <c r="H234" s="179"/>
      <c r="J234" s="21"/>
      <c r="K234" s="21"/>
      <c r="L234" s="21"/>
      <c r="M234" s="43"/>
      <c r="O234" s="2"/>
      <c r="S234" s="42"/>
    </row>
    <row r="235" spans="6:19" x14ac:dyDescent="0.25">
      <c r="F235" s="179"/>
      <c r="G235" s="179"/>
      <c r="H235" s="179"/>
      <c r="K235" t="s">
        <v>19</v>
      </c>
      <c r="L235" t="s">
        <v>243</v>
      </c>
      <c r="M235" s="146">
        <v>111.6</v>
      </c>
      <c r="N235" t="s">
        <v>26</v>
      </c>
      <c r="O235" s="2">
        <f>M235*D22</f>
        <v>9.5641199999999996E-2</v>
      </c>
      <c r="S235" s="42"/>
    </row>
    <row r="236" spans="6:19" x14ac:dyDescent="0.25">
      <c r="F236" s="179"/>
      <c r="G236" s="179"/>
      <c r="H236" s="179"/>
      <c r="L236" t="s">
        <v>244</v>
      </c>
      <c r="M236" s="146">
        <v>125.4</v>
      </c>
      <c r="N236" t="s">
        <v>26</v>
      </c>
      <c r="O236" s="2">
        <f>M236*D21</f>
        <v>6.8970000000000004E-2</v>
      </c>
      <c r="S236" s="42"/>
    </row>
    <row r="237" spans="6:19" x14ac:dyDescent="0.25">
      <c r="G237" s="19"/>
      <c r="L237" t="s">
        <v>222</v>
      </c>
      <c r="M237" s="146">
        <f>X93</f>
        <v>0</v>
      </c>
      <c r="O237" s="5">
        <f>M237*G5</f>
        <v>0</v>
      </c>
      <c r="S237" s="42"/>
    </row>
    <row r="238" spans="6:19" x14ac:dyDescent="0.25">
      <c r="G238" s="19"/>
      <c r="K238" t="s">
        <v>245</v>
      </c>
      <c r="L238" t="s">
        <v>151</v>
      </c>
      <c r="M238" s="146">
        <f>7.5/1000</f>
        <v>7.4999999999999997E-3</v>
      </c>
      <c r="N238" t="s">
        <v>121</v>
      </c>
      <c r="O238" s="2">
        <f>M238*D39</f>
        <v>0.22499999999999998</v>
      </c>
      <c r="S238" s="42"/>
    </row>
    <row r="239" spans="6:19" x14ac:dyDescent="0.25">
      <c r="F239" t="s">
        <v>246</v>
      </c>
      <c r="G239" s="19" t="s">
        <v>247</v>
      </c>
      <c r="L239" s="26" t="s">
        <v>248</v>
      </c>
      <c r="M239" s="148">
        <f>J3*N27*N3</f>
        <v>3346.2000000000003</v>
      </c>
      <c r="N239" t="s">
        <v>26</v>
      </c>
      <c r="O239" s="30">
        <f>M239*D27</f>
        <v>5.2066872000000011</v>
      </c>
      <c r="S239" s="42"/>
    </row>
    <row r="240" spans="6:19" x14ac:dyDescent="0.25">
      <c r="F240" t="s">
        <v>249</v>
      </c>
      <c r="G240" s="34">
        <v>5.83</v>
      </c>
      <c r="J240" s="19">
        <v>30</v>
      </c>
      <c r="L240" t="s">
        <v>190</v>
      </c>
      <c r="M240" s="146">
        <f>E41*J240/60/60</f>
        <v>0.30833333333333335</v>
      </c>
      <c r="O240" s="2">
        <f>M240*G5</f>
        <v>2.2385000000000002E-2</v>
      </c>
      <c r="S240" s="42"/>
    </row>
    <row r="241" spans="6:19" x14ac:dyDescent="0.25">
      <c r="G241" s="19"/>
      <c r="J241" s="19">
        <v>120</v>
      </c>
      <c r="L241" t="s">
        <v>250</v>
      </c>
      <c r="M241" s="146">
        <f>E49*J241</f>
        <v>2.4</v>
      </c>
      <c r="N241" t="s">
        <v>22</v>
      </c>
      <c r="O241" s="40">
        <f>M241*G5</f>
        <v>0.17423999999999998</v>
      </c>
      <c r="S241" s="42"/>
    </row>
    <row r="242" spans="6:19" x14ac:dyDescent="0.25">
      <c r="G242" s="19"/>
      <c r="P242" s="46">
        <f>SUM(O230:O241)</f>
        <v>9.1933084000000012</v>
      </c>
      <c r="S242" s="42"/>
    </row>
    <row r="243" spans="6:19" x14ac:dyDescent="0.25">
      <c r="F243" s="21" t="s">
        <v>240</v>
      </c>
      <c r="G243" s="19"/>
      <c r="S243" s="42"/>
    </row>
    <row r="244" spans="6:19" x14ac:dyDescent="0.25">
      <c r="G244" s="19"/>
      <c r="S244" s="42"/>
    </row>
    <row r="245" spans="6:19" x14ac:dyDescent="0.25">
      <c r="G245" s="19"/>
      <c r="S245" s="42"/>
    </row>
    <row r="246" spans="6:19" x14ac:dyDescent="0.25">
      <c r="G246" s="19"/>
      <c r="S246" s="42"/>
    </row>
    <row r="247" spans="6:19" x14ac:dyDescent="0.25">
      <c r="G247" s="19"/>
      <c r="L247" t="s">
        <v>462</v>
      </c>
      <c r="S247" s="42"/>
    </row>
    <row r="248" spans="6:19" x14ac:dyDescent="0.25">
      <c r="G248" s="19"/>
      <c r="L248" s="6" t="s">
        <v>170</v>
      </c>
      <c r="M248" s="145" t="s">
        <v>169</v>
      </c>
      <c r="N248" s="6" t="s">
        <v>180</v>
      </c>
      <c r="O248" s="6" t="s">
        <v>181</v>
      </c>
      <c r="S248" s="42" t="s">
        <v>562</v>
      </c>
    </row>
    <row r="249" spans="6:19" x14ac:dyDescent="0.25">
      <c r="G249" s="19"/>
      <c r="J249" s="180" t="s">
        <v>251</v>
      </c>
      <c r="K249" s="180"/>
      <c r="L249" s="180"/>
      <c r="M249" s="180"/>
      <c r="S249" s="42"/>
    </row>
    <row r="250" spans="6:19" x14ac:dyDescent="0.25">
      <c r="G250" s="19"/>
      <c r="K250" t="s">
        <v>19</v>
      </c>
      <c r="L250" t="s">
        <v>189</v>
      </c>
      <c r="M250" s="147">
        <f>J3*N11*N3</f>
        <v>4312.62</v>
      </c>
      <c r="N250" t="s">
        <v>26</v>
      </c>
      <c r="O250" s="2">
        <f>M250*D11</f>
        <v>4.3126199999999999</v>
      </c>
    </row>
    <row r="251" spans="6:19" x14ac:dyDescent="0.25">
      <c r="G251" s="19"/>
      <c r="J251" s="19">
        <v>5</v>
      </c>
      <c r="L251" t="s">
        <v>150</v>
      </c>
      <c r="M251" s="147">
        <v>1</v>
      </c>
      <c r="N251" t="s">
        <v>180</v>
      </c>
      <c r="O251" s="2">
        <f>M251*D58</f>
        <v>0.04</v>
      </c>
      <c r="S251" s="42">
        <f>J251/S110</f>
        <v>8.3333333333333329E-2</v>
      </c>
    </row>
    <row r="252" spans="6:19" x14ac:dyDescent="0.25">
      <c r="G252" s="19"/>
      <c r="K252" t="s">
        <v>242</v>
      </c>
      <c r="L252" t="s">
        <v>252</v>
      </c>
      <c r="S252" s="42"/>
    </row>
    <row r="253" spans="6:19" x14ac:dyDescent="0.25">
      <c r="G253" s="19"/>
      <c r="L253" t="s">
        <v>172</v>
      </c>
      <c r="S253" s="42"/>
    </row>
    <row r="254" spans="6:19" x14ac:dyDescent="0.25">
      <c r="G254" s="19"/>
      <c r="S254" s="42"/>
    </row>
    <row r="255" spans="6:19" x14ac:dyDescent="0.25">
      <c r="F255" t="s">
        <v>253</v>
      </c>
      <c r="G255" s="19" t="s">
        <v>254</v>
      </c>
      <c r="J255" s="181" t="s">
        <v>255</v>
      </c>
      <c r="K255" s="181"/>
      <c r="L255" s="181"/>
      <c r="M255" s="181"/>
      <c r="S255" s="42"/>
    </row>
    <row r="256" spans="6:19" x14ac:dyDescent="0.25">
      <c r="G256" s="19">
        <f>0.00087*M256</f>
        <v>2.6780949000000001</v>
      </c>
      <c r="K256" t="s">
        <v>213</v>
      </c>
      <c r="L256" t="s">
        <v>55</v>
      </c>
      <c r="M256" s="147">
        <f>J3*N13*N3</f>
        <v>3078.27</v>
      </c>
      <c r="N256" t="s">
        <v>26</v>
      </c>
      <c r="O256" s="30">
        <f>M256*D13</f>
        <v>2.73042549</v>
      </c>
      <c r="S256" s="42"/>
    </row>
    <row r="257" spans="6:19" x14ac:dyDescent="0.25">
      <c r="F257" t="s">
        <v>256</v>
      </c>
      <c r="G257" s="34">
        <v>2.92</v>
      </c>
      <c r="J257" s="19">
        <v>0.1</v>
      </c>
      <c r="L257" t="s">
        <v>432</v>
      </c>
      <c r="M257" s="147">
        <f>(J3*N12*N3)*J257</f>
        <v>368.35500000000002</v>
      </c>
      <c r="N257" t="s">
        <v>26</v>
      </c>
      <c r="O257" s="2">
        <f>M257*D12</f>
        <v>0.40519050000000006</v>
      </c>
      <c r="S257" s="42"/>
    </row>
    <row r="258" spans="6:19" x14ac:dyDescent="0.25">
      <c r="G258" s="34"/>
      <c r="K258" t="s">
        <v>215</v>
      </c>
      <c r="L258" t="s">
        <v>207</v>
      </c>
      <c r="M258" s="147"/>
      <c r="O258" s="2"/>
      <c r="P258" s="46">
        <f>O256+O257+O250</f>
        <v>7.4482359900000006</v>
      </c>
      <c r="S258" s="42"/>
    </row>
    <row r="259" spans="6:19" x14ac:dyDescent="0.25">
      <c r="G259" s="19"/>
      <c r="J259" s="182" t="s">
        <v>260</v>
      </c>
      <c r="K259" s="182"/>
      <c r="L259" s="182"/>
      <c r="S259" s="42"/>
    </row>
    <row r="260" spans="6:19" x14ac:dyDescent="0.25">
      <c r="G260" s="19"/>
      <c r="J260" s="19">
        <v>10</v>
      </c>
      <c r="K260" t="s">
        <v>434</v>
      </c>
      <c r="L260" t="s">
        <v>433</v>
      </c>
      <c r="M260" s="19">
        <f>E53*J260/60</f>
        <v>2.9166666666666667E-2</v>
      </c>
      <c r="N260" t="s">
        <v>22</v>
      </c>
      <c r="O260" s="2">
        <f>M260*G5</f>
        <v>2.1175E-3</v>
      </c>
      <c r="S260" s="42">
        <f>J260/S110</f>
        <v>0.16666666666666666</v>
      </c>
    </row>
    <row r="261" spans="6:19" x14ac:dyDescent="0.25">
      <c r="G261" s="19"/>
      <c r="K261" t="s">
        <v>186</v>
      </c>
      <c r="L261" t="s">
        <v>435</v>
      </c>
      <c r="S261" s="42"/>
    </row>
    <row r="262" spans="6:19" x14ac:dyDescent="0.25">
      <c r="G262" s="19"/>
      <c r="S262" s="118">
        <f>SUM(S249:S261)</f>
        <v>0.25</v>
      </c>
    </row>
    <row r="263" spans="6:19" x14ac:dyDescent="0.25">
      <c r="G263" s="19"/>
      <c r="L263" t="s">
        <v>463</v>
      </c>
      <c r="S263" s="42"/>
    </row>
    <row r="264" spans="6:19" x14ac:dyDescent="0.25">
      <c r="G264" s="19"/>
      <c r="L264" s="6" t="s">
        <v>170</v>
      </c>
      <c r="M264" s="145" t="s">
        <v>169</v>
      </c>
      <c r="N264" s="6" t="s">
        <v>180</v>
      </c>
      <c r="O264" s="6" t="s">
        <v>181</v>
      </c>
      <c r="S264" s="42" t="s">
        <v>562</v>
      </c>
    </row>
    <row r="265" spans="6:19" x14ac:dyDescent="0.25">
      <c r="G265" s="19"/>
      <c r="J265" s="180" t="s">
        <v>257</v>
      </c>
      <c r="K265" s="180"/>
      <c r="L265" s="180"/>
      <c r="M265" s="180"/>
      <c r="S265" s="42"/>
    </row>
    <row r="266" spans="6:19" x14ac:dyDescent="0.25">
      <c r="G266" s="19"/>
      <c r="K266" t="s">
        <v>258</v>
      </c>
      <c r="L266" t="s">
        <v>48</v>
      </c>
      <c r="M266" s="146">
        <f>J3*N12*N3</f>
        <v>3683.5499999999997</v>
      </c>
      <c r="N266" t="s">
        <v>26</v>
      </c>
      <c r="O266" s="2">
        <f>M266*D12</f>
        <v>4.0519049999999996</v>
      </c>
      <c r="S266" s="42">
        <f>J267/S110</f>
        <v>8.3333333333333329E-2</v>
      </c>
    </row>
    <row r="267" spans="6:19" x14ac:dyDescent="0.25">
      <c r="G267" s="19"/>
      <c r="J267" s="19">
        <v>5</v>
      </c>
      <c r="L267" t="s">
        <v>204</v>
      </c>
      <c r="M267" s="146">
        <v>1</v>
      </c>
      <c r="N267" t="s">
        <v>150</v>
      </c>
      <c r="O267" s="5">
        <f>D58</f>
        <v>0.04</v>
      </c>
      <c r="S267" s="42"/>
    </row>
    <row r="268" spans="6:19" x14ac:dyDescent="0.25">
      <c r="G268" s="19"/>
      <c r="L268" t="s">
        <v>259</v>
      </c>
      <c r="M268" s="146">
        <f>J3*N15*N3</f>
        <v>4091.1</v>
      </c>
      <c r="N268" t="s">
        <v>26</v>
      </c>
      <c r="O268" s="30">
        <f>M268*D15</f>
        <v>5.6252624999999998</v>
      </c>
      <c r="S268" s="42"/>
    </row>
    <row r="269" spans="6:19" x14ac:dyDescent="0.25">
      <c r="G269" s="19"/>
      <c r="K269" t="s">
        <v>186</v>
      </c>
      <c r="L269" t="s">
        <v>216</v>
      </c>
      <c r="M269" s="146"/>
      <c r="S269" s="42"/>
    </row>
    <row r="270" spans="6:19" x14ac:dyDescent="0.25">
      <c r="G270" s="19"/>
      <c r="L270" t="s">
        <v>191</v>
      </c>
      <c r="M270" s="146"/>
      <c r="S270" s="42"/>
    </row>
    <row r="271" spans="6:19" x14ac:dyDescent="0.25">
      <c r="G271" s="19"/>
      <c r="L271" t="s">
        <v>207</v>
      </c>
      <c r="M271" s="146"/>
      <c r="P271" s="2">
        <f>SUM(O266:O268)</f>
        <v>9.7171674999999986</v>
      </c>
      <c r="S271" s="42"/>
    </row>
    <row r="272" spans="6:19" x14ac:dyDescent="0.25">
      <c r="G272" s="19"/>
      <c r="J272" s="182" t="s">
        <v>260</v>
      </c>
      <c r="K272" s="182"/>
      <c r="L272" s="182"/>
      <c r="M272" s="146"/>
      <c r="P272" s="2"/>
      <c r="S272" s="42"/>
    </row>
    <row r="273" spans="6:19" x14ac:dyDescent="0.25">
      <c r="F273" t="s">
        <v>28</v>
      </c>
      <c r="G273" s="19" t="s">
        <v>261</v>
      </c>
      <c r="K273" t="s">
        <v>19</v>
      </c>
      <c r="L273" t="s">
        <v>48</v>
      </c>
      <c r="M273" s="146">
        <f>J3*N12*N3</f>
        <v>3683.5499999999997</v>
      </c>
      <c r="S273" s="42"/>
    </row>
    <row r="274" spans="6:19" x14ac:dyDescent="0.25">
      <c r="G274" s="19">
        <f>0.0011*M279</f>
        <v>3.3655049999999997</v>
      </c>
      <c r="J274" s="19">
        <v>5</v>
      </c>
      <c r="L274" t="s">
        <v>438</v>
      </c>
      <c r="M274" s="146">
        <f>E54*J274/60</f>
        <v>3.3333333333333333E-2</v>
      </c>
      <c r="N274" t="s">
        <v>22</v>
      </c>
      <c r="O274" s="2">
        <f>M274*G5</f>
        <v>2.4199999999999998E-3</v>
      </c>
      <c r="S274" s="42">
        <f>J274/S110</f>
        <v>8.3333333333333329E-2</v>
      </c>
    </row>
    <row r="275" spans="6:19" x14ac:dyDescent="0.25">
      <c r="F275" t="s">
        <v>262</v>
      </c>
      <c r="G275" s="34">
        <v>3.7</v>
      </c>
      <c r="L275" t="s">
        <v>48</v>
      </c>
      <c r="M275" s="146">
        <f>J3*N12*N3</f>
        <v>3683.5499999999997</v>
      </c>
      <c r="N275" t="s">
        <v>26</v>
      </c>
      <c r="O275" s="2">
        <f>M275*D12</f>
        <v>4.0519049999999996</v>
      </c>
      <c r="S275" s="42"/>
    </row>
    <row r="276" spans="6:19" x14ac:dyDescent="0.25">
      <c r="G276" s="19"/>
      <c r="L276" t="s">
        <v>263</v>
      </c>
      <c r="M276" s="146">
        <f>J3*N11*N3</f>
        <v>4312.62</v>
      </c>
      <c r="N276" t="s">
        <v>26</v>
      </c>
      <c r="O276" s="2">
        <f>M276*D11</f>
        <v>4.3126199999999999</v>
      </c>
      <c r="S276" s="42"/>
    </row>
    <row r="277" spans="6:19" x14ac:dyDescent="0.25">
      <c r="G277" s="19"/>
      <c r="L277" t="s">
        <v>264</v>
      </c>
      <c r="M277" s="146">
        <f>J3*N32*N3</f>
        <v>3900</v>
      </c>
      <c r="N277" t="s">
        <v>26</v>
      </c>
      <c r="O277" s="5">
        <f>M277*D32</f>
        <v>3.0393008947511633E-3</v>
      </c>
      <c r="S277" s="42"/>
    </row>
    <row r="278" spans="6:19" x14ac:dyDescent="0.25">
      <c r="G278" s="19"/>
      <c r="L278" t="s">
        <v>55</v>
      </c>
      <c r="M278" s="146">
        <f>J3*N13*N3</f>
        <v>3078.27</v>
      </c>
      <c r="N278" s="18" t="s">
        <v>26</v>
      </c>
      <c r="O278" s="2">
        <f>M278*D13</f>
        <v>2.73042549</v>
      </c>
      <c r="S278" s="42"/>
    </row>
    <row r="279" spans="6:19" x14ac:dyDescent="0.25">
      <c r="G279" s="19"/>
      <c r="L279" t="s">
        <v>28</v>
      </c>
      <c r="M279" s="146">
        <f>J3*N8*N3</f>
        <v>3059.5499999999997</v>
      </c>
      <c r="N279" t="s">
        <v>26</v>
      </c>
      <c r="O279" s="30">
        <f>M279*D8</f>
        <v>3.3655049999999997</v>
      </c>
      <c r="S279" s="42"/>
    </row>
    <row r="280" spans="6:19" x14ac:dyDescent="0.25">
      <c r="G280" s="19"/>
      <c r="J280" s="19">
        <v>30</v>
      </c>
      <c r="L280" t="s">
        <v>265</v>
      </c>
      <c r="M280" s="146">
        <f>E53*J280/60</f>
        <v>8.7499999999999994E-2</v>
      </c>
      <c r="N280" t="s">
        <v>22</v>
      </c>
      <c r="O280" s="2">
        <f>M280*G5</f>
        <v>6.3524999999999996E-3</v>
      </c>
      <c r="S280" s="42">
        <f>J280/S110</f>
        <v>0.5</v>
      </c>
    </row>
    <row r="281" spans="6:19" x14ac:dyDescent="0.25">
      <c r="G281" s="19"/>
      <c r="K281" t="s">
        <v>186</v>
      </c>
      <c r="L281" t="s">
        <v>266</v>
      </c>
      <c r="O281" s="2"/>
      <c r="P281" s="2">
        <f>SUM(O274:O280)</f>
        <v>14.472267290894751</v>
      </c>
      <c r="S281" s="42"/>
    </row>
    <row r="282" spans="6:19" x14ac:dyDescent="0.25">
      <c r="G282" s="19"/>
      <c r="L282" t="s">
        <v>267</v>
      </c>
      <c r="O282" s="2"/>
      <c r="Q282" s="2">
        <f>P271+P281</f>
        <v>24.189434790894751</v>
      </c>
      <c r="S282" s="42"/>
    </row>
    <row r="283" spans="6:19" x14ac:dyDescent="0.25">
      <c r="G283" s="19"/>
      <c r="L283" t="s">
        <v>268</v>
      </c>
      <c r="S283" s="118">
        <f>SUM(S265:S282)</f>
        <v>0.66666666666666663</v>
      </c>
    </row>
    <row r="284" spans="6:19" x14ac:dyDescent="0.25">
      <c r="G284" s="19"/>
      <c r="S284" s="42"/>
    </row>
    <row r="285" spans="6:19" x14ac:dyDescent="0.25">
      <c r="G285" s="19"/>
      <c r="L285" t="s">
        <v>489</v>
      </c>
      <c r="S285" s="42"/>
    </row>
    <row r="286" spans="6:19" x14ac:dyDescent="0.25">
      <c r="G286" s="19"/>
      <c r="L286" s="6" t="s">
        <v>170</v>
      </c>
      <c r="M286" s="145" t="s">
        <v>169</v>
      </c>
      <c r="N286" s="6" t="s">
        <v>180</v>
      </c>
      <c r="O286" s="6" t="s">
        <v>181</v>
      </c>
      <c r="S286" s="42" t="s">
        <v>562</v>
      </c>
    </row>
    <row r="287" spans="6:19" x14ac:dyDescent="0.25">
      <c r="G287" s="19"/>
      <c r="J287" s="119" t="s">
        <v>182</v>
      </c>
      <c r="K287" s="7"/>
      <c r="L287" s="7"/>
      <c r="S287" s="42">
        <f>J288/S110</f>
        <v>0.16666666666666666</v>
      </c>
    </row>
    <row r="288" spans="6:19" x14ac:dyDescent="0.25">
      <c r="G288" s="19"/>
      <c r="J288" s="19">
        <v>10</v>
      </c>
      <c r="K288" t="s">
        <v>213</v>
      </c>
      <c r="L288" t="s">
        <v>269</v>
      </c>
      <c r="M288" s="146">
        <v>1</v>
      </c>
      <c r="N288" t="s">
        <v>121</v>
      </c>
      <c r="O288" s="2">
        <f>M288*D9</f>
        <v>0.49</v>
      </c>
      <c r="S288" s="42"/>
    </row>
    <row r="289" spans="7:19" x14ac:dyDescent="0.25">
      <c r="G289" s="19"/>
      <c r="K289" t="s">
        <v>215</v>
      </c>
      <c r="L289" t="s">
        <v>252</v>
      </c>
      <c r="M289" s="146"/>
      <c r="S289" s="42"/>
    </row>
    <row r="290" spans="7:19" x14ac:dyDescent="0.25">
      <c r="G290" s="19"/>
      <c r="J290" s="119" t="s">
        <v>270</v>
      </c>
      <c r="K290" s="7"/>
      <c r="L290" s="7"/>
      <c r="M290" s="146"/>
      <c r="S290" s="42"/>
    </row>
    <row r="291" spans="7:19" x14ac:dyDescent="0.25">
      <c r="G291" s="19"/>
      <c r="K291" t="s">
        <v>213</v>
      </c>
      <c r="L291" t="s">
        <v>189</v>
      </c>
      <c r="M291" s="146">
        <f>J3*N11*N3</f>
        <v>4312.62</v>
      </c>
      <c r="N291" t="s">
        <v>26</v>
      </c>
      <c r="O291" s="2">
        <f>M291*D11</f>
        <v>4.3126199999999999</v>
      </c>
      <c r="S291" s="42"/>
    </row>
    <row r="292" spans="7:19" x14ac:dyDescent="0.25">
      <c r="G292" s="19"/>
      <c r="K292" t="s">
        <v>186</v>
      </c>
      <c r="L292" t="s">
        <v>191</v>
      </c>
      <c r="M292" s="146"/>
      <c r="S292" s="42"/>
    </row>
    <row r="293" spans="7:19" x14ac:dyDescent="0.25">
      <c r="G293" s="19"/>
      <c r="J293" s="119" t="s">
        <v>255</v>
      </c>
      <c r="K293" s="7"/>
      <c r="L293" s="7"/>
      <c r="M293" s="146"/>
      <c r="S293" s="42"/>
    </row>
    <row r="294" spans="7:19" x14ac:dyDescent="0.25">
      <c r="G294" s="19"/>
      <c r="J294" s="19">
        <v>30</v>
      </c>
      <c r="K294" t="s">
        <v>213</v>
      </c>
      <c r="L294" t="s">
        <v>271</v>
      </c>
      <c r="M294" s="146">
        <f>E51*J294/60</f>
        <v>5.4</v>
      </c>
      <c r="N294" t="s">
        <v>22</v>
      </c>
      <c r="O294" s="2">
        <f>M294*G5</f>
        <v>0.39204</v>
      </c>
      <c r="S294" s="42">
        <f>J294/S110</f>
        <v>0.5</v>
      </c>
    </row>
    <row r="295" spans="7:19" x14ac:dyDescent="0.25">
      <c r="G295" s="19"/>
      <c r="P295" s="2">
        <f>SUM(O288:O294)</f>
        <v>5.1946599999999998</v>
      </c>
      <c r="S295" s="42"/>
    </row>
    <row r="296" spans="7:19" x14ac:dyDescent="0.25">
      <c r="G296" s="19"/>
      <c r="S296" s="42"/>
    </row>
    <row r="297" spans="7:19" x14ac:dyDescent="0.25">
      <c r="G297" s="19"/>
      <c r="S297" s="118">
        <f>SUM(S287:S296)</f>
        <v>0.66666666666666663</v>
      </c>
    </row>
    <row r="298" spans="7:19" x14ac:dyDescent="0.25">
      <c r="G298" s="19"/>
      <c r="I298" s="92" t="s">
        <v>440</v>
      </c>
      <c r="J298" s="141"/>
      <c r="K298" s="92"/>
      <c r="L298" t="s">
        <v>439</v>
      </c>
      <c r="S298" s="42"/>
    </row>
    <row r="299" spans="7:19" x14ac:dyDescent="0.25">
      <c r="G299" s="19"/>
      <c r="L299" s="45" t="s">
        <v>170</v>
      </c>
      <c r="M299" s="143" t="s">
        <v>169</v>
      </c>
      <c r="N299" s="45" t="s">
        <v>180</v>
      </c>
      <c r="O299" s="45" t="s">
        <v>181</v>
      </c>
      <c r="S299" s="42" t="s">
        <v>562</v>
      </c>
    </row>
    <row r="300" spans="7:19" x14ac:dyDescent="0.25">
      <c r="G300" s="19"/>
      <c r="J300" s="119" t="s">
        <v>255</v>
      </c>
      <c r="K300" s="7"/>
      <c r="L300" s="7"/>
      <c r="S300" s="42"/>
    </row>
    <row r="301" spans="7:19" x14ac:dyDescent="0.25">
      <c r="G301" s="19"/>
      <c r="J301" s="19">
        <v>3</v>
      </c>
      <c r="K301" t="s">
        <v>19</v>
      </c>
      <c r="L301" t="s">
        <v>568</v>
      </c>
      <c r="M301" s="19">
        <f>(J3*N12*N3)</f>
        <v>3683.5499999999997</v>
      </c>
      <c r="N301" t="s">
        <v>26</v>
      </c>
      <c r="O301" s="2">
        <f>M301*D12</f>
        <v>4.0519049999999996</v>
      </c>
      <c r="S301" s="42"/>
    </row>
    <row r="302" spans="7:19" x14ac:dyDescent="0.25">
      <c r="G302" s="19"/>
      <c r="J302" s="19">
        <v>20</v>
      </c>
      <c r="L302" t="s">
        <v>272</v>
      </c>
      <c r="M302" s="146">
        <f>E52/60*J302</f>
        <v>0.33333333333333331</v>
      </c>
      <c r="N302" t="s">
        <v>22</v>
      </c>
      <c r="O302" s="2">
        <f>M302*G5</f>
        <v>2.4199999999999999E-2</v>
      </c>
      <c r="S302" s="42">
        <f>J302/S110</f>
        <v>0.33333333333333331</v>
      </c>
    </row>
    <row r="303" spans="7:19" x14ac:dyDescent="0.25">
      <c r="G303" s="19"/>
      <c r="J303" s="19">
        <v>5</v>
      </c>
      <c r="L303" t="s">
        <v>208</v>
      </c>
      <c r="M303" s="146">
        <v>1</v>
      </c>
      <c r="N303" t="s">
        <v>180</v>
      </c>
      <c r="O303" s="2">
        <f>D58*M303</f>
        <v>0.04</v>
      </c>
      <c r="S303" s="42">
        <f>J303/S110</f>
        <v>8.3333333333333329E-2</v>
      </c>
    </row>
    <row r="304" spans="7:19" x14ac:dyDescent="0.25">
      <c r="G304" s="19"/>
      <c r="J304" s="19">
        <v>4</v>
      </c>
      <c r="L304" t="s">
        <v>569</v>
      </c>
      <c r="M304" s="146">
        <f>(J3*N32*N3)</f>
        <v>3900</v>
      </c>
      <c r="N304" t="s">
        <v>26</v>
      </c>
      <c r="O304" s="2">
        <f>G32/1000*M304</f>
        <v>1.1505000000000001E-2</v>
      </c>
      <c r="S304" s="42"/>
    </row>
    <row r="305" spans="7:19" x14ac:dyDescent="0.25">
      <c r="G305" s="19"/>
      <c r="I305" t="s">
        <v>441</v>
      </c>
      <c r="J305" s="19">
        <v>3.7999999999999999E-2</v>
      </c>
      <c r="L305" t="s">
        <v>273</v>
      </c>
      <c r="M305" s="146">
        <f>J3*J305*Q18</f>
        <v>18.956410200000001</v>
      </c>
      <c r="N305" t="s">
        <v>26</v>
      </c>
      <c r="O305" s="5">
        <f>M305*D18</f>
        <v>5.307794856000001</v>
      </c>
      <c r="S305" s="42"/>
    </row>
    <row r="306" spans="7:19" x14ac:dyDescent="0.25">
      <c r="G306" s="19"/>
      <c r="J306" s="19">
        <v>20</v>
      </c>
      <c r="L306" t="s">
        <v>442</v>
      </c>
      <c r="M306" s="146">
        <f>E52/60*J306</f>
        <v>0.33333333333333331</v>
      </c>
      <c r="N306" t="s">
        <v>22</v>
      </c>
      <c r="O306" s="2">
        <f>M306*G5</f>
        <v>2.4199999999999999E-2</v>
      </c>
      <c r="S306" s="42">
        <f>J306/S110</f>
        <v>0.33333333333333331</v>
      </c>
    </row>
    <row r="307" spans="7:19" x14ac:dyDescent="0.25">
      <c r="G307" s="19"/>
      <c r="L307" t="s">
        <v>274</v>
      </c>
      <c r="M307" s="146">
        <f>J3*N32*N3</f>
        <v>3900</v>
      </c>
      <c r="N307" t="s">
        <v>26</v>
      </c>
      <c r="O307" s="2">
        <f>G32/1000*10</f>
        <v>2.9500000000000002E-5</v>
      </c>
      <c r="S307" s="42"/>
    </row>
    <row r="308" spans="7:19" x14ac:dyDescent="0.25">
      <c r="G308" s="19"/>
      <c r="J308" s="19">
        <v>8</v>
      </c>
      <c r="L308" t="s">
        <v>508</v>
      </c>
      <c r="M308" s="146">
        <f>E48*J308</f>
        <v>20</v>
      </c>
      <c r="N308" t="s">
        <v>22</v>
      </c>
      <c r="O308" s="2">
        <f>M308*G5</f>
        <v>1.452</v>
      </c>
      <c r="S308" s="42">
        <f>J308</f>
        <v>8</v>
      </c>
    </row>
    <row r="309" spans="7:19" x14ac:dyDescent="0.25">
      <c r="H309" s="42"/>
      <c r="S309" s="42"/>
    </row>
    <row r="310" spans="7:19" x14ac:dyDescent="0.25">
      <c r="H310" s="42"/>
      <c r="S310" s="42"/>
    </row>
    <row r="311" spans="7:19" x14ac:dyDescent="0.25">
      <c r="G311" s="19"/>
      <c r="P311" s="35">
        <f>SUM(O301:O311)</f>
        <v>10.911634356000002</v>
      </c>
      <c r="S311" s="118">
        <f>SUM(S300:S310)</f>
        <v>8.75</v>
      </c>
    </row>
    <row r="312" spans="7:19" x14ac:dyDescent="0.25">
      <c r="G312" s="19"/>
      <c r="S312" s="42"/>
    </row>
    <row r="313" spans="7:19" x14ac:dyDescent="0.25">
      <c r="G313" s="19"/>
      <c r="S313" s="42"/>
    </row>
    <row r="314" spans="7:19" x14ac:dyDescent="0.25">
      <c r="G314" s="19"/>
      <c r="S314" s="42"/>
    </row>
    <row r="315" spans="7:19" x14ac:dyDescent="0.25">
      <c r="G315" s="19"/>
      <c r="L315" t="s">
        <v>464</v>
      </c>
      <c r="S315" s="42"/>
    </row>
    <row r="316" spans="7:19" x14ac:dyDescent="0.25">
      <c r="G316" s="19"/>
      <c r="L316" s="6" t="s">
        <v>170</v>
      </c>
      <c r="M316" s="145" t="s">
        <v>169</v>
      </c>
      <c r="N316" s="6" t="s">
        <v>180</v>
      </c>
      <c r="O316" s="6" t="s">
        <v>181</v>
      </c>
      <c r="S316" s="42" t="s">
        <v>562</v>
      </c>
    </row>
    <row r="317" spans="7:19" x14ac:dyDescent="0.25">
      <c r="G317" s="19"/>
      <c r="J317" s="185" t="s">
        <v>275</v>
      </c>
      <c r="K317" s="185"/>
      <c r="L317" s="185"/>
      <c r="M317" s="185"/>
      <c r="S317" s="42"/>
    </row>
    <row r="318" spans="7:19" x14ac:dyDescent="0.25">
      <c r="G318" s="19"/>
      <c r="K318" t="s">
        <v>213</v>
      </c>
      <c r="L318" t="s">
        <v>48</v>
      </c>
      <c r="M318" s="146">
        <f>J3*N12*N3</f>
        <v>3683.5499999999997</v>
      </c>
      <c r="N318" t="s">
        <v>26</v>
      </c>
      <c r="O318" s="2">
        <f>M318*D12</f>
        <v>4.0519049999999996</v>
      </c>
      <c r="S318" s="42">
        <f>J319/S110</f>
        <v>8.3333333333333329E-2</v>
      </c>
    </row>
    <row r="319" spans="7:19" x14ac:dyDescent="0.25">
      <c r="G319" s="19"/>
      <c r="J319" s="19">
        <v>5</v>
      </c>
      <c r="L319" t="s">
        <v>231</v>
      </c>
      <c r="M319" s="146">
        <v>1</v>
      </c>
      <c r="N319" t="s">
        <v>16</v>
      </c>
      <c r="O319" s="2">
        <f>D58*M319</f>
        <v>0.04</v>
      </c>
      <c r="S319" s="42"/>
    </row>
    <row r="320" spans="7:19" x14ac:dyDescent="0.25">
      <c r="G320" s="19"/>
      <c r="K320" t="s">
        <v>397</v>
      </c>
      <c r="L320" t="s">
        <v>187</v>
      </c>
      <c r="M320" s="146"/>
      <c r="O320" s="2"/>
      <c r="S320" s="42"/>
    </row>
    <row r="321" spans="6:19" x14ac:dyDescent="0.25">
      <c r="G321" s="19"/>
      <c r="H321">
        <f>0.01*1</f>
        <v>0.01</v>
      </c>
      <c r="J321" s="19">
        <v>20</v>
      </c>
      <c r="L321" t="s">
        <v>443</v>
      </c>
      <c r="M321" s="146">
        <f>E54*J321</f>
        <v>8</v>
      </c>
      <c r="N321" t="s">
        <v>22</v>
      </c>
      <c r="O321" s="2">
        <f>M321*G5</f>
        <v>0.58079999999999998</v>
      </c>
      <c r="S321" s="42">
        <f>J321/S110</f>
        <v>0.33333333333333331</v>
      </c>
    </row>
    <row r="322" spans="6:19" x14ac:dyDescent="0.25">
      <c r="G322" s="19"/>
      <c r="L322" t="s">
        <v>48</v>
      </c>
      <c r="M322" s="146">
        <f>J3*N12*N3</f>
        <v>3683.5499999999997</v>
      </c>
      <c r="N322" t="s">
        <v>26</v>
      </c>
      <c r="O322" s="2">
        <f>M322*D12</f>
        <v>4.0519049999999996</v>
      </c>
      <c r="S322" s="42"/>
    </row>
    <row r="323" spans="6:19" x14ac:dyDescent="0.25">
      <c r="G323" s="19"/>
      <c r="L323" t="s">
        <v>264</v>
      </c>
      <c r="M323" s="146">
        <f>J3*N32*N3</f>
        <v>3900</v>
      </c>
      <c r="O323" s="2">
        <f>M323*D32</f>
        <v>3.0393008947511633E-3</v>
      </c>
      <c r="P323" s="2"/>
      <c r="S323" s="42"/>
    </row>
    <row r="324" spans="6:19" x14ac:dyDescent="0.25">
      <c r="G324" s="19"/>
      <c r="L324" t="s">
        <v>175</v>
      </c>
      <c r="M324" s="146">
        <f>J3*N13*N3</f>
        <v>3078.27</v>
      </c>
      <c r="N324" t="s">
        <v>26</v>
      </c>
      <c r="O324" s="2">
        <f>M324*D13</f>
        <v>2.73042549</v>
      </c>
      <c r="S324" s="42"/>
    </row>
    <row r="325" spans="6:19" x14ac:dyDescent="0.25">
      <c r="G325" s="19"/>
      <c r="K325">
        <v>30</v>
      </c>
      <c r="L325" t="s">
        <v>190</v>
      </c>
      <c r="M325" s="146">
        <f>E41*K325/60/60</f>
        <v>0.30833333333333335</v>
      </c>
      <c r="N325" t="s">
        <v>22</v>
      </c>
      <c r="O325" s="2">
        <f>M325*G5</f>
        <v>2.2385000000000002E-2</v>
      </c>
      <c r="S325" s="42"/>
    </row>
    <row r="326" spans="6:19" x14ac:dyDescent="0.25">
      <c r="G326" s="19"/>
      <c r="K326" t="s">
        <v>215</v>
      </c>
      <c r="L326" t="s">
        <v>171</v>
      </c>
      <c r="S326" s="42"/>
    </row>
    <row r="327" spans="6:19" x14ac:dyDescent="0.25">
      <c r="G327" s="19"/>
      <c r="L327" t="s">
        <v>276</v>
      </c>
      <c r="S327" s="42"/>
    </row>
    <row r="328" spans="6:19" x14ac:dyDescent="0.25">
      <c r="G328" s="19"/>
      <c r="L328" t="s">
        <v>155</v>
      </c>
      <c r="S328" s="42"/>
    </row>
    <row r="329" spans="6:19" x14ac:dyDescent="0.25">
      <c r="G329" s="19"/>
      <c r="L329" t="s">
        <v>173</v>
      </c>
      <c r="P329" s="93">
        <f>SUM(O318:O325)</f>
        <v>11.48045979089475</v>
      </c>
      <c r="S329" s="117">
        <f>SUM(S317:S328)</f>
        <v>0.41666666666666663</v>
      </c>
    </row>
    <row r="330" spans="6:19" x14ac:dyDescent="0.25">
      <c r="G330" s="19"/>
      <c r="S330" s="42"/>
    </row>
    <row r="331" spans="6:19" x14ac:dyDescent="0.25">
      <c r="G331" s="19"/>
      <c r="S331" s="42"/>
    </row>
    <row r="332" spans="6:19" x14ac:dyDescent="0.25">
      <c r="G332" s="19"/>
      <c r="S332" s="42"/>
    </row>
    <row r="333" spans="6:19" x14ac:dyDescent="0.25">
      <c r="G333" s="19"/>
      <c r="S333" s="42"/>
    </row>
    <row r="334" spans="6:19" x14ac:dyDescent="0.25">
      <c r="G334" s="19"/>
      <c r="L334" s="26" t="s">
        <v>277</v>
      </c>
      <c r="M334" s="149" t="s">
        <v>444</v>
      </c>
      <c r="N334" s="26"/>
      <c r="O334" s="26"/>
      <c r="S334" s="42"/>
    </row>
    <row r="335" spans="6:19" x14ac:dyDescent="0.25">
      <c r="F335" t="s">
        <v>177</v>
      </c>
      <c r="G335" s="19" t="s">
        <v>278</v>
      </c>
      <c r="L335" s="6" t="s">
        <v>170</v>
      </c>
      <c r="M335" s="145" t="s">
        <v>169</v>
      </c>
      <c r="N335" s="6" t="s">
        <v>180</v>
      </c>
      <c r="O335" s="6" t="s">
        <v>181</v>
      </c>
      <c r="S335" s="42" t="s">
        <v>562</v>
      </c>
    </row>
    <row r="336" spans="6:19" x14ac:dyDescent="0.25">
      <c r="G336" s="19">
        <f>0.0019*M337</f>
        <v>5.4293070000000005</v>
      </c>
      <c r="J336" s="119" t="s">
        <v>445</v>
      </c>
      <c r="K336" s="7"/>
      <c r="L336" s="7"/>
      <c r="S336" s="42"/>
    </row>
    <row r="337" spans="7:19" x14ac:dyDescent="0.25">
      <c r="G337" s="19"/>
      <c r="J337" s="19" t="s">
        <v>171</v>
      </c>
      <c r="K337" t="s">
        <v>19</v>
      </c>
      <c r="L337" s="1" t="s">
        <v>279</v>
      </c>
      <c r="M337" s="147">
        <f>J3*N10*N3</f>
        <v>2857.53</v>
      </c>
      <c r="N337" t="s">
        <v>26</v>
      </c>
      <c r="O337" s="30">
        <f>M337*D10</f>
        <v>5.6293341000000003</v>
      </c>
      <c r="S337" s="42">
        <f>J338/S110</f>
        <v>8.3333333333333329E-2</v>
      </c>
    </row>
    <row r="338" spans="7:19" x14ac:dyDescent="0.25">
      <c r="G338" s="19"/>
      <c r="J338" s="19">
        <v>5</v>
      </c>
      <c r="L338" t="s">
        <v>446</v>
      </c>
      <c r="M338" s="147">
        <v>1</v>
      </c>
      <c r="N338" t="s">
        <v>180</v>
      </c>
      <c r="O338" s="30">
        <f>D58*M338</f>
        <v>0.04</v>
      </c>
      <c r="S338" s="42"/>
    </row>
    <row r="339" spans="7:19" x14ac:dyDescent="0.25">
      <c r="G339" s="19"/>
      <c r="K339" t="s">
        <v>186</v>
      </c>
      <c r="L339" t="s">
        <v>187</v>
      </c>
      <c r="M339" s="147"/>
      <c r="O339" s="30"/>
      <c r="S339" s="42"/>
    </row>
    <row r="340" spans="7:19" x14ac:dyDescent="0.25">
      <c r="G340" s="19"/>
      <c r="L340" t="s">
        <v>447</v>
      </c>
      <c r="M340" s="147"/>
      <c r="O340" s="30"/>
      <c r="S340" s="42"/>
    </row>
    <row r="341" spans="7:19" x14ac:dyDescent="0.25">
      <c r="G341" s="19"/>
      <c r="J341" s="19">
        <v>20</v>
      </c>
      <c r="K341" t="s">
        <v>19</v>
      </c>
      <c r="L341" t="s">
        <v>448</v>
      </c>
      <c r="M341" s="144">
        <f>E48*20/60</f>
        <v>0.83333333333333337</v>
      </c>
      <c r="N341" t="s">
        <v>22</v>
      </c>
      <c r="O341" s="2">
        <f>M341*G5</f>
        <v>6.0499999999999998E-2</v>
      </c>
      <c r="S341" s="42">
        <f>J341/S110</f>
        <v>0.33333333333333331</v>
      </c>
    </row>
    <row r="342" spans="7:19" x14ac:dyDescent="0.25">
      <c r="G342" s="19"/>
      <c r="L342" t="s">
        <v>449</v>
      </c>
      <c r="M342" s="19">
        <f>J3*N31*N3</f>
        <v>4056</v>
      </c>
      <c r="N342" t="s">
        <v>26</v>
      </c>
      <c r="O342" s="2">
        <f>M342*D30</f>
        <v>225.0112933605607</v>
      </c>
      <c r="P342" s="2"/>
      <c r="S342" s="42"/>
    </row>
    <row r="343" spans="7:19" x14ac:dyDescent="0.25">
      <c r="G343" s="19"/>
      <c r="J343" s="19">
        <v>5</v>
      </c>
      <c r="L343" t="s">
        <v>231</v>
      </c>
      <c r="M343" s="19">
        <v>1</v>
      </c>
      <c r="N343" t="s">
        <v>16</v>
      </c>
      <c r="O343" s="2">
        <f>M343*D58</f>
        <v>0.04</v>
      </c>
      <c r="P343" s="2"/>
      <c r="S343" s="42">
        <f>J343/S110</f>
        <v>8.3333333333333329E-2</v>
      </c>
    </row>
    <row r="344" spans="7:19" x14ac:dyDescent="0.25">
      <c r="G344" s="19"/>
      <c r="L344" t="s">
        <v>53</v>
      </c>
      <c r="M344" s="19">
        <f>J3*N13*N3</f>
        <v>3078.27</v>
      </c>
      <c r="N344" t="s">
        <v>26</v>
      </c>
      <c r="O344" s="2">
        <f>M344*D13</f>
        <v>2.73042549</v>
      </c>
      <c r="P344" s="2"/>
    </row>
    <row r="345" spans="7:19" x14ac:dyDescent="0.25">
      <c r="G345" s="19"/>
      <c r="J345" s="19">
        <v>0.5</v>
      </c>
      <c r="L345" t="s">
        <v>419</v>
      </c>
      <c r="M345" s="19">
        <f>J3*J345*Q18</f>
        <v>249.42644999999999</v>
      </c>
      <c r="O345" s="2">
        <f>M345*D18</f>
        <v>69.839405999999997</v>
      </c>
      <c r="S345" s="42"/>
    </row>
    <row r="346" spans="7:19" x14ac:dyDescent="0.25">
      <c r="G346" s="19"/>
      <c r="K346" s="183" t="s">
        <v>280</v>
      </c>
      <c r="L346" s="183"/>
      <c r="M346" s="183"/>
      <c r="P346" s="2">
        <f>SUM(O337:O345)</f>
        <v>303.35095895056065</v>
      </c>
      <c r="S346" s="42"/>
    </row>
    <row r="347" spans="7:19" x14ac:dyDescent="0.25">
      <c r="G347" s="19"/>
      <c r="K347" s="183"/>
      <c r="L347" s="183"/>
      <c r="M347" s="183"/>
      <c r="S347" s="117">
        <f>SUM(S336:S346)</f>
        <v>0.49999999999999994</v>
      </c>
    </row>
    <row r="348" spans="7:19" x14ac:dyDescent="0.25">
      <c r="G348" s="19"/>
      <c r="S348" s="42"/>
    </row>
    <row r="349" spans="7:19" x14ac:dyDescent="0.25">
      <c r="G349" s="19"/>
      <c r="S349" s="42"/>
    </row>
    <row r="350" spans="7:19" x14ac:dyDescent="0.25">
      <c r="G350" s="19"/>
      <c r="L350" s="24" t="s">
        <v>281</v>
      </c>
      <c r="S350" s="42"/>
    </row>
    <row r="351" spans="7:19" x14ac:dyDescent="0.25">
      <c r="G351" s="19"/>
      <c r="S351" s="42"/>
    </row>
    <row r="352" spans="7:19" x14ac:dyDescent="0.25">
      <c r="G352" s="19"/>
      <c r="L352" t="s">
        <v>282</v>
      </c>
      <c r="M352" s="19" t="s">
        <v>283</v>
      </c>
      <c r="O352" s="19" t="s">
        <v>349</v>
      </c>
      <c r="P352" s="19" t="s">
        <v>350</v>
      </c>
      <c r="Q352" s="19" t="s">
        <v>351</v>
      </c>
      <c r="S352" s="42"/>
    </row>
    <row r="353" spans="6:19" x14ac:dyDescent="0.25">
      <c r="G353" s="19"/>
      <c r="N353" t="s">
        <v>348</v>
      </c>
      <c r="O353" s="19" t="s">
        <v>352</v>
      </c>
      <c r="P353" s="19" t="s">
        <v>353</v>
      </c>
      <c r="Q353" s="19" t="s">
        <v>354</v>
      </c>
      <c r="S353" s="42"/>
    </row>
    <row r="354" spans="6:19" x14ac:dyDescent="0.25">
      <c r="G354" s="19"/>
      <c r="L354" t="s">
        <v>284</v>
      </c>
      <c r="M354" s="19" t="s">
        <v>23</v>
      </c>
      <c r="N354" s="10" t="s">
        <v>285</v>
      </c>
      <c r="S354" s="42"/>
    </row>
    <row r="355" spans="6:19" x14ac:dyDescent="0.25">
      <c r="G355" s="19"/>
      <c r="K355">
        <v>30</v>
      </c>
      <c r="L355" t="s">
        <v>286</v>
      </c>
      <c r="M355" s="19">
        <v>0.5</v>
      </c>
      <c r="S355" s="42">
        <f>K355/S110</f>
        <v>0.5</v>
      </c>
    </row>
    <row r="356" spans="6:19" x14ac:dyDescent="0.25">
      <c r="F356" t="s">
        <v>407</v>
      </c>
      <c r="G356" s="19"/>
      <c r="S356" s="42"/>
    </row>
    <row r="357" spans="6:19" x14ac:dyDescent="0.25">
      <c r="G357" s="19"/>
      <c r="L357" t="s">
        <v>287</v>
      </c>
      <c r="M357" s="150">
        <f>M355*G5</f>
        <v>3.6299999999999999E-2</v>
      </c>
      <c r="S357" s="42"/>
    </row>
    <row r="358" spans="6:19" x14ac:dyDescent="0.25">
      <c r="G358" s="19"/>
      <c r="S358" s="42"/>
    </row>
    <row r="359" spans="6:19" x14ac:dyDescent="0.25">
      <c r="G359" s="19"/>
      <c r="S359" s="117">
        <f>SUM(S352:S358)</f>
        <v>0.5</v>
      </c>
    </row>
    <row r="360" spans="6:19" x14ac:dyDescent="0.25">
      <c r="G360" s="19"/>
      <c r="S360" s="42"/>
    </row>
    <row r="361" spans="6:19" x14ac:dyDescent="0.25">
      <c r="S361" s="42"/>
    </row>
    <row r="362" spans="6:19" x14ac:dyDescent="0.25">
      <c r="L362" s="67" t="s">
        <v>347</v>
      </c>
      <c r="M362" s="19" t="s">
        <v>355</v>
      </c>
      <c r="S362" s="42"/>
    </row>
    <row r="363" spans="6:19" x14ac:dyDescent="0.25">
      <c r="K363" s="75" t="s">
        <v>19</v>
      </c>
      <c r="L363" s="6" t="s">
        <v>170</v>
      </c>
      <c r="M363" s="145" t="s">
        <v>169</v>
      </c>
      <c r="N363" s="6" t="s">
        <v>180</v>
      </c>
      <c r="O363" s="6" t="s">
        <v>181</v>
      </c>
      <c r="S363" s="42" t="s">
        <v>562</v>
      </c>
    </row>
    <row r="364" spans="6:19" x14ac:dyDescent="0.25">
      <c r="L364" t="s">
        <v>364</v>
      </c>
      <c r="M364" s="19">
        <v>2.2000000000000002</v>
      </c>
      <c r="N364" t="s">
        <v>22</v>
      </c>
      <c r="O364" s="2">
        <f>M364*G5</f>
        <v>0.15972</v>
      </c>
      <c r="S364" s="42"/>
    </row>
    <row r="365" spans="6:19" x14ac:dyDescent="0.25">
      <c r="L365" t="s">
        <v>264</v>
      </c>
      <c r="M365" s="144">
        <f>J3*N32*N3</f>
        <v>3900</v>
      </c>
      <c r="N365" t="s">
        <v>361</v>
      </c>
      <c r="O365" s="17">
        <f>D32*M365</f>
        <v>3.0393008947511633E-3</v>
      </c>
      <c r="S365" s="42"/>
    </row>
    <row r="366" spans="6:19" x14ac:dyDescent="0.25">
      <c r="K366">
        <v>62.5</v>
      </c>
      <c r="L366" t="s">
        <v>357</v>
      </c>
      <c r="M366" s="19">
        <f>E48*(K366/60)</f>
        <v>2.604166666666667</v>
      </c>
      <c r="N366" t="s">
        <v>22</v>
      </c>
      <c r="O366" s="5">
        <f>G5*M366</f>
        <v>0.18906250000000002</v>
      </c>
      <c r="S366" s="42">
        <f>K366/S110</f>
        <v>1.0416666666666667</v>
      </c>
    </row>
    <row r="367" spans="6:19" x14ac:dyDescent="0.25">
      <c r="K367">
        <v>5</v>
      </c>
      <c r="L367" t="s">
        <v>356</v>
      </c>
      <c r="M367" s="19">
        <v>1</v>
      </c>
      <c r="N367" t="s">
        <v>362</v>
      </c>
      <c r="O367" s="5">
        <f>D58*M367</f>
        <v>0.04</v>
      </c>
      <c r="S367" s="42">
        <f>K367/S110</f>
        <v>8.3333333333333329E-2</v>
      </c>
    </row>
    <row r="368" spans="6:19" x14ac:dyDescent="0.25">
      <c r="K368">
        <v>5</v>
      </c>
      <c r="L368" t="s">
        <v>363</v>
      </c>
      <c r="M368" s="151">
        <f>E44*(5/60)</f>
        <v>6.9444444444444436E-4</v>
      </c>
      <c r="N368" t="s">
        <v>22</v>
      </c>
      <c r="O368" s="48">
        <f>M368*G5</f>
        <v>5.0416666666666661E-5</v>
      </c>
      <c r="S368" s="42">
        <f>K368/S110</f>
        <v>8.3333333333333329E-2</v>
      </c>
    </row>
    <row r="369" spans="7:19" x14ac:dyDescent="0.25">
      <c r="S369" s="42"/>
    </row>
    <row r="370" spans="7:19" x14ac:dyDescent="0.25">
      <c r="K370" s="75" t="s">
        <v>186</v>
      </c>
      <c r="S370" s="42"/>
    </row>
    <row r="371" spans="7:19" x14ac:dyDescent="0.25">
      <c r="L371" t="s">
        <v>365</v>
      </c>
      <c r="S371" s="42"/>
    </row>
    <row r="372" spans="7:19" x14ac:dyDescent="0.25">
      <c r="O372" s="46">
        <f>SUM(O364:O368)</f>
        <v>0.39187221756141782</v>
      </c>
      <c r="S372" s="42"/>
    </row>
    <row r="373" spans="7:19" x14ac:dyDescent="0.25">
      <c r="S373" s="42">
        <f>SUM(S364:S372)</f>
        <v>1.2083333333333333</v>
      </c>
    </row>
    <row r="376" spans="7:19" x14ac:dyDescent="0.25">
      <c r="G376" s="19"/>
    </row>
    <row r="377" spans="7:19" x14ac:dyDescent="0.25">
      <c r="G377" s="19"/>
      <c r="L377" s="67" t="s">
        <v>366</v>
      </c>
      <c r="M377" s="152" t="s">
        <v>385</v>
      </c>
      <c r="O377" t="s">
        <v>372</v>
      </c>
    </row>
    <row r="378" spans="7:19" x14ac:dyDescent="0.25">
      <c r="G378" s="19"/>
      <c r="L378" s="6" t="s">
        <v>170</v>
      </c>
      <c r="M378" s="145" t="s">
        <v>169</v>
      </c>
      <c r="N378" s="6" t="s">
        <v>180</v>
      </c>
      <c r="O378" s="6" t="s">
        <v>181</v>
      </c>
      <c r="S378" t="s">
        <v>562</v>
      </c>
    </row>
    <row r="379" spans="7:19" x14ac:dyDescent="0.25">
      <c r="G379" s="19"/>
      <c r="J379" s="19">
        <v>10</v>
      </c>
      <c r="K379" t="s">
        <v>19</v>
      </c>
      <c r="L379" t="s">
        <v>367</v>
      </c>
      <c r="M379" s="19">
        <v>1</v>
      </c>
      <c r="N379" t="s">
        <v>121</v>
      </c>
      <c r="O379" s="165">
        <f>M379*D9</f>
        <v>0.49</v>
      </c>
      <c r="S379">
        <f>J379/S110</f>
        <v>0.16666666666666666</v>
      </c>
    </row>
    <row r="380" spans="7:19" x14ac:dyDescent="0.25">
      <c r="G380" s="19"/>
      <c r="K380" t="s">
        <v>215</v>
      </c>
      <c r="L380" t="s">
        <v>368</v>
      </c>
    </row>
    <row r="381" spans="7:19" x14ac:dyDescent="0.25">
      <c r="G381" s="19"/>
      <c r="K381" t="s">
        <v>19</v>
      </c>
      <c r="L381" t="s">
        <v>454</v>
      </c>
      <c r="M381" s="19">
        <f>J3*N16*N3</f>
        <v>3511.17</v>
      </c>
      <c r="N381" t="s">
        <v>26</v>
      </c>
      <c r="O381" s="40">
        <f>M381*D16</f>
        <v>5.5890804059999999</v>
      </c>
    </row>
    <row r="382" spans="7:19" x14ac:dyDescent="0.25">
      <c r="G382" s="19"/>
      <c r="K382" t="s">
        <v>215</v>
      </c>
      <c r="L382" t="s">
        <v>172</v>
      </c>
    </row>
    <row r="383" spans="7:19" x14ac:dyDescent="0.25">
      <c r="G383" s="19"/>
      <c r="J383" s="19">
        <v>30</v>
      </c>
      <c r="K383" t="s">
        <v>19</v>
      </c>
      <c r="L383" t="s">
        <v>382</v>
      </c>
      <c r="M383" s="153">
        <f>E41*J383/60/60</f>
        <v>0.30833333333333335</v>
      </c>
      <c r="N383" t="s">
        <v>22</v>
      </c>
      <c r="O383" s="2">
        <f>M383*G5</f>
        <v>2.2385000000000002E-2</v>
      </c>
      <c r="S383">
        <f>J383/S109</f>
        <v>8.3333333333333332E-3</v>
      </c>
    </row>
    <row r="384" spans="7:19" x14ac:dyDescent="0.25">
      <c r="G384" s="19"/>
      <c r="K384" t="s">
        <v>369</v>
      </c>
      <c r="L384" t="s">
        <v>176</v>
      </c>
      <c r="M384" s="19">
        <f>J3*N32*N3</f>
        <v>3900</v>
      </c>
      <c r="N384" t="s">
        <v>26</v>
      </c>
      <c r="O384" s="48">
        <f>M384*D32</f>
        <v>3.0393008947511633E-3</v>
      </c>
    </row>
    <row r="385" spans="7:19" x14ac:dyDescent="0.25">
      <c r="G385" s="19"/>
      <c r="J385" s="19">
        <v>30</v>
      </c>
      <c r="L385" t="s">
        <v>383</v>
      </c>
      <c r="M385" s="153">
        <f>E41*J385/60/60</f>
        <v>0.30833333333333335</v>
      </c>
      <c r="N385" t="s">
        <v>22</v>
      </c>
      <c r="P385" s="2">
        <f>M385*G5</f>
        <v>2.2385000000000002E-2</v>
      </c>
      <c r="S385">
        <f>J385/S109</f>
        <v>8.3333333333333332E-3</v>
      </c>
    </row>
    <row r="386" spans="7:19" x14ac:dyDescent="0.25">
      <c r="G386" s="19"/>
      <c r="J386" s="19">
        <v>30</v>
      </c>
      <c r="L386" t="s">
        <v>475</v>
      </c>
      <c r="M386" s="19">
        <f>E46*J386/60/60</f>
        <v>0.05</v>
      </c>
      <c r="N386" t="s">
        <v>22</v>
      </c>
      <c r="O386" s="25">
        <f>M386*G5</f>
        <v>3.63E-3</v>
      </c>
      <c r="S386">
        <f>J386/S109</f>
        <v>8.3333333333333332E-3</v>
      </c>
    </row>
    <row r="387" spans="7:19" x14ac:dyDescent="0.25">
      <c r="G387" s="19"/>
      <c r="L387" t="s">
        <v>370</v>
      </c>
      <c r="M387" s="19">
        <f>(J3*Q3)/S3</f>
        <v>390</v>
      </c>
      <c r="N387" t="s">
        <v>26</v>
      </c>
      <c r="O387" s="48">
        <f>M387*D35</f>
        <v>5.0309999999999994E-2</v>
      </c>
    </row>
    <row r="388" spans="7:19" x14ac:dyDescent="0.25">
      <c r="G388" s="19"/>
      <c r="J388" s="19">
        <v>5</v>
      </c>
      <c r="L388" t="s">
        <v>214</v>
      </c>
      <c r="M388" s="19">
        <v>1</v>
      </c>
      <c r="N388" t="s">
        <v>180</v>
      </c>
      <c r="O388" s="2">
        <f>M388*D58</f>
        <v>0.04</v>
      </c>
      <c r="S388">
        <f>J388/S110</f>
        <v>8.3333333333333329E-2</v>
      </c>
    </row>
    <row r="389" spans="7:19" x14ac:dyDescent="0.25">
      <c r="G389" s="19"/>
      <c r="L389" s="78" t="s">
        <v>264</v>
      </c>
      <c r="M389" s="19">
        <f>J3*N32*N3</f>
        <v>3900</v>
      </c>
      <c r="N389" t="s">
        <v>26</v>
      </c>
      <c r="O389" s="2">
        <f>M389*D32</f>
        <v>3.0393008947511633E-3</v>
      </c>
    </row>
    <row r="390" spans="7:19" x14ac:dyDescent="0.25">
      <c r="G390" s="19"/>
      <c r="L390" t="s">
        <v>371</v>
      </c>
      <c r="M390" s="19">
        <f>J3*N14*N3</f>
        <v>3112.2000000000003</v>
      </c>
      <c r="N390" t="s">
        <v>26</v>
      </c>
      <c r="O390" s="2">
        <f>M390*D14</f>
        <v>1.4716604013832058</v>
      </c>
    </row>
    <row r="391" spans="7:19" x14ac:dyDescent="0.25">
      <c r="G391" s="19"/>
      <c r="J391" s="19">
        <v>8</v>
      </c>
      <c r="L391" t="s">
        <v>570</v>
      </c>
      <c r="M391" s="19">
        <f>E44*J391</f>
        <v>6.6666666666666666E-2</v>
      </c>
      <c r="N391" t="s">
        <v>22</v>
      </c>
      <c r="O391" s="2">
        <f>M391*G5</f>
        <v>4.8399999999999997E-3</v>
      </c>
      <c r="S391">
        <f>J391</f>
        <v>8</v>
      </c>
    </row>
    <row r="392" spans="7:19" x14ac:dyDescent="0.25">
      <c r="G392" s="19"/>
      <c r="K392" t="s">
        <v>215</v>
      </c>
      <c r="L392" t="s">
        <v>207</v>
      </c>
    </row>
    <row r="393" spans="7:19" x14ac:dyDescent="0.25">
      <c r="G393" s="19"/>
      <c r="O393" s="77">
        <f>SUM(O379:O392)</f>
        <v>7.6779844091727076</v>
      </c>
    </row>
    <row r="394" spans="7:19" x14ac:dyDescent="0.25">
      <c r="G394" s="19"/>
      <c r="S394" s="79">
        <f>SUM(S379:S393)</f>
        <v>8.2750000000000004</v>
      </c>
    </row>
    <row r="395" spans="7:19" x14ac:dyDescent="0.25">
      <c r="G395" s="19"/>
    </row>
    <row r="396" spans="7:19" x14ac:dyDescent="0.25">
      <c r="G396" s="19"/>
      <c r="L396" s="67" t="s">
        <v>384</v>
      </c>
      <c r="M396" s="149" t="s">
        <v>405</v>
      </c>
      <c r="N396" s="26">
        <v>1</v>
      </c>
    </row>
    <row r="397" spans="7:19" x14ac:dyDescent="0.25">
      <c r="G397" s="19"/>
      <c r="L397" s="6" t="s">
        <v>170</v>
      </c>
      <c r="M397" s="145" t="s">
        <v>169</v>
      </c>
      <c r="N397" s="6" t="s">
        <v>180</v>
      </c>
      <c r="O397" s="6" t="s">
        <v>181</v>
      </c>
      <c r="S397" t="s">
        <v>562</v>
      </c>
    </row>
    <row r="398" spans="7:19" x14ac:dyDescent="0.25">
      <c r="G398" s="19"/>
      <c r="H398" s="8"/>
      <c r="J398" s="19">
        <v>30</v>
      </c>
      <c r="K398" t="s">
        <v>213</v>
      </c>
      <c r="L398" t="s">
        <v>476</v>
      </c>
      <c r="M398" s="19">
        <f>E46*J398/60/60</f>
        <v>0.05</v>
      </c>
      <c r="N398" t="s">
        <v>22</v>
      </c>
      <c r="O398" s="25">
        <f>M398*G5</f>
        <v>3.63E-3</v>
      </c>
      <c r="S398">
        <f>J398/S109</f>
        <v>8.3333333333333332E-3</v>
      </c>
    </row>
    <row r="399" spans="7:19" x14ac:dyDescent="0.25">
      <c r="G399" s="19"/>
      <c r="H399" s="8"/>
      <c r="J399" s="19">
        <v>0.9</v>
      </c>
      <c r="L399" s="79" t="s">
        <v>378</v>
      </c>
      <c r="M399" s="19">
        <f>(J3*N12*N3)*J399</f>
        <v>3315.1949999999997</v>
      </c>
      <c r="N399" t="s">
        <v>26</v>
      </c>
      <c r="O399" s="48">
        <f>M399*D12</f>
        <v>3.6467144999999999</v>
      </c>
    </row>
    <row r="400" spans="7:19" x14ac:dyDescent="0.25">
      <c r="G400" s="19"/>
      <c r="J400" s="19">
        <v>0.1</v>
      </c>
      <c r="L400" s="79" t="s">
        <v>379</v>
      </c>
      <c r="M400" s="153">
        <f>(J3*N12*N3)*J400</f>
        <v>368.35500000000002</v>
      </c>
      <c r="N400" t="s">
        <v>26</v>
      </c>
      <c r="O400" s="48">
        <f>M400*D24</f>
        <v>0.6832985250000001</v>
      </c>
    </row>
    <row r="401" spans="7:19" x14ac:dyDescent="0.25">
      <c r="G401" s="19"/>
      <c r="K401" t="s">
        <v>215</v>
      </c>
      <c r="L401" t="s">
        <v>374</v>
      </c>
    </row>
    <row r="402" spans="7:19" x14ac:dyDescent="0.25">
      <c r="G402" s="19"/>
      <c r="L402" t="s">
        <v>375</v>
      </c>
    </row>
    <row r="403" spans="7:19" x14ac:dyDescent="0.25">
      <c r="G403" s="19"/>
      <c r="J403" s="19">
        <v>5</v>
      </c>
      <c r="K403" t="s">
        <v>213</v>
      </c>
      <c r="L403" t="s">
        <v>376</v>
      </c>
      <c r="M403" s="19">
        <v>1</v>
      </c>
      <c r="N403" t="s">
        <v>180</v>
      </c>
      <c r="O403" s="2">
        <f>M403*D58</f>
        <v>0.04</v>
      </c>
      <c r="S403">
        <f>J403/S110</f>
        <v>8.3333333333333329E-2</v>
      </c>
    </row>
    <row r="404" spans="7:19" x14ac:dyDescent="0.25">
      <c r="G404" s="19"/>
      <c r="J404" s="19">
        <v>60</v>
      </c>
      <c r="L404" t="s">
        <v>380</v>
      </c>
      <c r="M404" s="19">
        <f>E48*(60/J404)</f>
        <v>2.5</v>
      </c>
      <c r="N404" t="s">
        <v>381</v>
      </c>
      <c r="O404" s="2">
        <f>M404*G5</f>
        <v>0.18149999999999999</v>
      </c>
      <c r="S404">
        <f>J404/S110</f>
        <v>1</v>
      </c>
    </row>
    <row r="405" spans="7:19" x14ac:dyDescent="0.25">
      <c r="G405" s="19"/>
      <c r="L405" s="8" t="s">
        <v>377</v>
      </c>
    </row>
    <row r="406" spans="7:19" x14ac:dyDescent="0.25">
      <c r="G406" s="19"/>
    </row>
    <row r="407" spans="7:19" x14ac:dyDescent="0.25">
      <c r="G407" s="19"/>
      <c r="O407" s="47">
        <f>SUM(O398:O405)</f>
        <v>4.5551430249999996</v>
      </c>
    </row>
    <row r="408" spans="7:19" x14ac:dyDescent="0.25">
      <c r="G408" s="19"/>
      <c r="S408" s="79">
        <f>SUM(S398:S407)</f>
        <v>1.0916666666666666</v>
      </c>
    </row>
    <row r="409" spans="7:19" x14ac:dyDescent="0.25">
      <c r="G409" s="19"/>
    </row>
    <row r="410" spans="7:19" x14ac:dyDescent="0.25">
      <c r="G410" s="19"/>
    </row>
    <row r="411" spans="7:19" x14ac:dyDescent="0.25">
      <c r="G411" s="19"/>
      <c r="K411" s="88" t="s">
        <v>404</v>
      </c>
      <c r="L411" t="s">
        <v>394</v>
      </c>
      <c r="M411" s="19" t="s">
        <v>386</v>
      </c>
    </row>
    <row r="412" spans="7:19" x14ac:dyDescent="0.25">
      <c r="G412" s="19"/>
      <c r="L412" s="6" t="s">
        <v>170</v>
      </c>
      <c r="M412" s="145" t="s">
        <v>169</v>
      </c>
      <c r="N412" s="6" t="s">
        <v>180</v>
      </c>
      <c r="O412" s="6" t="s">
        <v>181</v>
      </c>
      <c r="S412" t="s">
        <v>562</v>
      </c>
    </row>
    <row r="413" spans="7:19" x14ac:dyDescent="0.25">
      <c r="G413" s="19"/>
      <c r="J413" s="19">
        <v>124</v>
      </c>
      <c r="K413" t="s">
        <v>258</v>
      </c>
      <c r="L413" t="s">
        <v>401</v>
      </c>
      <c r="M413" s="154">
        <f>E42*124/60/60</f>
        <v>1.1022222222222221E-2</v>
      </c>
      <c r="N413" t="s">
        <v>22</v>
      </c>
      <c r="O413" s="82">
        <f>(M413*G5)+0.1</f>
        <v>0.10080021333333333</v>
      </c>
      <c r="S413">
        <f>J413/S109</f>
        <v>3.4444444444444444E-2</v>
      </c>
    </row>
    <row r="414" spans="7:19" x14ac:dyDescent="0.25">
      <c r="G414" s="19"/>
      <c r="K414" t="s">
        <v>397</v>
      </c>
      <c r="L414" t="s">
        <v>396</v>
      </c>
      <c r="M414" s="154"/>
    </row>
    <row r="415" spans="7:19" x14ac:dyDescent="0.25">
      <c r="G415" s="19"/>
      <c r="J415" s="19">
        <v>486</v>
      </c>
      <c r="K415" t="s">
        <v>19</v>
      </c>
      <c r="L415" t="s">
        <v>571</v>
      </c>
      <c r="M415" s="19">
        <f>E43*486/60/60</f>
        <v>2.0249999999999999</v>
      </c>
      <c r="N415" t="s">
        <v>22</v>
      </c>
      <c r="O415" s="2">
        <f>M415*G5</f>
        <v>0.14701499999999998</v>
      </c>
      <c r="S415">
        <f>J415/S109</f>
        <v>0.13500000000000001</v>
      </c>
    </row>
    <row r="416" spans="7:19" x14ac:dyDescent="0.25">
      <c r="G416" s="19"/>
      <c r="K416" t="s">
        <v>397</v>
      </c>
      <c r="L416" t="s">
        <v>398</v>
      </c>
    </row>
    <row r="417" spans="7:19" x14ac:dyDescent="0.25">
      <c r="G417" s="19"/>
      <c r="L417" t="s">
        <v>399</v>
      </c>
    </row>
    <row r="418" spans="7:19" x14ac:dyDescent="0.25">
      <c r="G418" s="19"/>
      <c r="O418" s="81">
        <f>SUM(O413:O415)</f>
        <v>0.24781521333333331</v>
      </c>
    </row>
    <row r="419" spans="7:19" x14ac:dyDescent="0.25">
      <c r="G419" s="19"/>
    </row>
    <row r="420" spans="7:19" x14ac:dyDescent="0.25">
      <c r="G420" s="19"/>
      <c r="O420" s="5">
        <f>SUM(O413:O418)</f>
        <v>0.49563042666666662</v>
      </c>
      <c r="S420" s="79">
        <f>SUM(S413:S419)</f>
        <v>0.16944444444444445</v>
      </c>
    </row>
    <row r="425" spans="7:19" x14ac:dyDescent="0.25">
      <c r="K425" t="s">
        <v>740</v>
      </c>
      <c r="L425" t="s">
        <v>741</v>
      </c>
    </row>
    <row r="426" spans="7:19" x14ac:dyDescent="0.25">
      <c r="L426" t="s">
        <v>53</v>
      </c>
      <c r="M426" s="19">
        <f>J3*N13*N3</f>
        <v>3078.27</v>
      </c>
      <c r="N426" t="s">
        <v>26</v>
      </c>
      <c r="O426" s="2">
        <f>M426*D13</f>
        <v>2.73042549</v>
      </c>
    </row>
    <row r="435" ht="14.45" customHeight="1" x14ac:dyDescent="0.25"/>
    <row r="441" ht="17.25" customHeight="1" x14ac:dyDescent="0.25"/>
    <row r="451" spans="88:88" x14ac:dyDescent="0.25">
      <c r="CJ451" t="s">
        <v>134</v>
      </c>
    </row>
    <row r="499" spans="74:74" x14ac:dyDescent="0.25">
      <c r="BV499" s="19"/>
    </row>
    <row r="500" spans="74:74" x14ac:dyDescent="0.25">
      <c r="BV500" s="19"/>
    </row>
    <row r="501" spans="74:74" x14ac:dyDescent="0.25">
      <c r="BV501" s="19"/>
    </row>
    <row r="502" spans="74:74" x14ac:dyDescent="0.25">
      <c r="BV502" s="19"/>
    </row>
  </sheetData>
  <sortState xmlns:xlrd2="http://schemas.microsoft.com/office/spreadsheetml/2017/richdata2" ref="C8:C32">
    <sortCondition ref="C8:C32"/>
  </sortState>
  <mergeCells count="40">
    <mergeCell ref="Y111:Y113"/>
    <mergeCell ref="Y114:Y115"/>
    <mergeCell ref="Y116:Y119"/>
    <mergeCell ref="K76:L76"/>
    <mergeCell ref="K144:K152"/>
    <mergeCell ref="K153:K154"/>
    <mergeCell ref="K83:K85"/>
    <mergeCell ref="K90:K91"/>
    <mergeCell ref="K138:K140"/>
    <mergeCell ref="K141:K142"/>
    <mergeCell ref="K113:K114"/>
    <mergeCell ref="K117:K118"/>
    <mergeCell ref="K121:K129"/>
    <mergeCell ref="K130:K131"/>
    <mergeCell ref="K86:K88"/>
    <mergeCell ref="K97:K100"/>
    <mergeCell ref="K93:K96"/>
    <mergeCell ref="K346:M347"/>
    <mergeCell ref="J155:L155"/>
    <mergeCell ref="J187:M187"/>
    <mergeCell ref="J200:M200"/>
    <mergeCell ref="J213:M213"/>
    <mergeCell ref="J229:M229"/>
    <mergeCell ref="K165:K167"/>
    <mergeCell ref="K188:K192"/>
    <mergeCell ref="J259:L259"/>
    <mergeCell ref="J317:M317"/>
    <mergeCell ref="K193:K195"/>
    <mergeCell ref="J176:L176"/>
    <mergeCell ref="K156:K158"/>
    <mergeCell ref="F229:H236"/>
    <mergeCell ref="J249:M249"/>
    <mergeCell ref="J255:M255"/>
    <mergeCell ref="J265:M265"/>
    <mergeCell ref="J272:L272"/>
    <mergeCell ref="A5:A68"/>
    <mergeCell ref="B8:B32"/>
    <mergeCell ref="B60:B68"/>
    <mergeCell ref="B5:B6"/>
    <mergeCell ref="B41:B48"/>
  </mergeCells>
  <hyperlinks>
    <hyperlink ref="I9" r:id="rId1" xr:uid="{690EBECD-38AB-4975-A2EF-12D5AAB72898}"/>
    <hyperlink ref="I33" r:id="rId2" xr:uid="{B14A7AB3-38D7-4CE0-B329-730513D82ED7}"/>
    <hyperlink ref="P24" r:id="rId3" xr:uid="{FE6C922B-A7F5-4E92-AE38-75B9DC28A345}"/>
    <hyperlink ref="I52" r:id="rId4" location="/productDetail?id=68344&amp;title=Refrigerated%20Universal%20Centrifuge%20with%2024%20x%201.5/2%20ml%20Fixed%20Angle%20Rotor%20110V" xr:uid="{25BB851F-4B04-45F2-B920-221F59B1931B}"/>
    <hyperlink ref="I27" r:id="rId5" xr:uid="{65EAE052-6450-432B-B42C-62A9758F5503}"/>
    <hyperlink ref="I28" r:id="rId6" xr:uid="{DFEF7245-3C80-4BFD-9565-FC1AEF56C1EA}"/>
    <hyperlink ref="I41" r:id="rId7" location="/productDetail?id=75351&amp;title=215CFM%20Industrial%20Electric%20Rotary%20Screw%20Air%20Compressor%2050hp%20116PSI%20460V%2060HZ%203%20Phase" display="https://www.toolots.com/ar-50lg-460-airrun-ar-50lg-460-dh26rxlbn.html/ng-frontend/?gclid=Cj0KCQjwhsmaBhCvARIsAIbEbH5ZiWY6lxL5aBN85jQrruMrtOgmch27vQ3EMQ0usgJVeBhuSt_uq7saAgUyEALw_wcB/#/productDetail?id=75351&amp;title=215CFM%20Industrial%20Electric%20Rotary%20Screw%20Air%20Compressor%2050hp%20116PSI%20460V%2060HZ%203%20Phase" xr:uid="{701AAB82-5E57-47B7-9E3F-6BA8FE361931}"/>
    <hyperlink ref="D1" r:id="rId8" xr:uid="{E4B36799-CB38-43D4-8BFB-3F3CD3928E27}"/>
    <hyperlink ref="I48" r:id="rId9" xr:uid="{7A62A1B1-2EA0-427F-B515-4E3B5D4C0CAA}"/>
    <hyperlink ref="I51" r:id="rId10" xr:uid="{61BE0BC2-33D3-45E4-8976-09A61BC9DCDA}"/>
    <hyperlink ref="N354" r:id="rId11" xr:uid="{6E301F52-BEFF-4E63-9201-E4E3B349EB4F}"/>
    <hyperlink ref="I26" r:id="rId12" xr:uid="{CBF75F31-56CA-4F81-A77B-D24D21B4EA74}"/>
    <hyperlink ref="I57" r:id="rId13" xr:uid="{B6322B3F-4C3A-4ADC-8D75-E87B4D6B1C2C}"/>
    <hyperlink ref="I37" r:id="rId14" xr:uid="{B09835D6-A984-4633-89C5-C7B69F8633E9}"/>
    <hyperlink ref="I5" r:id="rId15" xr:uid="{4FD0DB6B-9E4A-4B60-9421-915EF459947C}"/>
    <hyperlink ref="I34" r:id="rId16" location=":~:text=U.S.%20Activated%20Carbon%20Import%20Price,8.4%25%20against%20the%20previous%20month" xr:uid="{F184224A-B07F-4BBB-8F6D-2702281983D6}"/>
    <hyperlink ref="I19" r:id="rId17" xr:uid="{A4996BE1-C18D-430F-B5ED-3935E53881DD}"/>
    <hyperlink ref="I62" r:id="rId18" xr:uid="{04C91991-8976-4515-BCBC-536926A6B1A2}"/>
    <hyperlink ref="I60" r:id="rId19" xr:uid="{AB5982E8-D61E-4D9F-8108-AB41DE1F21D4}"/>
    <hyperlink ref="I36" r:id="rId20" xr:uid="{6CC831EB-1835-4E0B-BEDE-1E7F36C490A0}"/>
    <hyperlink ref="I58" r:id="rId21" xr:uid="{0A042EDE-946C-430B-8F89-00348558293A}"/>
    <hyperlink ref="I16" r:id="rId22" xr:uid="{EDA5043E-A04F-470F-94D1-82FCC3EFBE82}"/>
  </hyperlinks>
  <pageMargins left="0.7" right="0.7" top="0.75" bottom="0.75" header="0.3" footer="0.3"/>
  <pageSetup orientation="portrait" horizontalDpi="300" verticalDpi="300" r:id="rId23"/>
  <drawing r:id="rId24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BFFF-9BE1-4947-AF22-E70AAD941242}">
  <dimension ref="B1:AI237"/>
  <sheetViews>
    <sheetView topLeftCell="B1" zoomScale="115" zoomScaleNormal="115" workbookViewId="0">
      <selection activeCell="AG17" sqref="AG17"/>
    </sheetView>
  </sheetViews>
  <sheetFormatPr defaultRowHeight="15" x14ac:dyDescent="0.25"/>
  <cols>
    <col min="6" max="6" width="9.5703125" bestFit="1" customWidth="1"/>
    <col min="7" max="7" width="10.42578125" bestFit="1" customWidth="1"/>
    <col min="9" max="9" width="11.140625" bestFit="1" customWidth="1"/>
    <col min="11" max="11" width="10.5703125" bestFit="1" customWidth="1"/>
    <col min="12" max="12" width="14.140625" bestFit="1" customWidth="1"/>
    <col min="13" max="14" width="11.5703125" bestFit="1" customWidth="1"/>
    <col min="16" max="16" width="15" bestFit="1" customWidth="1"/>
    <col min="18" max="18" width="12.140625" bestFit="1" customWidth="1"/>
    <col min="19" max="19" width="13.85546875" bestFit="1" customWidth="1"/>
    <col min="20" max="20" width="15.140625" bestFit="1" customWidth="1"/>
    <col min="25" max="25" width="15.42578125" bestFit="1" customWidth="1"/>
    <col min="26" max="26" width="15.5703125" bestFit="1" customWidth="1"/>
    <col min="27" max="27" width="13" bestFit="1" customWidth="1"/>
    <col min="28" max="29" width="15.140625" bestFit="1" customWidth="1"/>
    <col min="30" max="30" width="11.5703125" bestFit="1" customWidth="1"/>
    <col min="33" max="33" width="12.42578125" bestFit="1" customWidth="1"/>
  </cols>
  <sheetData>
    <row r="1" spans="2:35" ht="15.75" thickBot="1" x14ac:dyDescent="0.3">
      <c r="K1" s="195" t="s">
        <v>494</v>
      </c>
      <c r="L1" s="196"/>
      <c r="M1" s="197"/>
      <c r="N1" s="195" t="s">
        <v>216</v>
      </c>
      <c r="O1" s="197"/>
      <c r="P1" s="195" t="s">
        <v>495</v>
      </c>
      <c r="Q1" s="196"/>
      <c r="R1" s="196"/>
      <c r="S1" s="197"/>
      <c r="T1" s="85" t="s">
        <v>505</v>
      </c>
      <c r="Y1" t="s">
        <v>496</v>
      </c>
      <c r="AA1" t="s">
        <v>297</v>
      </c>
      <c r="AB1" t="s">
        <v>499</v>
      </c>
      <c r="AC1" s="8" t="s">
        <v>507</v>
      </c>
      <c r="AD1" t="s">
        <v>500</v>
      </c>
      <c r="AH1" t="s">
        <v>26</v>
      </c>
      <c r="AI1" t="s">
        <v>406</v>
      </c>
    </row>
    <row r="2" spans="2:35" ht="15.75" thickBot="1" x14ac:dyDescent="0.3">
      <c r="B2" s="83" t="s">
        <v>493</v>
      </c>
      <c r="C2" s="84" t="s">
        <v>497</v>
      </c>
      <c r="D2" s="84" t="s">
        <v>45</v>
      </c>
      <c r="E2" s="84" t="s">
        <v>48</v>
      </c>
      <c r="F2" s="84" t="s">
        <v>455</v>
      </c>
      <c r="G2" s="84" t="s">
        <v>509</v>
      </c>
      <c r="H2" s="98" t="s">
        <v>510</v>
      </c>
      <c r="K2" s="71" t="s">
        <v>501</v>
      </c>
      <c r="L2" s="97" t="s">
        <v>502</v>
      </c>
      <c r="M2" s="72" t="s">
        <v>477</v>
      </c>
      <c r="N2" s="71" t="s">
        <v>467</v>
      </c>
      <c r="O2" s="72" t="s">
        <v>468</v>
      </c>
      <c r="P2" s="71" t="s">
        <v>503</v>
      </c>
      <c r="Q2" s="97" t="s">
        <v>497</v>
      </c>
      <c r="R2" s="97" t="s">
        <v>498</v>
      </c>
      <c r="S2" s="72" t="s">
        <v>504</v>
      </c>
      <c r="T2" s="87" t="s">
        <v>483</v>
      </c>
      <c r="Y2" s="184" t="str">
        <f>'Inventory 1'!Y111</f>
        <v>Cover Glass</v>
      </c>
      <c r="Z2" t="str">
        <f>'Inventory 1'!Z111</f>
        <v>Hot Kife</v>
      </c>
      <c r="AA2" s="15">
        <f>'Inventory 1'!AA111</f>
        <v>0.10080021333333333</v>
      </c>
      <c r="AB2" s="15">
        <f>'Inventory 1'!AB111</f>
        <v>0</v>
      </c>
      <c r="AC2" s="15">
        <f>'Inventory 1'!AC111</f>
        <v>0</v>
      </c>
      <c r="AD2" s="15">
        <f>'Inventory 1'!AG111</f>
        <v>0.10080021333333333</v>
      </c>
      <c r="AG2" t="s">
        <v>534</v>
      </c>
      <c r="AH2" s="8">
        <v>750</v>
      </c>
      <c r="AI2">
        <v>1</v>
      </c>
    </row>
    <row r="3" spans="2:35" x14ac:dyDescent="0.25">
      <c r="B3">
        <v>1</v>
      </c>
      <c r="K3" s="15">
        <f>AC2</f>
        <v>0</v>
      </c>
      <c r="L3" s="15">
        <f>AC3</f>
        <v>0</v>
      </c>
      <c r="M3" s="15">
        <f>AC4</f>
        <v>0</v>
      </c>
      <c r="N3" s="15">
        <f>AC5</f>
        <v>0</v>
      </c>
      <c r="O3" s="15">
        <f>$AC$6</f>
        <v>4.3126199999999999</v>
      </c>
      <c r="P3" s="15">
        <f>$AC$7</f>
        <v>4.0579836017895019</v>
      </c>
      <c r="Q3" s="99">
        <f>$AC$8</f>
        <v>3.0393008947511633E-3</v>
      </c>
      <c r="R3" s="15">
        <f>$AC$9</f>
        <v>1.5280490031727081</v>
      </c>
      <c r="S3" s="15">
        <f>$AC$10</f>
        <v>9.3712343560000004</v>
      </c>
      <c r="T3" s="15">
        <f>$AC$11</f>
        <v>4.3126199999999999</v>
      </c>
      <c r="Y3" s="184"/>
      <c r="Z3" t="str">
        <f>'Inventory 1'!Z112</f>
        <v xml:space="preserve">Thermal Decomp </v>
      </c>
      <c r="AA3" s="15">
        <f>'Inventory 1'!AA112</f>
        <v>3.6299999999999999E-2</v>
      </c>
      <c r="AB3" s="15">
        <f>'Inventory 1'!AB112</f>
        <v>0</v>
      </c>
      <c r="AC3" s="15">
        <f>'Inventory 1'!AC112</f>
        <v>0</v>
      </c>
      <c r="AD3" s="15">
        <f>'Inventory 1'!AG112</f>
        <v>3.6299999999999999E-2</v>
      </c>
      <c r="AH3">
        <f>AH2*AI3</f>
        <v>2925</v>
      </c>
      <c r="AI3">
        <f>'Inventory 1'!J3</f>
        <v>3.9</v>
      </c>
    </row>
    <row r="4" spans="2:35" x14ac:dyDescent="0.25">
      <c r="B4">
        <v>2</v>
      </c>
      <c r="O4" s="15">
        <f t="shared" ref="O4:O67" si="0">$AC$6</f>
        <v>4.3126199999999999</v>
      </c>
      <c r="P4" s="15">
        <f t="shared" ref="P4:P67" si="1">$AC$7</f>
        <v>4.0579836017895019</v>
      </c>
      <c r="Q4" s="99">
        <f t="shared" ref="Q4:Q67" si="2">$AC$8</f>
        <v>3.0393008947511633E-3</v>
      </c>
      <c r="R4" s="15">
        <f t="shared" ref="R4:R67" si="3">$AC$9</f>
        <v>1.5280490031727081</v>
      </c>
      <c r="S4" s="15">
        <f t="shared" ref="S4:S67" si="4">$AC$10</f>
        <v>9.3712343560000004</v>
      </c>
      <c r="T4" s="15">
        <f t="shared" ref="T4:T67" si="5">$AC$11</f>
        <v>4.3126199999999999</v>
      </c>
      <c r="Y4" s="184"/>
      <c r="Z4" t="str">
        <f>'Inventory 1'!Z113</f>
        <v xml:space="preserve">Autoclaving </v>
      </c>
      <c r="AA4" s="15">
        <f>'Inventory 1'!AA113</f>
        <v>0.43559999999999999</v>
      </c>
      <c r="AB4" s="15">
        <f>'Inventory 1'!AB113</f>
        <v>0</v>
      </c>
      <c r="AC4" s="15">
        <f>'Inventory 1'!AC113</f>
        <v>0</v>
      </c>
      <c r="AD4" s="15">
        <f>'Inventory 1'!AG113</f>
        <v>0.43559999999999999</v>
      </c>
    </row>
    <row r="5" spans="2:35" x14ac:dyDescent="0.25">
      <c r="B5">
        <v>3</v>
      </c>
      <c r="O5" s="15">
        <f t="shared" si="0"/>
        <v>4.3126199999999999</v>
      </c>
      <c r="P5" s="15">
        <f t="shared" si="1"/>
        <v>4.0579836017895019</v>
      </c>
      <c r="Q5" s="99">
        <f t="shared" si="2"/>
        <v>3.0393008947511633E-3</v>
      </c>
      <c r="R5" s="15">
        <f t="shared" si="3"/>
        <v>1.5280490031727081</v>
      </c>
      <c r="S5" s="15">
        <f t="shared" si="4"/>
        <v>9.3712343560000004</v>
      </c>
      <c r="T5" s="15">
        <f t="shared" si="5"/>
        <v>4.3126199999999999</v>
      </c>
      <c r="Y5" s="184" t="str">
        <f>'Inventory 1'!Y114</f>
        <v>Back Contact</v>
      </c>
      <c r="Z5" t="str">
        <f>'Inventory 1'!Z114</f>
        <v xml:space="preserve">Physical </v>
      </c>
      <c r="AA5" s="15">
        <f>'Inventory 1'!AA114</f>
        <v>4.6809300119999998E-3</v>
      </c>
      <c r="AB5" s="15">
        <f>'Inventory 1'!AB114</f>
        <v>0.49</v>
      </c>
      <c r="AC5" s="15">
        <f>'Inventory 1'!AC114</f>
        <v>0</v>
      </c>
      <c r="AD5" s="15">
        <f>'Inventory 1'!AG114</f>
        <v>0.49468093001199998</v>
      </c>
    </row>
    <row r="6" spans="2:35" x14ac:dyDescent="0.25">
      <c r="B6">
        <v>4</v>
      </c>
      <c r="O6" s="15">
        <f t="shared" si="0"/>
        <v>4.3126199999999999</v>
      </c>
      <c r="P6" s="15">
        <f t="shared" si="1"/>
        <v>4.0579836017895019</v>
      </c>
      <c r="Q6" s="99">
        <f t="shared" si="2"/>
        <v>3.0393008947511633E-3</v>
      </c>
      <c r="R6" s="15">
        <f t="shared" si="3"/>
        <v>1.5280490031727081</v>
      </c>
      <c r="S6" s="15">
        <f t="shared" si="4"/>
        <v>9.3712343560000004</v>
      </c>
      <c r="T6" s="15">
        <f t="shared" si="5"/>
        <v>4.3126199999999999</v>
      </c>
      <c r="Y6" s="184"/>
      <c r="Z6" t="str">
        <f>'Inventory 1'!Z115</f>
        <v xml:space="preserve">Chemical </v>
      </c>
      <c r="AA6" s="15">
        <f>'Inventory 1'!AA115</f>
        <v>2.2385000000000002E-2</v>
      </c>
      <c r="AB6" s="15">
        <f>'Inventory 1'!AB115</f>
        <v>0.04</v>
      </c>
      <c r="AC6" s="15">
        <f>'Inventory 1'!AC115</f>
        <v>4.3126199999999999</v>
      </c>
      <c r="AD6" s="15">
        <f>'Inventory 1'!AG115</f>
        <v>4.3750049999999998</v>
      </c>
    </row>
    <row r="7" spans="2:35" x14ac:dyDescent="0.25">
      <c r="B7">
        <v>5</v>
      </c>
      <c r="O7" s="15">
        <f t="shared" si="0"/>
        <v>4.3126199999999999</v>
      </c>
      <c r="P7" s="15">
        <f t="shared" si="1"/>
        <v>4.0579836017895019</v>
      </c>
      <c r="Q7" s="99">
        <f t="shared" si="2"/>
        <v>3.0393008947511633E-3</v>
      </c>
      <c r="R7" s="15">
        <f t="shared" si="3"/>
        <v>1.5280490031727081</v>
      </c>
      <c r="S7" s="15">
        <f t="shared" si="4"/>
        <v>9.3712343560000004</v>
      </c>
      <c r="T7" s="15">
        <f t="shared" si="5"/>
        <v>4.3126199999999999</v>
      </c>
      <c r="Y7" s="184" t="str">
        <f>'Inventory 1'!Y116</f>
        <v xml:space="preserve">Absorber </v>
      </c>
      <c r="Z7" t="str">
        <f>'Inventory 1'!Z116</f>
        <v xml:space="preserve">Strong Chemical </v>
      </c>
      <c r="AA7" s="15">
        <f>'Inventory 1'!AA116</f>
        <v>0.3140958333333333</v>
      </c>
      <c r="AB7" s="15">
        <f>'Inventory 1'!AB116</f>
        <v>0.04</v>
      </c>
      <c r="AC7" s="15">
        <f>'Inventory 1'!AC116</f>
        <v>4.0579836017895019</v>
      </c>
      <c r="AD7" s="15">
        <f>'Inventory 1'!AG116</f>
        <v>4.412079435122835</v>
      </c>
    </row>
    <row r="8" spans="2:35" x14ac:dyDescent="0.25">
      <c r="B8">
        <v>6</v>
      </c>
      <c r="O8" s="15">
        <f t="shared" si="0"/>
        <v>4.3126199999999999</v>
      </c>
      <c r="P8" s="15">
        <f t="shared" si="1"/>
        <v>4.0579836017895019</v>
      </c>
      <c r="Q8" s="99">
        <f t="shared" si="2"/>
        <v>3.0393008947511633E-3</v>
      </c>
      <c r="R8" s="15">
        <f t="shared" si="3"/>
        <v>1.5280490031727081</v>
      </c>
      <c r="S8" s="15">
        <f t="shared" si="4"/>
        <v>9.3712343560000004</v>
      </c>
      <c r="T8" s="15">
        <f t="shared" si="5"/>
        <v>4.3126199999999999</v>
      </c>
      <c r="Y8" s="184"/>
      <c r="Z8" t="str">
        <f>'Inventory 1'!Z117</f>
        <v>H20</v>
      </c>
      <c r="AA8" s="15">
        <f>'Inventory 1'!AA117</f>
        <v>0.34883291666666666</v>
      </c>
      <c r="AB8" s="15">
        <f>'Inventory 1'!AB117</f>
        <v>0.04</v>
      </c>
      <c r="AC8" s="15">
        <f>'Inventory 1'!AC117</f>
        <v>3.0393008947511633E-3</v>
      </c>
      <c r="AD8" s="15">
        <f>'Inventory 1'!AG117</f>
        <v>0.39187221756141782</v>
      </c>
    </row>
    <row r="9" spans="2:35" x14ac:dyDescent="0.25">
      <c r="B9">
        <v>7</v>
      </c>
      <c r="O9" s="15">
        <f t="shared" si="0"/>
        <v>4.3126199999999999</v>
      </c>
      <c r="P9" s="15">
        <f t="shared" si="1"/>
        <v>4.0579836017895019</v>
      </c>
      <c r="Q9" s="99">
        <f t="shared" si="2"/>
        <v>3.0393008947511633E-3</v>
      </c>
      <c r="R9" s="15">
        <f t="shared" si="3"/>
        <v>1.5280490031727081</v>
      </c>
      <c r="S9" s="15">
        <f t="shared" si="4"/>
        <v>9.3712343560000004</v>
      </c>
      <c r="T9" s="15">
        <f t="shared" si="5"/>
        <v>4.3126199999999999</v>
      </c>
      <c r="Y9" s="184"/>
      <c r="Z9" t="str">
        <f>'Inventory 1'!Z118</f>
        <v xml:space="preserve">Ion Exange </v>
      </c>
      <c r="AA9" s="15">
        <f>'Inventory 1'!AA118</f>
        <v>5.3240000000000003E-2</v>
      </c>
      <c r="AB9" s="15">
        <f>'Inventory 1'!AB118</f>
        <v>0.04</v>
      </c>
      <c r="AC9" s="15">
        <f>'Inventory 1'!AC118</f>
        <v>1.5280490031727081</v>
      </c>
      <c r="AD9" s="15">
        <f>'Inventory 1'!AG118</f>
        <v>1.6212890031727081</v>
      </c>
    </row>
    <row r="10" spans="2:35" x14ac:dyDescent="0.25">
      <c r="B10">
        <v>8</v>
      </c>
      <c r="O10" s="15">
        <f t="shared" si="0"/>
        <v>4.3126199999999999</v>
      </c>
      <c r="P10" s="15">
        <f t="shared" si="1"/>
        <v>4.0579836017895019</v>
      </c>
      <c r="Q10" s="99">
        <f t="shared" si="2"/>
        <v>3.0393008947511633E-3</v>
      </c>
      <c r="R10" s="15">
        <f t="shared" si="3"/>
        <v>1.5280490031727081</v>
      </c>
      <c r="S10" s="15">
        <f t="shared" si="4"/>
        <v>9.3712343560000004</v>
      </c>
      <c r="T10" s="15">
        <f t="shared" si="5"/>
        <v>4.3126199999999999</v>
      </c>
      <c r="Y10" s="184"/>
      <c r="Z10" t="str">
        <f>'Inventory 1'!Z119</f>
        <v>Precipitate (HI)</v>
      </c>
      <c r="AA10" s="15">
        <f>'Inventory 1'!AA119</f>
        <v>1.5004</v>
      </c>
      <c r="AB10" s="15">
        <f>'Inventory 1'!AB119</f>
        <v>0.04</v>
      </c>
      <c r="AC10" s="15">
        <f>'Inventory 1'!AC119</f>
        <v>9.3712343560000004</v>
      </c>
      <c r="AD10" s="15">
        <f>'Inventory 1'!AG119</f>
        <v>10.911634356</v>
      </c>
      <c r="AI10" t="s">
        <v>134</v>
      </c>
    </row>
    <row r="11" spans="2:35" x14ac:dyDescent="0.25">
      <c r="B11">
        <v>9</v>
      </c>
      <c r="O11" s="15">
        <f t="shared" si="0"/>
        <v>4.3126199999999999</v>
      </c>
      <c r="P11" s="15">
        <f t="shared" si="1"/>
        <v>4.0579836017895019</v>
      </c>
      <c r="Q11" s="99">
        <f t="shared" si="2"/>
        <v>3.0393008947511633E-3</v>
      </c>
      <c r="R11" s="15">
        <f t="shared" si="3"/>
        <v>1.5280490031727081</v>
      </c>
      <c r="S11" s="15">
        <f t="shared" si="4"/>
        <v>9.3712343560000004</v>
      </c>
      <c r="T11" s="15">
        <f t="shared" si="5"/>
        <v>4.3126199999999999</v>
      </c>
      <c r="Y11" t="str">
        <f>'Inventory 1'!Y120</f>
        <v xml:space="preserve">ETL/Coated glass </v>
      </c>
      <c r="Z11" t="str">
        <f>'Inventory 1'!Z120</f>
        <v xml:space="preserve">Cleaning </v>
      </c>
      <c r="AA11" s="15">
        <f>'Inventory 1'!AA120</f>
        <v>2.4199999999999998E-3</v>
      </c>
      <c r="AB11" s="15">
        <f>'Inventory 1'!AB120</f>
        <v>0</v>
      </c>
      <c r="AC11" s="15">
        <f>'Inventory 1'!AC120</f>
        <v>4.3126199999999999</v>
      </c>
      <c r="AD11" s="15">
        <f>'Inventory 1'!AG120</f>
        <v>4.3150399999999998</v>
      </c>
    </row>
    <row r="12" spans="2:35" x14ac:dyDescent="0.25">
      <c r="B12">
        <v>10</v>
      </c>
      <c r="O12" s="15">
        <f t="shared" si="0"/>
        <v>4.3126199999999999</v>
      </c>
      <c r="P12" s="15">
        <f t="shared" si="1"/>
        <v>4.0579836017895019</v>
      </c>
      <c r="Q12" s="99">
        <f t="shared" si="2"/>
        <v>3.0393008947511633E-3</v>
      </c>
      <c r="R12" s="15">
        <f t="shared" si="3"/>
        <v>1.5280490031727081</v>
      </c>
      <c r="S12" s="15">
        <f t="shared" si="4"/>
        <v>9.3712343560000004</v>
      </c>
      <c r="T12" s="15">
        <f t="shared" si="5"/>
        <v>4.3126199999999999</v>
      </c>
      <c r="AA12" s="15"/>
      <c r="AB12" s="15"/>
      <c r="AC12" s="15"/>
      <c r="AD12" s="15"/>
    </row>
    <row r="13" spans="2:35" x14ac:dyDescent="0.25">
      <c r="B13">
        <v>11</v>
      </c>
      <c r="O13" s="15">
        <f t="shared" si="0"/>
        <v>4.3126199999999999</v>
      </c>
      <c r="P13" s="15">
        <f t="shared" si="1"/>
        <v>4.0579836017895019</v>
      </c>
      <c r="Q13" s="99">
        <f t="shared" si="2"/>
        <v>3.0393008947511633E-3</v>
      </c>
      <c r="R13" s="15">
        <f t="shared" si="3"/>
        <v>1.5280490031727081</v>
      </c>
      <c r="S13" s="15">
        <f t="shared" si="4"/>
        <v>9.3712343560000004</v>
      </c>
      <c r="T13" s="15">
        <f t="shared" si="5"/>
        <v>4.3126199999999999</v>
      </c>
    </row>
    <row r="14" spans="2:35" ht="15.75" thickBot="1" x14ac:dyDescent="0.3">
      <c r="B14">
        <v>12</v>
      </c>
      <c r="O14" s="15">
        <f t="shared" si="0"/>
        <v>4.3126199999999999</v>
      </c>
      <c r="P14" s="15">
        <f t="shared" si="1"/>
        <v>4.0579836017895019</v>
      </c>
      <c r="Q14" s="99">
        <f t="shared" si="2"/>
        <v>3.0393008947511633E-3</v>
      </c>
      <c r="R14" s="15">
        <f t="shared" si="3"/>
        <v>1.5280490031727081</v>
      </c>
      <c r="S14" s="15">
        <f t="shared" si="4"/>
        <v>9.3712343560000004</v>
      </c>
      <c r="T14" s="15">
        <f t="shared" si="5"/>
        <v>4.3126199999999999</v>
      </c>
      <c r="AA14" s="15"/>
      <c r="AB14" s="15"/>
      <c r="AC14" s="15"/>
      <c r="AD14" s="15"/>
    </row>
    <row r="15" spans="2:35" x14ac:dyDescent="0.25">
      <c r="B15">
        <v>13</v>
      </c>
      <c r="O15" s="15">
        <f t="shared" si="0"/>
        <v>4.3126199999999999</v>
      </c>
      <c r="P15" s="15">
        <f t="shared" si="1"/>
        <v>4.0579836017895019</v>
      </c>
      <c r="Q15" s="99">
        <f t="shared" si="2"/>
        <v>3.0393008947511633E-3</v>
      </c>
      <c r="R15" s="15">
        <f t="shared" si="3"/>
        <v>1.5280490031727081</v>
      </c>
      <c r="S15" s="15">
        <f t="shared" si="4"/>
        <v>9.3712343560000004</v>
      </c>
      <c r="T15" s="15">
        <f t="shared" si="5"/>
        <v>4.3126199999999999</v>
      </c>
      <c r="Y15" s="189" t="s">
        <v>511</v>
      </c>
      <c r="Z15" s="190"/>
      <c r="AA15" s="191"/>
      <c r="AB15" s="15"/>
      <c r="AC15" s="15"/>
      <c r="AD15" s="15"/>
    </row>
    <row r="16" spans="2:35" ht="15.75" thickBot="1" x14ac:dyDescent="0.3">
      <c r="B16">
        <v>14</v>
      </c>
      <c r="O16" s="15">
        <f t="shared" si="0"/>
        <v>4.3126199999999999</v>
      </c>
      <c r="P16" s="15">
        <f t="shared" si="1"/>
        <v>4.0579836017895019</v>
      </c>
      <c r="Q16" s="99">
        <f t="shared" si="2"/>
        <v>3.0393008947511633E-3</v>
      </c>
      <c r="R16" s="15">
        <f t="shared" si="3"/>
        <v>1.5280490031727081</v>
      </c>
      <c r="S16" s="15">
        <f t="shared" si="4"/>
        <v>9.3712343560000004</v>
      </c>
      <c r="T16" s="15">
        <f t="shared" si="5"/>
        <v>4.3126199999999999</v>
      </c>
      <c r="Y16" s="192"/>
      <c r="Z16" s="193"/>
      <c r="AA16" s="194"/>
      <c r="AB16" s="15"/>
      <c r="AD16" s="15"/>
    </row>
    <row r="17" spans="2:30" ht="17.25" x14ac:dyDescent="0.25">
      <c r="B17">
        <v>15</v>
      </c>
      <c r="O17" s="15">
        <f t="shared" si="0"/>
        <v>4.3126199999999999</v>
      </c>
      <c r="P17" s="15">
        <f t="shared" si="1"/>
        <v>4.0579836017895019</v>
      </c>
      <c r="Q17" s="99">
        <f t="shared" si="2"/>
        <v>3.0393008947511633E-3</v>
      </c>
      <c r="R17" s="15">
        <f t="shared" si="3"/>
        <v>1.5280490031727081</v>
      </c>
      <c r="S17" s="15">
        <f t="shared" si="4"/>
        <v>9.3712343560000004</v>
      </c>
      <c r="T17" s="15">
        <f t="shared" si="5"/>
        <v>4.3126199999999999</v>
      </c>
      <c r="Y17" t="s">
        <v>468</v>
      </c>
      <c r="Z17" t="s">
        <v>515</v>
      </c>
      <c r="AA17" s="15" t="s">
        <v>512</v>
      </c>
      <c r="AB17" t="s">
        <v>533</v>
      </c>
      <c r="AC17" s="15" t="s">
        <v>528</v>
      </c>
      <c r="AD17" s="15"/>
    </row>
    <row r="18" spans="2:30" x14ac:dyDescent="0.25">
      <c r="B18">
        <v>16</v>
      </c>
      <c r="O18" s="15">
        <f t="shared" si="0"/>
        <v>4.3126199999999999</v>
      </c>
      <c r="P18" s="15">
        <f t="shared" si="1"/>
        <v>4.0579836017895019</v>
      </c>
      <c r="Q18" s="99">
        <f t="shared" si="2"/>
        <v>3.0393008947511633E-3</v>
      </c>
      <c r="R18" s="15">
        <f t="shared" si="3"/>
        <v>1.5280490031727081</v>
      </c>
      <c r="S18" s="15">
        <f t="shared" si="4"/>
        <v>9.3712343560000004</v>
      </c>
      <c r="T18" s="15">
        <f t="shared" si="5"/>
        <v>4.3126199999999999</v>
      </c>
      <c r="Y18" t="s">
        <v>189</v>
      </c>
      <c r="Z18">
        <f>'Inventory 1'!M165</f>
        <v>4312.62</v>
      </c>
      <c r="AA18" s="15" t="s">
        <v>514</v>
      </c>
      <c r="AB18">
        <f>'Perovskite build'!C4*'Perovskite build'!C1*'Densities '!D18/10^-6</f>
        <v>1.9300000000000002</v>
      </c>
      <c r="AC18" s="15"/>
      <c r="AD18" s="15"/>
    </row>
    <row r="19" spans="2:30" x14ac:dyDescent="0.25">
      <c r="B19">
        <v>17</v>
      </c>
      <c r="O19" s="15">
        <f t="shared" si="0"/>
        <v>4.3126199999999999</v>
      </c>
      <c r="P19" s="15">
        <f t="shared" si="1"/>
        <v>4.0579836017895019</v>
      </c>
      <c r="Q19" s="99">
        <f t="shared" si="2"/>
        <v>3.0393008947511633E-3</v>
      </c>
      <c r="R19" s="15">
        <f t="shared" si="3"/>
        <v>1.5280490031727081</v>
      </c>
      <c r="S19" s="15">
        <f t="shared" si="4"/>
        <v>9.3712343560000004</v>
      </c>
      <c r="T19" s="15">
        <f t="shared" si="5"/>
        <v>4.3126199999999999</v>
      </c>
      <c r="AA19" s="15"/>
      <c r="AB19" s="15"/>
      <c r="AC19" s="15"/>
      <c r="AD19" s="15"/>
    </row>
    <row r="20" spans="2:30" ht="15.75" thickBot="1" x14ac:dyDescent="0.3">
      <c r="B20">
        <v>18</v>
      </c>
      <c r="O20" s="15">
        <f t="shared" si="0"/>
        <v>4.3126199999999999</v>
      </c>
      <c r="P20" s="15">
        <f t="shared" si="1"/>
        <v>4.0579836017895019</v>
      </c>
      <c r="Q20" s="99">
        <f t="shared" si="2"/>
        <v>3.0393008947511633E-3</v>
      </c>
      <c r="R20" s="15">
        <f t="shared" si="3"/>
        <v>1.5280490031727081</v>
      </c>
      <c r="S20" s="15">
        <f t="shared" si="4"/>
        <v>9.3712343560000004</v>
      </c>
      <c r="T20" s="15">
        <f t="shared" si="5"/>
        <v>4.3126199999999999</v>
      </c>
      <c r="AA20" s="15"/>
      <c r="AB20" s="15"/>
      <c r="AC20" s="15"/>
      <c r="AD20" s="15"/>
    </row>
    <row r="21" spans="2:30" ht="14.45" customHeight="1" x14ac:dyDescent="0.25">
      <c r="B21">
        <v>19</v>
      </c>
      <c r="O21" s="15">
        <f t="shared" si="0"/>
        <v>4.3126199999999999</v>
      </c>
      <c r="P21" s="15">
        <f t="shared" si="1"/>
        <v>4.0579836017895019</v>
      </c>
      <c r="Q21" s="99">
        <f t="shared" si="2"/>
        <v>3.0393008947511633E-3</v>
      </c>
      <c r="R21" s="15">
        <f t="shared" si="3"/>
        <v>1.5280490031727081</v>
      </c>
      <c r="S21" s="15">
        <f t="shared" si="4"/>
        <v>9.3712343560000004</v>
      </c>
      <c r="T21" s="15">
        <f t="shared" si="5"/>
        <v>4.3126199999999999</v>
      </c>
      <c r="Y21" s="189" t="s">
        <v>516</v>
      </c>
      <c r="Z21" s="190"/>
      <c r="AA21" s="191"/>
      <c r="AB21" s="15"/>
      <c r="AC21" s="15"/>
      <c r="AD21" s="15"/>
    </row>
    <row r="22" spans="2:30" ht="15.75" thickBot="1" x14ac:dyDescent="0.3">
      <c r="B22">
        <v>20</v>
      </c>
      <c r="O22" s="15">
        <f t="shared" si="0"/>
        <v>4.3126199999999999</v>
      </c>
      <c r="P22" s="15">
        <f t="shared" si="1"/>
        <v>4.0579836017895019</v>
      </c>
      <c r="Q22" s="99">
        <f t="shared" si="2"/>
        <v>3.0393008947511633E-3</v>
      </c>
      <c r="R22" s="15">
        <f t="shared" si="3"/>
        <v>1.5280490031727081</v>
      </c>
      <c r="S22" s="15">
        <f t="shared" si="4"/>
        <v>9.3712343560000004</v>
      </c>
      <c r="T22" s="15">
        <f t="shared" si="5"/>
        <v>4.3126199999999999</v>
      </c>
      <c r="Y22" s="192"/>
      <c r="Z22" s="193"/>
      <c r="AA22" s="194"/>
      <c r="AB22" s="15"/>
      <c r="AC22" s="15"/>
      <c r="AD22" s="15"/>
    </row>
    <row r="23" spans="2:30" x14ac:dyDescent="0.25">
      <c r="B23">
        <v>21</v>
      </c>
      <c r="O23" s="15">
        <f t="shared" si="0"/>
        <v>4.3126199999999999</v>
      </c>
      <c r="P23" s="15">
        <f t="shared" si="1"/>
        <v>4.0579836017895019</v>
      </c>
      <c r="Q23" s="99">
        <f t="shared" si="2"/>
        <v>3.0393008947511633E-3</v>
      </c>
      <c r="R23" s="15">
        <f t="shared" si="3"/>
        <v>1.5280490031727081</v>
      </c>
      <c r="S23" s="15">
        <f t="shared" si="4"/>
        <v>9.3712343560000004</v>
      </c>
      <c r="T23" s="15">
        <f t="shared" si="5"/>
        <v>4.3126199999999999</v>
      </c>
      <c r="Y23" t="s">
        <v>468</v>
      </c>
      <c r="Z23" t="s">
        <v>515</v>
      </c>
      <c r="AA23" s="15" t="s">
        <v>512</v>
      </c>
      <c r="AB23" t="s">
        <v>529</v>
      </c>
      <c r="AC23" s="15" t="s">
        <v>513</v>
      </c>
      <c r="AD23" s="15"/>
    </row>
    <row r="24" spans="2:30" x14ac:dyDescent="0.25">
      <c r="B24">
        <v>22</v>
      </c>
      <c r="O24" s="15">
        <f t="shared" si="0"/>
        <v>4.3126199999999999</v>
      </c>
      <c r="P24" s="15">
        <f t="shared" si="1"/>
        <v>4.0579836017895019</v>
      </c>
      <c r="Q24" s="99">
        <f t="shared" si="2"/>
        <v>3.0393008947511633E-3</v>
      </c>
      <c r="R24" s="15">
        <f t="shared" si="3"/>
        <v>1.5280490031727081</v>
      </c>
      <c r="S24" s="15">
        <f t="shared" si="4"/>
        <v>9.3712343560000004</v>
      </c>
      <c r="T24" s="15">
        <f t="shared" si="5"/>
        <v>4.3126199999999999</v>
      </c>
      <c r="Y24" t="s">
        <v>497</v>
      </c>
      <c r="Z24">
        <f>'Inventory 1'!M121</f>
        <v>3900</v>
      </c>
      <c r="AA24" t="s">
        <v>518</v>
      </c>
      <c r="AB24" s="27">
        <f>'Perovskite build'!C5*'Perovskite build'!C1*'Densities '!D13/10^-6</f>
        <v>3.2735999999999996</v>
      </c>
    </row>
    <row r="25" spans="2:30" x14ac:dyDescent="0.25">
      <c r="B25">
        <v>23</v>
      </c>
      <c r="O25" s="15">
        <f t="shared" si="0"/>
        <v>4.3126199999999999</v>
      </c>
      <c r="P25" s="15">
        <f t="shared" si="1"/>
        <v>4.0579836017895019</v>
      </c>
      <c r="Q25" s="99">
        <f t="shared" si="2"/>
        <v>3.0393008947511633E-3</v>
      </c>
      <c r="R25" s="15">
        <f t="shared" si="3"/>
        <v>1.5280490031727081</v>
      </c>
      <c r="S25" s="15">
        <f t="shared" si="4"/>
        <v>9.3712343560000004</v>
      </c>
      <c r="T25" s="15">
        <f t="shared" si="5"/>
        <v>4.3126199999999999</v>
      </c>
      <c r="Y25" t="s">
        <v>48</v>
      </c>
      <c r="Z25">
        <f>'Inventory 1'!M124</f>
        <v>3683.5499999999997</v>
      </c>
      <c r="AA25" t="s">
        <v>518</v>
      </c>
    </row>
    <row r="26" spans="2:30" x14ac:dyDescent="0.25">
      <c r="B26">
        <v>24</v>
      </c>
      <c r="O26" s="15">
        <f t="shared" si="0"/>
        <v>4.3126199999999999</v>
      </c>
      <c r="P26" s="15">
        <f t="shared" si="1"/>
        <v>4.0579836017895019</v>
      </c>
      <c r="Q26" s="99">
        <f t="shared" si="2"/>
        <v>3.0393008947511633E-3</v>
      </c>
      <c r="R26" s="15">
        <f t="shared" si="3"/>
        <v>1.5280490031727081</v>
      </c>
      <c r="S26" s="15">
        <f t="shared" si="4"/>
        <v>9.3712343560000004</v>
      </c>
      <c r="T26" s="15">
        <f t="shared" si="5"/>
        <v>4.3126199999999999</v>
      </c>
      <c r="Y26" t="s">
        <v>517</v>
      </c>
      <c r="Z26">
        <f>'Inventory 1'!M126</f>
        <v>3900</v>
      </c>
      <c r="AA26" t="s">
        <v>518</v>
      </c>
    </row>
    <row r="27" spans="2:30" x14ac:dyDescent="0.25">
      <c r="B27">
        <v>25</v>
      </c>
      <c r="O27" s="15">
        <f t="shared" si="0"/>
        <v>4.3126199999999999</v>
      </c>
      <c r="P27" s="15">
        <f t="shared" si="1"/>
        <v>4.0579836017895019</v>
      </c>
      <c r="Q27" s="99">
        <f t="shared" si="2"/>
        <v>3.0393008947511633E-3</v>
      </c>
      <c r="R27" s="15">
        <f t="shared" si="3"/>
        <v>1.5280490031727081</v>
      </c>
      <c r="S27" s="15">
        <f t="shared" si="4"/>
        <v>9.3712343560000004</v>
      </c>
      <c r="T27" s="15">
        <f t="shared" si="5"/>
        <v>4.3126199999999999</v>
      </c>
    </row>
    <row r="28" spans="2:30" ht="15.75" thickBot="1" x14ac:dyDescent="0.3">
      <c r="B28">
        <v>26</v>
      </c>
      <c r="O28" s="15">
        <f t="shared" si="0"/>
        <v>4.3126199999999999</v>
      </c>
      <c r="P28" s="15">
        <f t="shared" si="1"/>
        <v>4.0579836017895019</v>
      </c>
      <c r="Q28" s="99">
        <f t="shared" si="2"/>
        <v>3.0393008947511633E-3</v>
      </c>
      <c r="R28" s="15">
        <f t="shared" si="3"/>
        <v>1.5280490031727081</v>
      </c>
      <c r="S28" s="15">
        <f t="shared" si="4"/>
        <v>9.3712343560000004</v>
      </c>
      <c r="T28" s="15">
        <f t="shared" si="5"/>
        <v>4.3126199999999999</v>
      </c>
    </row>
    <row r="29" spans="2:30" x14ac:dyDescent="0.25">
      <c r="B29">
        <v>27</v>
      </c>
      <c r="O29" s="15">
        <f t="shared" si="0"/>
        <v>4.3126199999999999</v>
      </c>
      <c r="P29" s="15">
        <f t="shared" si="1"/>
        <v>4.0579836017895019</v>
      </c>
      <c r="Q29" s="99">
        <f t="shared" si="2"/>
        <v>3.0393008947511633E-3</v>
      </c>
      <c r="R29" s="15">
        <f t="shared" si="3"/>
        <v>1.5280490031727081</v>
      </c>
      <c r="S29" s="15">
        <f t="shared" si="4"/>
        <v>9.3712343560000004</v>
      </c>
      <c r="T29" s="15">
        <f t="shared" si="5"/>
        <v>4.3126199999999999</v>
      </c>
      <c r="Y29" s="189" t="s">
        <v>519</v>
      </c>
      <c r="Z29" s="190"/>
      <c r="AA29" s="191"/>
    </row>
    <row r="30" spans="2:30" ht="15.75" thickBot="1" x14ac:dyDescent="0.3">
      <c r="B30">
        <v>28</v>
      </c>
      <c r="O30" s="15">
        <f t="shared" si="0"/>
        <v>4.3126199999999999</v>
      </c>
      <c r="P30" s="15">
        <f t="shared" si="1"/>
        <v>4.0579836017895019</v>
      </c>
      <c r="Q30" s="99">
        <f t="shared" si="2"/>
        <v>3.0393008947511633E-3</v>
      </c>
      <c r="R30" s="15">
        <f t="shared" si="3"/>
        <v>1.5280490031727081</v>
      </c>
      <c r="S30" s="15">
        <f t="shared" si="4"/>
        <v>9.3712343560000004</v>
      </c>
      <c r="T30" s="15">
        <f t="shared" si="5"/>
        <v>4.3126199999999999</v>
      </c>
      <c r="Y30" s="192"/>
      <c r="Z30" s="193"/>
      <c r="AA30" s="194"/>
    </row>
    <row r="31" spans="2:30" x14ac:dyDescent="0.25">
      <c r="B31">
        <v>29</v>
      </c>
      <c r="O31" s="15">
        <f t="shared" si="0"/>
        <v>4.3126199999999999</v>
      </c>
      <c r="P31" s="15">
        <f t="shared" si="1"/>
        <v>4.0579836017895019</v>
      </c>
      <c r="Q31" s="99">
        <f t="shared" si="2"/>
        <v>3.0393008947511633E-3</v>
      </c>
      <c r="R31" s="15">
        <f t="shared" si="3"/>
        <v>1.5280490031727081</v>
      </c>
      <c r="S31" s="15">
        <f t="shared" si="4"/>
        <v>9.3712343560000004</v>
      </c>
      <c r="T31" s="15">
        <f t="shared" si="5"/>
        <v>4.3126199999999999</v>
      </c>
      <c r="Y31" t="s">
        <v>468</v>
      </c>
      <c r="Z31" t="s">
        <v>515</v>
      </c>
      <c r="AA31" s="15" t="s">
        <v>512</v>
      </c>
      <c r="AB31" t="s">
        <v>529</v>
      </c>
      <c r="AC31" s="15" t="s">
        <v>513</v>
      </c>
    </row>
    <row r="32" spans="2:30" x14ac:dyDescent="0.25">
      <c r="B32">
        <v>30</v>
      </c>
      <c r="O32" s="15">
        <f t="shared" si="0"/>
        <v>4.3126199999999999</v>
      </c>
      <c r="P32" s="15">
        <f t="shared" si="1"/>
        <v>4.0579836017895019</v>
      </c>
      <c r="Q32" s="99">
        <f t="shared" si="2"/>
        <v>3.0393008947511633E-3</v>
      </c>
      <c r="R32" s="15">
        <f t="shared" si="3"/>
        <v>1.5280490031727081</v>
      </c>
      <c r="S32" s="15">
        <f t="shared" si="4"/>
        <v>9.3712343560000004</v>
      </c>
      <c r="T32" s="15">
        <f t="shared" si="5"/>
        <v>4.3126199999999999</v>
      </c>
      <c r="Y32" t="s">
        <v>497</v>
      </c>
      <c r="Z32" s="27">
        <f>'Inventory 1'!M365</f>
        <v>3900</v>
      </c>
      <c r="AA32" t="s">
        <v>518</v>
      </c>
      <c r="AB32" s="27">
        <f>AB24</f>
        <v>3.2735999999999996</v>
      </c>
    </row>
    <row r="33" spans="2:29" x14ac:dyDescent="0.25">
      <c r="B33">
        <v>31</v>
      </c>
      <c r="O33" s="15">
        <f t="shared" si="0"/>
        <v>4.3126199999999999</v>
      </c>
      <c r="P33" s="15">
        <f t="shared" si="1"/>
        <v>4.0579836017895019</v>
      </c>
      <c r="Q33" s="99">
        <f t="shared" si="2"/>
        <v>3.0393008947511633E-3</v>
      </c>
      <c r="R33" s="15">
        <f t="shared" si="3"/>
        <v>1.5280490031727081</v>
      </c>
      <c r="S33" s="15">
        <f t="shared" si="4"/>
        <v>9.3712343560000004</v>
      </c>
      <c r="T33" s="15">
        <f t="shared" si="5"/>
        <v>4.3126199999999999</v>
      </c>
    </row>
    <row r="34" spans="2:29" ht="15.75" thickBot="1" x14ac:dyDescent="0.3">
      <c r="B34">
        <v>32</v>
      </c>
      <c r="O34" s="15">
        <f t="shared" si="0"/>
        <v>4.3126199999999999</v>
      </c>
      <c r="P34" s="15">
        <f t="shared" si="1"/>
        <v>4.0579836017895019</v>
      </c>
      <c r="Q34" s="99">
        <f t="shared" si="2"/>
        <v>3.0393008947511633E-3</v>
      </c>
      <c r="R34" s="15">
        <f t="shared" si="3"/>
        <v>1.5280490031727081</v>
      </c>
      <c r="S34" s="15">
        <f t="shared" si="4"/>
        <v>9.3712343560000004</v>
      </c>
      <c r="T34" s="15">
        <f t="shared" si="5"/>
        <v>4.3126199999999999</v>
      </c>
    </row>
    <row r="35" spans="2:29" x14ac:dyDescent="0.25">
      <c r="B35">
        <v>33</v>
      </c>
      <c r="O35" s="15">
        <f t="shared" si="0"/>
        <v>4.3126199999999999</v>
      </c>
      <c r="P35" s="15">
        <f t="shared" si="1"/>
        <v>4.0579836017895019</v>
      </c>
      <c r="Q35" s="99">
        <f t="shared" si="2"/>
        <v>3.0393008947511633E-3</v>
      </c>
      <c r="R35" s="15">
        <f t="shared" si="3"/>
        <v>1.5280490031727081</v>
      </c>
      <c r="S35" s="15">
        <f t="shared" si="4"/>
        <v>9.3712343560000004</v>
      </c>
      <c r="T35" s="15">
        <f t="shared" si="5"/>
        <v>4.3126199999999999</v>
      </c>
      <c r="Y35" s="189" t="s">
        <v>520</v>
      </c>
      <c r="Z35" s="190"/>
      <c r="AA35" s="191"/>
    </row>
    <row r="36" spans="2:29" ht="15.75" thickBot="1" x14ac:dyDescent="0.3">
      <c r="B36">
        <v>34</v>
      </c>
      <c r="O36" s="15">
        <f t="shared" si="0"/>
        <v>4.3126199999999999</v>
      </c>
      <c r="P36" s="15">
        <f t="shared" si="1"/>
        <v>4.0579836017895019</v>
      </c>
      <c r="Q36" s="99">
        <f t="shared" si="2"/>
        <v>3.0393008947511633E-3</v>
      </c>
      <c r="R36" s="15">
        <f t="shared" si="3"/>
        <v>1.5280490031727081</v>
      </c>
      <c r="S36" s="15">
        <f t="shared" si="4"/>
        <v>9.3712343560000004</v>
      </c>
      <c r="T36" s="15">
        <f t="shared" si="5"/>
        <v>4.3126199999999999</v>
      </c>
      <c r="Y36" s="192"/>
      <c r="Z36" s="193"/>
      <c r="AA36" s="194"/>
    </row>
    <row r="37" spans="2:29" x14ac:dyDescent="0.25">
      <c r="B37">
        <v>35</v>
      </c>
      <c r="O37" s="15">
        <f t="shared" si="0"/>
        <v>4.3126199999999999</v>
      </c>
      <c r="P37" s="15">
        <f t="shared" si="1"/>
        <v>4.0579836017895019</v>
      </c>
      <c r="Q37" s="99">
        <f t="shared" si="2"/>
        <v>3.0393008947511633E-3</v>
      </c>
      <c r="R37" s="15">
        <f t="shared" si="3"/>
        <v>1.5280490031727081</v>
      </c>
      <c r="S37" s="15">
        <f t="shared" si="4"/>
        <v>9.3712343560000004</v>
      </c>
      <c r="T37" s="15">
        <f t="shared" si="5"/>
        <v>4.3126199999999999</v>
      </c>
      <c r="Y37" t="s">
        <v>468</v>
      </c>
      <c r="Z37" t="s">
        <v>515</v>
      </c>
      <c r="AA37" s="15" t="s">
        <v>512</v>
      </c>
      <c r="AB37" t="s">
        <v>529</v>
      </c>
      <c r="AC37" s="15" t="s">
        <v>513</v>
      </c>
    </row>
    <row r="38" spans="2:29" x14ac:dyDescent="0.25">
      <c r="B38">
        <v>36</v>
      </c>
      <c r="O38" s="15">
        <f t="shared" si="0"/>
        <v>4.3126199999999999</v>
      </c>
      <c r="P38" s="15">
        <f t="shared" si="1"/>
        <v>4.0579836017895019</v>
      </c>
      <c r="Q38" s="99">
        <f t="shared" si="2"/>
        <v>3.0393008947511633E-3</v>
      </c>
      <c r="R38" s="15">
        <f t="shared" si="3"/>
        <v>1.5280490031727081</v>
      </c>
      <c r="S38" s="15">
        <f t="shared" si="4"/>
        <v>9.3712343560000004</v>
      </c>
      <c r="T38" s="15">
        <f t="shared" si="5"/>
        <v>4.3126199999999999</v>
      </c>
      <c r="Y38" t="s">
        <v>497</v>
      </c>
      <c r="Z38">
        <f>'Inventory 1'!M384</f>
        <v>3900</v>
      </c>
      <c r="AA38" t="s">
        <v>518</v>
      </c>
      <c r="AB38" s="27">
        <f>AB32</f>
        <v>3.2735999999999996</v>
      </c>
    </row>
    <row r="39" spans="2:29" x14ac:dyDescent="0.25">
      <c r="B39">
        <v>37</v>
      </c>
      <c r="O39" s="15">
        <f t="shared" si="0"/>
        <v>4.3126199999999999</v>
      </c>
      <c r="P39" s="15">
        <f t="shared" si="1"/>
        <v>4.0579836017895019</v>
      </c>
      <c r="Q39" s="99">
        <f t="shared" si="2"/>
        <v>3.0393008947511633E-3</v>
      </c>
      <c r="R39" s="15">
        <f t="shared" si="3"/>
        <v>1.5280490031727081</v>
      </c>
      <c r="S39" s="15">
        <f t="shared" si="4"/>
        <v>9.3712343560000004</v>
      </c>
      <c r="T39" s="15">
        <f t="shared" si="5"/>
        <v>4.3126199999999999</v>
      </c>
      <c r="Y39" t="s">
        <v>370</v>
      </c>
      <c r="Z39">
        <f>'Inventory 1'!M387</f>
        <v>390</v>
      </c>
      <c r="AA39" t="s">
        <v>518</v>
      </c>
      <c r="AB39" s="27">
        <f>AB24</f>
        <v>3.2735999999999996</v>
      </c>
    </row>
    <row r="40" spans="2:29" x14ac:dyDescent="0.25">
      <c r="B40">
        <v>38</v>
      </c>
      <c r="O40" s="15">
        <f t="shared" si="0"/>
        <v>4.3126199999999999</v>
      </c>
      <c r="P40" s="15">
        <f t="shared" si="1"/>
        <v>4.0579836017895019</v>
      </c>
      <c r="Q40" s="99">
        <f t="shared" si="2"/>
        <v>3.0393008947511633E-3</v>
      </c>
      <c r="R40" s="15">
        <f t="shared" si="3"/>
        <v>1.5280490031727081</v>
      </c>
      <c r="S40" s="15">
        <f t="shared" si="4"/>
        <v>9.3712343560000004</v>
      </c>
      <c r="T40" s="15">
        <f t="shared" si="5"/>
        <v>4.3126199999999999</v>
      </c>
      <c r="Y40" t="s">
        <v>497</v>
      </c>
      <c r="Z40">
        <f>'Inventory 1'!M389</f>
        <v>3900</v>
      </c>
      <c r="AA40" t="s">
        <v>518</v>
      </c>
      <c r="AB40" s="27">
        <f>AB24</f>
        <v>3.2735999999999996</v>
      </c>
    </row>
    <row r="41" spans="2:29" x14ac:dyDescent="0.25">
      <c r="B41">
        <v>39</v>
      </c>
      <c r="O41" s="15">
        <f t="shared" si="0"/>
        <v>4.3126199999999999</v>
      </c>
      <c r="P41" s="15">
        <f t="shared" si="1"/>
        <v>4.0579836017895019</v>
      </c>
      <c r="Q41" s="99">
        <f t="shared" si="2"/>
        <v>3.0393008947511633E-3</v>
      </c>
      <c r="R41" s="15">
        <f t="shared" si="3"/>
        <v>1.5280490031727081</v>
      </c>
      <c r="S41" s="15">
        <f t="shared" si="4"/>
        <v>9.3712343560000004</v>
      </c>
      <c r="T41" s="15">
        <f t="shared" si="5"/>
        <v>4.3126199999999999</v>
      </c>
      <c r="Y41" t="s">
        <v>455</v>
      </c>
      <c r="Z41">
        <f>'Inventory 1'!M390</f>
        <v>3112.2000000000003</v>
      </c>
      <c r="AA41" t="s">
        <v>518</v>
      </c>
      <c r="AB41" s="27">
        <f>AB24</f>
        <v>3.2735999999999996</v>
      </c>
    </row>
    <row r="42" spans="2:29" x14ac:dyDescent="0.25">
      <c r="B42">
        <v>40</v>
      </c>
      <c r="O42" s="15">
        <f t="shared" si="0"/>
        <v>4.3126199999999999</v>
      </c>
      <c r="P42" s="15">
        <f t="shared" si="1"/>
        <v>4.0579836017895019</v>
      </c>
      <c r="Q42" s="99">
        <f t="shared" si="2"/>
        <v>3.0393008947511633E-3</v>
      </c>
      <c r="R42" s="15">
        <f t="shared" si="3"/>
        <v>1.5280490031727081</v>
      </c>
      <c r="S42" s="15">
        <f t="shared" si="4"/>
        <v>9.3712343560000004</v>
      </c>
      <c r="T42" s="15">
        <f t="shared" si="5"/>
        <v>4.3126199999999999</v>
      </c>
    </row>
    <row r="43" spans="2:29" ht="15.75" thickBot="1" x14ac:dyDescent="0.3">
      <c r="B43">
        <v>41</v>
      </c>
      <c r="O43" s="15">
        <f t="shared" si="0"/>
        <v>4.3126199999999999</v>
      </c>
      <c r="P43" s="15">
        <f t="shared" si="1"/>
        <v>4.0579836017895019</v>
      </c>
      <c r="Q43" s="99">
        <f t="shared" si="2"/>
        <v>3.0393008947511633E-3</v>
      </c>
      <c r="R43" s="15">
        <f t="shared" si="3"/>
        <v>1.5280490031727081</v>
      </c>
      <c r="S43" s="15">
        <f t="shared" si="4"/>
        <v>9.3712343560000004</v>
      </c>
      <c r="T43" s="15">
        <f t="shared" si="5"/>
        <v>4.3126199999999999</v>
      </c>
    </row>
    <row r="44" spans="2:29" x14ac:dyDescent="0.25">
      <c r="B44">
        <v>42</v>
      </c>
      <c r="O44" s="15">
        <f t="shared" si="0"/>
        <v>4.3126199999999999</v>
      </c>
      <c r="P44" s="15">
        <f t="shared" si="1"/>
        <v>4.0579836017895019</v>
      </c>
      <c r="Q44" s="99">
        <f t="shared" si="2"/>
        <v>3.0393008947511633E-3</v>
      </c>
      <c r="R44" s="15">
        <f t="shared" si="3"/>
        <v>1.5280490031727081</v>
      </c>
      <c r="S44" s="15">
        <f t="shared" si="4"/>
        <v>9.3712343560000004</v>
      </c>
      <c r="T44" s="15">
        <f t="shared" si="5"/>
        <v>4.3126199999999999</v>
      </c>
      <c r="Y44" s="189" t="s">
        <v>521</v>
      </c>
      <c r="Z44" s="190"/>
      <c r="AA44" s="191"/>
    </row>
    <row r="45" spans="2:29" ht="15.75" thickBot="1" x14ac:dyDescent="0.3">
      <c r="B45">
        <v>43</v>
      </c>
      <c r="O45" s="15">
        <f t="shared" si="0"/>
        <v>4.3126199999999999</v>
      </c>
      <c r="P45" s="15">
        <f t="shared" si="1"/>
        <v>4.0579836017895019</v>
      </c>
      <c r="Q45" s="99">
        <f t="shared" si="2"/>
        <v>3.0393008947511633E-3</v>
      </c>
      <c r="R45" s="15">
        <f t="shared" si="3"/>
        <v>1.5280490031727081</v>
      </c>
      <c r="S45" s="15">
        <f t="shared" si="4"/>
        <v>9.3712343560000004</v>
      </c>
      <c r="T45" s="15">
        <f t="shared" si="5"/>
        <v>4.3126199999999999</v>
      </c>
      <c r="Y45" s="192"/>
      <c r="Z45" s="193"/>
      <c r="AA45" s="194"/>
    </row>
    <row r="46" spans="2:29" x14ac:dyDescent="0.25">
      <c r="B46">
        <v>44</v>
      </c>
      <c r="O46" s="15">
        <f t="shared" si="0"/>
        <v>4.3126199999999999</v>
      </c>
      <c r="P46" s="15">
        <f t="shared" si="1"/>
        <v>4.0579836017895019</v>
      </c>
      <c r="Q46" s="99">
        <f t="shared" si="2"/>
        <v>3.0393008947511633E-3</v>
      </c>
      <c r="R46" s="15">
        <f t="shared" si="3"/>
        <v>1.5280490031727081</v>
      </c>
      <c r="S46" s="15">
        <f t="shared" si="4"/>
        <v>9.3712343560000004</v>
      </c>
      <c r="T46" s="15">
        <f t="shared" si="5"/>
        <v>4.3126199999999999</v>
      </c>
      <c r="Y46" t="s">
        <v>468</v>
      </c>
      <c r="Z46" t="s">
        <v>515</v>
      </c>
      <c r="AA46" s="15" t="s">
        <v>512</v>
      </c>
      <c r="AB46" t="s">
        <v>529</v>
      </c>
      <c r="AC46" s="15" t="s">
        <v>513</v>
      </c>
    </row>
    <row r="47" spans="2:29" x14ac:dyDescent="0.25">
      <c r="B47">
        <v>45</v>
      </c>
      <c r="O47" s="15">
        <f t="shared" si="0"/>
        <v>4.3126199999999999</v>
      </c>
      <c r="P47" s="15">
        <f t="shared" si="1"/>
        <v>4.0579836017895019</v>
      </c>
      <c r="Q47" s="99">
        <f t="shared" si="2"/>
        <v>3.0393008947511633E-3</v>
      </c>
      <c r="R47" s="15">
        <f t="shared" si="3"/>
        <v>1.5280490031727081</v>
      </c>
      <c r="S47" s="15">
        <f t="shared" si="4"/>
        <v>9.3712343560000004</v>
      </c>
      <c r="T47" s="15">
        <f t="shared" si="5"/>
        <v>4.3126199999999999</v>
      </c>
      <c r="Y47" t="s">
        <v>48</v>
      </c>
      <c r="Z47">
        <f>'Inventory 1'!M301</f>
        <v>3683.5499999999997</v>
      </c>
      <c r="AA47" t="s">
        <v>518</v>
      </c>
      <c r="AB47" s="27">
        <f>AB24</f>
        <v>3.2735999999999996</v>
      </c>
    </row>
    <row r="48" spans="2:29" x14ac:dyDescent="0.25">
      <c r="B48">
        <v>46</v>
      </c>
      <c r="O48" s="15">
        <f t="shared" si="0"/>
        <v>4.3126199999999999</v>
      </c>
      <c r="P48" s="15">
        <f t="shared" si="1"/>
        <v>4.0579836017895019</v>
      </c>
      <c r="Q48" s="99">
        <f t="shared" si="2"/>
        <v>3.0393008947511633E-3</v>
      </c>
      <c r="R48" s="15">
        <f t="shared" si="3"/>
        <v>1.5280490031727081</v>
      </c>
      <c r="S48" s="15">
        <f t="shared" si="4"/>
        <v>9.3712343560000004</v>
      </c>
      <c r="T48" s="15">
        <f t="shared" si="5"/>
        <v>4.3126199999999999</v>
      </c>
      <c r="Y48" t="s">
        <v>497</v>
      </c>
      <c r="Z48">
        <f>'Inventory 1'!M304</f>
        <v>3900</v>
      </c>
      <c r="AA48" t="s">
        <v>518</v>
      </c>
      <c r="AB48" s="27">
        <f>AB24</f>
        <v>3.2735999999999996</v>
      </c>
    </row>
    <row r="49" spans="2:29" x14ac:dyDescent="0.25">
      <c r="B49">
        <v>47</v>
      </c>
      <c r="O49" s="15">
        <f t="shared" si="0"/>
        <v>4.3126199999999999</v>
      </c>
      <c r="P49" s="15">
        <f t="shared" si="1"/>
        <v>4.0579836017895019</v>
      </c>
      <c r="Q49" s="99">
        <f t="shared" si="2"/>
        <v>3.0393008947511633E-3</v>
      </c>
      <c r="R49" s="15">
        <f t="shared" si="3"/>
        <v>1.5280490031727081</v>
      </c>
      <c r="S49" s="15">
        <f t="shared" si="4"/>
        <v>9.3712343560000004</v>
      </c>
      <c r="T49" s="15">
        <f t="shared" si="5"/>
        <v>4.3126199999999999</v>
      </c>
      <c r="Y49" t="s">
        <v>73</v>
      </c>
      <c r="Z49">
        <f>'Inventory 1'!M305</f>
        <v>18.956410200000001</v>
      </c>
      <c r="AA49" t="s">
        <v>518</v>
      </c>
      <c r="AB49" s="27">
        <f>AB24</f>
        <v>3.2735999999999996</v>
      </c>
    </row>
    <row r="50" spans="2:29" x14ac:dyDescent="0.25">
      <c r="B50">
        <v>48</v>
      </c>
      <c r="O50" s="15">
        <f t="shared" si="0"/>
        <v>4.3126199999999999</v>
      </c>
      <c r="P50" s="15">
        <f t="shared" si="1"/>
        <v>4.0579836017895019</v>
      </c>
      <c r="Q50" s="99">
        <f t="shared" si="2"/>
        <v>3.0393008947511633E-3</v>
      </c>
      <c r="R50" s="15">
        <f t="shared" si="3"/>
        <v>1.5280490031727081</v>
      </c>
      <c r="S50" s="15">
        <f t="shared" si="4"/>
        <v>9.3712343560000004</v>
      </c>
      <c r="T50" s="15">
        <f t="shared" si="5"/>
        <v>4.3126199999999999</v>
      </c>
      <c r="Y50" t="s">
        <v>497</v>
      </c>
      <c r="Z50">
        <f>'Inventory 1'!M307</f>
        <v>3900</v>
      </c>
      <c r="AA50" t="s">
        <v>518</v>
      </c>
      <c r="AB50" s="27">
        <f>AB24</f>
        <v>3.2735999999999996</v>
      </c>
    </row>
    <row r="51" spans="2:29" x14ac:dyDescent="0.25">
      <c r="B51">
        <v>49</v>
      </c>
      <c r="O51" s="15">
        <f t="shared" si="0"/>
        <v>4.3126199999999999</v>
      </c>
      <c r="P51" s="15">
        <f t="shared" si="1"/>
        <v>4.0579836017895019</v>
      </c>
      <c r="Q51" s="99">
        <f t="shared" si="2"/>
        <v>3.0393008947511633E-3</v>
      </c>
      <c r="R51" s="15">
        <f t="shared" si="3"/>
        <v>1.5280490031727081</v>
      </c>
      <c r="S51" s="15">
        <f t="shared" si="4"/>
        <v>9.3712343560000004</v>
      </c>
      <c r="T51" s="15">
        <f t="shared" si="5"/>
        <v>4.3126199999999999</v>
      </c>
    </row>
    <row r="52" spans="2:29" ht="15.75" thickBot="1" x14ac:dyDescent="0.3">
      <c r="B52">
        <v>50</v>
      </c>
      <c r="O52" s="15">
        <f t="shared" si="0"/>
        <v>4.3126199999999999</v>
      </c>
      <c r="P52" s="15">
        <f t="shared" si="1"/>
        <v>4.0579836017895019</v>
      </c>
      <c r="Q52" s="99">
        <f t="shared" si="2"/>
        <v>3.0393008947511633E-3</v>
      </c>
      <c r="R52" s="15">
        <f t="shared" si="3"/>
        <v>1.5280490031727081</v>
      </c>
      <c r="S52" s="15">
        <f t="shared" si="4"/>
        <v>9.3712343560000004</v>
      </c>
      <c r="T52" s="15">
        <f t="shared" si="5"/>
        <v>4.3126199999999999</v>
      </c>
    </row>
    <row r="53" spans="2:29" x14ac:dyDescent="0.25">
      <c r="B53">
        <v>51</v>
      </c>
      <c r="O53" s="15">
        <f t="shared" si="0"/>
        <v>4.3126199999999999</v>
      </c>
      <c r="P53" s="15">
        <f t="shared" si="1"/>
        <v>4.0579836017895019</v>
      </c>
      <c r="Q53" s="99">
        <f t="shared" si="2"/>
        <v>3.0393008947511633E-3</v>
      </c>
      <c r="R53" s="15">
        <f t="shared" si="3"/>
        <v>1.5280490031727081</v>
      </c>
      <c r="S53" s="15">
        <f t="shared" si="4"/>
        <v>9.3712343560000004</v>
      </c>
      <c r="T53" s="15">
        <f t="shared" si="5"/>
        <v>4.3126199999999999</v>
      </c>
      <c r="Y53" s="189" t="s">
        <v>522</v>
      </c>
      <c r="Z53" s="190"/>
      <c r="AA53" s="191"/>
    </row>
    <row r="54" spans="2:29" ht="15.75" thickBot="1" x14ac:dyDescent="0.3">
      <c r="B54">
        <v>52</v>
      </c>
      <c r="O54" s="15">
        <f t="shared" si="0"/>
        <v>4.3126199999999999</v>
      </c>
      <c r="P54" s="15">
        <f t="shared" si="1"/>
        <v>4.0579836017895019</v>
      </c>
      <c r="Q54" s="99">
        <f t="shared" si="2"/>
        <v>3.0393008947511633E-3</v>
      </c>
      <c r="R54" s="15">
        <f t="shared" si="3"/>
        <v>1.5280490031727081</v>
      </c>
      <c r="S54" s="15">
        <f t="shared" si="4"/>
        <v>9.3712343560000004</v>
      </c>
      <c r="T54" s="15">
        <f t="shared" si="5"/>
        <v>4.3126199999999999</v>
      </c>
      <c r="Y54" s="192"/>
      <c r="Z54" s="193"/>
      <c r="AA54" s="194"/>
    </row>
    <row r="55" spans="2:29" x14ac:dyDescent="0.25">
      <c r="B55">
        <v>53</v>
      </c>
      <c r="O55" s="15">
        <f t="shared" si="0"/>
        <v>4.3126199999999999</v>
      </c>
      <c r="P55" s="15">
        <f t="shared" si="1"/>
        <v>4.0579836017895019</v>
      </c>
      <c r="Q55" s="99">
        <f t="shared" si="2"/>
        <v>3.0393008947511633E-3</v>
      </c>
      <c r="R55" s="15">
        <f t="shared" si="3"/>
        <v>1.5280490031727081</v>
      </c>
      <c r="S55" s="15">
        <f t="shared" si="4"/>
        <v>9.3712343560000004</v>
      </c>
      <c r="T55" s="15">
        <f t="shared" si="5"/>
        <v>4.3126199999999999</v>
      </c>
      <c r="Y55" t="s">
        <v>468</v>
      </c>
      <c r="Z55" t="s">
        <v>515</v>
      </c>
      <c r="AA55" s="15" t="s">
        <v>512</v>
      </c>
      <c r="AB55" t="s">
        <v>529</v>
      </c>
      <c r="AC55" s="15" t="s">
        <v>513</v>
      </c>
    </row>
    <row r="56" spans="2:29" ht="18" x14ac:dyDescent="0.35">
      <c r="B56">
        <v>54</v>
      </c>
      <c r="O56" s="15">
        <f t="shared" si="0"/>
        <v>4.3126199999999999</v>
      </c>
      <c r="P56" s="15">
        <f t="shared" si="1"/>
        <v>4.0579836017895019</v>
      </c>
      <c r="Q56" s="99">
        <f t="shared" si="2"/>
        <v>3.0393008947511633E-3</v>
      </c>
      <c r="R56" s="15">
        <f t="shared" si="3"/>
        <v>1.5280490031727081</v>
      </c>
      <c r="S56" s="15">
        <f t="shared" si="4"/>
        <v>9.3712343560000004</v>
      </c>
      <c r="T56" s="15">
        <f t="shared" si="5"/>
        <v>4.3126199999999999</v>
      </c>
      <c r="Y56" t="s">
        <v>189</v>
      </c>
      <c r="Z56">
        <f>'Inventory 1'!M276</f>
        <v>4312.62</v>
      </c>
      <c r="AA56" t="s">
        <v>523</v>
      </c>
    </row>
    <row r="57" spans="2:29" x14ac:dyDescent="0.25">
      <c r="B57">
        <v>55</v>
      </c>
      <c r="O57" s="15">
        <f t="shared" si="0"/>
        <v>4.3126199999999999</v>
      </c>
      <c r="P57" s="15">
        <f t="shared" si="1"/>
        <v>4.0579836017895019</v>
      </c>
      <c r="Q57" s="99">
        <f t="shared" si="2"/>
        <v>3.0393008947511633E-3</v>
      </c>
      <c r="R57" s="15">
        <f t="shared" si="3"/>
        <v>1.5280490031727081</v>
      </c>
      <c r="S57" s="15">
        <f t="shared" si="4"/>
        <v>9.3712343560000004</v>
      </c>
      <c r="T57" s="15">
        <f t="shared" si="5"/>
        <v>4.3126199999999999</v>
      </c>
    </row>
    <row r="58" spans="2:29" x14ac:dyDescent="0.25">
      <c r="B58">
        <v>56</v>
      </c>
      <c r="O58" s="15">
        <f t="shared" si="0"/>
        <v>4.3126199999999999</v>
      </c>
      <c r="P58" s="15">
        <f t="shared" si="1"/>
        <v>4.0579836017895019</v>
      </c>
      <c r="Q58" s="99">
        <f t="shared" si="2"/>
        <v>3.0393008947511633E-3</v>
      </c>
      <c r="R58" s="15">
        <f t="shared" si="3"/>
        <v>1.5280490031727081</v>
      </c>
      <c r="S58" s="15">
        <f t="shared" si="4"/>
        <v>9.3712343560000004</v>
      </c>
      <c r="T58" s="15">
        <f t="shared" si="5"/>
        <v>4.3126199999999999</v>
      </c>
    </row>
    <row r="59" spans="2:29" x14ac:dyDescent="0.25">
      <c r="B59">
        <v>57</v>
      </c>
      <c r="O59" s="15">
        <f t="shared" si="0"/>
        <v>4.3126199999999999</v>
      </c>
      <c r="P59" s="15">
        <f t="shared" si="1"/>
        <v>4.0579836017895019</v>
      </c>
      <c r="Q59" s="99">
        <f t="shared" si="2"/>
        <v>3.0393008947511633E-3</v>
      </c>
      <c r="R59" s="15">
        <f t="shared" si="3"/>
        <v>1.5280490031727081</v>
      </c>
      <c r="S59" s="15">
        <f t="shared" si="4"/>
        <v>9.3712343560000004</v>
      </c>
      <c r="T59" s="15">
        <f t="shared" si="5"/>
        <v>4.3126199999999999</v>
      </c>
    </row>
    <row r="60" spans="2:29" x14ac:dyDescent="0.25">
      <c r="B60">
        <v>58</v>
      </c>
      <c r="O60" s="15">
        <f t="shared" si="0"/>
        <v>4.3126199999999999</v>
      </c>
      <c r="P60" s="15">
        <f t="shared" si="1"/>
        <v>4.0579836017895019</v>
      </c>
      <c r="Q60" s="99">
        <f t="shared" si="2"/>
        <v>3.0393008947511633E-3</v>
      </c>
      <c r="R60" s="15">
        <f t="shared" si="3"/>
        <v>1.5280490031727081</v>
      </c>
      <c r="S60" s="15">
        <f t="shared" si="4"/>
        <v>9.3712343560000004</v>
      </c>
      <c r="T60" s="15">
        <f t="shared" si="5"/>
        <v>4.3126199999999999</v>
      </c>
    </row>
    <row r="61" spans="2:29" x14ac:dyDescent="0.25">
      <c r="B61">
        <v>59</v>
      </c>
      <c r="O61" s="15">
        <f t="shared" si="0"/>
        <v>4.3126199999999999</v>
      </c>
      <c r="P61" s="15">
        <f t="shared" si="1"/>
        <v>4.0579836017895019</v>
      </c>
      <c r="Q61" s="99">
        <f t="shared" si="2"/>
        <v>3.0393008947511633E-3</v>
      </c>
      <c r="R61" s="15">
        <f t="shared" si="3"/>
        <v>1.5280490031727081</v>
      </c>
      <c r="S61" s="15">
        <f t="shared" si="4"/>
        <v>9.3712343560000004</v>
      </c>
      <c r="T61" s="15">
        <f t="shared" si="5"/>
        <v>4.3126199999999999</v>
      </c>
    </row>
    <row r="62" spans="2:29" x14ac:dyDescent="0.25">
      <c r="B62">
        <v>60</v>
      </c>
      <c r="O62" s="15">
        <f t="shared" si="0"/>
        <v>4.3126199999999999</v>
      </c>
      <c r="P62" s="15">
        <f t="shared" si="1"/>
        <v>4.0579836017895019</v>
      </c>
      <c r="Q62" s="99">
        <f t="shared" si="2"/>
        <v>3.0393008947511633E-3</v>
      </c>
      <c r="R62" s="15">
        <f t="shared" si="3"/>
        <v>1.5280490031727081</v>
      </c>
      <c r="S62" s="15">
        <f t="shared" si="4"/>
        <v>9.3712343560000004</v>
      </c>
      <c r="T62" s="15">
        <f t="shared" si="5"/>
        <v>4.3126199999999999</v>
      </c>
    </row>
    <row r="63" spans="2:29" x14ac:dyDescent="0.25">
      <c r="B63">
        <v>61</v>
      </c>
      <c r="O63" s="15">
        <f t="shared" si="0"/>
        <v>4.3126199999999999</v>
      </c>
      <c r="P63" s="15">
        <f t="shared" si="1"/>
        <v>4.0579836017895019</v>
      </c>
      <c r="Q63" s="99">
        <f t="shared" si="2"/>
        <v>3.0393008947511633E-3</v>
      </c>
      <c r="R63" s="15">
        <f t="shared" si="3"/>
        <v>1.5280490031727081</v>
      </c>
      <c r="S63" s="15">
        <f t="shared" si="4"/>
        <v>9.3712343560000004</v>
      </c>
      <c r="T63" s="15">
        <f t="shared" si="5"/>
        <v>4.3126199999999999</v>
      </c>
    </row>
    <row r="64" spans="2:29" x14ac:dyDescent="0.25">
      <c r="B64">
        <v>62</v>
      </c>
      <c r="O64" s="15">
        <f t="shared" si="0"/>
        <v>4.3126199999999999</v>
      </c>
      <c r="P64" s="15">
        <f t="shared" si="1"/>
        <v>4.0579836017895019</v>
      </c>
      <c r="Q64" s="99">
        <f t="shared" si="2"/>
        <v>3.0393008947511633E-3</v>
      </c>
      <c r="R64" s="15">
        <f t="shared" si="3"/>
        <v>1.5280490031727081</v>
      </c>
      <c r="S64" s="15">
        <f t="shared" si="4"/>
        <v>9.3712343560000004</v>
      </c>
      <c r="T64" s="15">
        <f t="shared" si="5"/>
        <v>4.3126199999999999</v>
      </c>
    </row>
    <row r="65" spans="2:20" x14ac:dyDescent="0.25">
      <c r="B65">
        <v>63</v>
      </c>
      <c r="O65" s="15">
        <f t="shared" si="0"/>
        <v>4.3126199999999999</v>
      </c>
      <c r="P65" s="15">
        <f t="shared" si="1"/>
        <v>4.0579836017895019</v>
      </c>
      <c r="Q65" s="99">
        <f t="shared" si="2"/>
        <v>3.0393008947511633E-3</v>
      </c>
      <c r="R65" s="15">
        <f t="shared" si="3"/>
        <v>1.5280490031727081</v>
      </c>
      <c r="S65" s="15">
        <f t="shared" si="4"/>
        <v>9.3712343560000004</v>
      </c>
      <c r="T65" s="15">
        <f t="shared" si="5"/>
        <v>4.3126199999999999</v>
      </c>
    </row>
    <row r="66" spans="2:20" x14ac:dyDescent="0.25">
      <c r="B66">
        <v>64</v>
      </c>
      <c r="O66" s="15">
        <f t="shared" si="0"/>
        <v>4.3126199999999999</v>
      </c>
      <c r="P66" s="15">
        <f t="shared" si="1"/>
        <v>4.0579836017895019</v>
      </c>
      <c r="Q66" s="99">
        <f t="shared" si="2"/>
        <v>3.0393008947511633E-3</v>
      </c>
      <c r="R66" s="15">
        <f t="shared" si="3"/>
        <v>1.5280490031727081</v>
      </c>
      <c r="S66" s="15">
        <f t="shared" si="4"/>
        <v>9.3712343560000004</v>
      </c>
      <c r="T66" s="15">
        <f t="shared" si="5"/>
        <v>4.3126199999999999</v>
      </c>
    </row>
    <row r="67" spans="2:20" x14ac:dyDescent="0.25">
      <c r="B67">
        <v>65</v>
      </c>
      <c r="O67" s="15">
        <f t="shared" si="0"/>
        <v>4.3126199999999999</v>
      </c>
      <c r="P67" s="15">
        <f t="shared" si="1"/>
        <v>4.0579836017895019</v>
      </c>
      <c r="Q67" s="99">
        <f t="shared" si="2"/>
        <v>3.0393008947511633E-3</v>
      </c>
      <c r="R67" s="15">
        <f t="shared" si="3"/>
        <v>1.5280490031727081</v>
      </c>
      <c r="S67" s="15">
        <f t="shared" si="4"/>
        <v>9.3712343560000004</v>
      </c>
      <c r="T67" s="15">
        <f t="shared" si="5"/>
        <v>4.3126199999999999</v>
      </c>
    </row>
    <row r="68" spans="2:20" x14ac:dyDescent="0.25">
      <c r="B68">
        <v>66</v>
      </c>
      <c r="O68" s="15">
        <f t="shared" ref="O68" si="6">$AC$6</f>
        <v>4.3126199999999999</v>
      </c>
      <c r="P68" s="15">
        <f t="shared" ref="P68" si="7">$AC$7</f>
        <v>4.0579836017895019</v>
      </c>
      <c r="Q68" s="99">
        <f t="shared" ref="Q68" si="8">$AC$8</f>
        <v>3.0393008947511633E-3</v>
      </c>
      <c r="R68" s="15">
        <f t="shared" ref="R68" si="9">$AC$9</f>
        <v>1.5280490031727081</v>
      </c>
      <c r="S68" s="15">
        <f t="shared" ref="S68" si="10">$AC$10</f>
        <v>9.3712343560000004</v>
      </c>
      <c r="T68" s="15">
        <f t="shared" ref="T68" si="11">$AC$11</f>
        <v>4.3126199999999999</v>
      </c>
    </row>
    <row r="69" spans="2:20" x14ac:dyDescent="0.25">
      <c r="B69">
        <v>67</v>
      </c>
    </row>
    <row r="70" spans="2:20" x14ac:dyDescent="0.25">
      <c r="B70">
        <v>68</v>
      </c>
    </row>
    <row r="71" spans="2:20" x14ac:dyDescent="0.25">
      <c r="B71">
        <v>69</v>
      </c>
    </row>
    <row r="72" spans="2:20" x14ac:dyDescent="0.25">
      <c r="B72">
        <v>70</v>
      </c>
    </row>
    <row r="73" spans="2:20" x14ac:dyDescent="0.25">
      <c r="B73">
        <v>71</v>
      </c>
    </row>
    <row r="74" spans="2:20" x14ac:dyDescent="0.25">
      <c r="B74">
        <v>72</v>
      </c>
    </row>
    <row r="75" spans="2:20" x14ac:dyDescent="0.25">
      <c r="B75">
        <v>73</v>
      </c>
    </row>
    <row r="76" spans="2:20" x14ac:dyDescent="0.25">
      <c r="B76">
        <v>74</v>
      </c>
    </row>
    <row r="77" spans="2:20" x14ac:dyDescent="0.25">
      <c r="B77">
        <v>75</v>
      </c>
    </row>
    <row r="78" spans="2:20" x14ac:dyDescent="0.25">
      <c r="B78">
        <v>76</v>
      </c>
    </row>
    <row r="79" spans="2:20" x14ac:dyDescent="0.25">
      <c r="B79">
        <v>77</v>
      </c>
    </row>
    <row r="80" spans="2:20" x14ac:dyDescent="0.25">
      <c r="B80">
        <v>78</v>
      </c>
    </row>
    <row r="81" spans="2:2" x14ac:dyDescent="0.25">
      <c r="B81">
        <v>79</v>
      </c>
    </row>
    <row r="82" spans="2:2" x14ac:dyDescent="0.25">
      <c r="B82">
        <v>80</v>
      </c>
    </row>
    <row r="83" spans="2:2" x14ac:dyDescent="0.25">
      <c r="B83">
        <v>81</v>
      </c>
    </row>
    <row r="84" spans="2:2" x14ac:dyDescent="0.25">
      <c r="B84">
        <v>82</v>
      </c>
    </row>
    <row r="85" spans="2:2" x14ac:dyDescent="0.25">
      <c r="B85">
        <v>83</v>
      </c>
    </row>
    <row r="86" spans="2:2" x14ac:dyDescent="0.25">
      <c r="B86">
        <v>84</v>
      </c>
    </row>
    <row r="87" spans="2:2" x14ac:dyDescent="0.25">
      <c r="B87">
        <v>85</v>
      </c>
    </row>
    <row r="88" spans="2:2" x14ac:dyDescent="0.25">
      <c r="B88">
        <v>86</v>
      </c>
    </row>
    <row r="89" spans="2:2" x14ac:dyDescent="0.25">
      <c r="B89">
        <v>87</v>
      </c>
    </row>
    <row r="90" spans="2:2" x14ac:dyDescent="0.25">
      <c r="B90">
        <v>88</v>
      </c>
    </row>
    <row r="91" spans="2:2" x14ac:dyDescent="0.25">
      <c r="B91">
        <v>89</v>
      </c>
    </row>
    <row r="92" spans="2:2" x14ac:dyDescent="0.25">
      <c r="B92">
        <v>90</v>
      </c>
    </row>
    <row r="93" spans="2:2" x14ac:dyDescent="0.25">
      <c r="B93">
        <v>91</v>
      </c>
    </row>
    <row r="94" spans="2:2" x14ac:dyDescent="0.25">
      <c r="B94">
        <v>92</v>
      </c>
    </row>
    <row r="95" spans="2:2" x14ac:dyDescent="0.25">
      <c r="B95">
        <v>93</v>
      </c>
    </row>
    <row r="96" spans="2:2" x14ac:dyDescent="0.25">
      <c r="B96">
        <v>94</v>
      </c>
    </row>
    <row r="97" spans="2:2" x14ac:dyDescent="0.25">
      <c r="B97">
        <v>95</v>
      </c>
    </row>
    <row r="98" spans="2:2" x14ac:dyDescent="0.25">
      <c r="B98">
        <v>96</v>
      </c>
    </row>
    <row r="99" spans="2:2" x14ac:dyDescent="0.25">
      <c r="B99">
        <v>97</v>
      </c>
    </row>
    <row r="100" spans="2:2" x14ac:dyDescent="0.25">
      <c r="B100">
        <v>98</v>
      </c>
    </row>
    <row r="101" spans="2:2" x14ac:dyDescent="0.25">
      <c r="B101">
        <v>99</v>
      </c>
    </row>
    <row r="102" spans="2:2" x14ac:dyDescent="0.25">
      <c r="B102">
        <v>100</v>
      </c>
    </row>
    <row r="103" spans="2:2" x14ac:dyDescent="0.25">
      <c r="B103">
        <v>101</v>
      </c>
    </row>
    <row r="104" spans="2:2" x14ac:dyDescent="0.25">
      <c r="B104">
        <v>102</v>
      </c>
    </row>
    <row r="105" spans="2:2" x14ac:dyDescent="0.25">
      <c r="B105">
        <v>103</v>
      </c>
    </row>
    <row r="106" spans="2:2" x14ac:dyDescent="0.25">
      <c r="B106">
        <v>104</v>
      </c>
    </row>
    <row r="107" spans="2:2" x14ac:dyDescent="0.25">
      <c r="B107">
        <v>105</v>
      </c>
    </row>
    <row r="108" spans="2:2" x14ac:dyDescent="0.25">
      <c r="B108">
        <v>106</v>
      </c>
    </row>
    <row r="109" spans="2:2" x14ac:dyDescent="0.25">
      <c r="B109">
        <v>107</v>
      </c>
    </row>
    <row r="110" spans="2:2" x14ac:dyDescent="0.25">
      <c r="B110">
        <v>108</v>
      </c>
    </row>
    <row r="111" spans="2:2" x14ac:dyDescent="0.25">
      <c r="B111">
        <v>109</v>
      </c>
    </row>
    <row r="112" spans="2:2" x14ac:dyDescent="0.25">
      <c r="B112">
        <v>110</v>
      </c>
    </row>
    <row r="113" spans="2:2" x14ac:dyDescent="0.25">
      <c r="B113">
        <v>111</v>
      </c>
    </row>
    <row r="114" spans="2:2" x14ac:dyDescent="0.25">
      <c r="B114">
        <v>112</v>
      </c>
    </row>
    <row r="115" spans="2:2" x14ac:dyDescent="0.25">
      <c r="B115">
        <v>113</v>
      </c>
    </row>
    <row r="116" spans="2:2" x14ac:dyDescent="0.25">
      <c r="B116">
        <v>114</v>
      </c>
    </row>
    <row r="117" spans="2:2" x14ac:dyDescent="0.25">
      <c r="B117">
        <v>115</v>
      </c>
    </row>
    <row r="118" spans="2:2" x14ac:dyDescent="0.25">
      <c r="B118">
        <v>116</v>
      </c>
    </row>
    <row r="119" spans="2:2" x14ac:dyDescent="0.25">
      <c r="B119">
        <v>117</v>
      </c>
    </row>
    <row r="120" spans="2:2" x14ac:dyDescent="0.25">
      <c r="B120">
        <v>118</v>
      </c>
    </row>
    <row r="121" spans="2:2" x14ac:dyDescent="0.25">
      <c r="B121">
        <v>119</v>
      </c>
    </row>
    <row r="122" spans="2:2" x14ac:dyDescent="0.25">
      <c r="B122">
        <v>120</v>
      </c>
    </row>
    <row r="123" spans="2:2" x14ac:dyDescent="0.25">
      <c r="B123">
        <v>121</v>
      </c>
    </row>
    <row r="124" spans="2:2" x14ac:dyDescent="0.25">
      <c r="B124">
        <v>122</v>
      </c>
    </row>
    <row r="125" spans="2:2" x14ac:dyDescent="0.25">
      <c r="B125">
        <v>123</v>
      </c>
    </row>
    <row r="126" spans="2:2" x14ac:dyDescent="0.25">
      <c r="B126">
        <v>124</v>
      </c>
    </row>
    <row r="127" spans="2:2" x14ac:dyDescent="0.25">
      <c r="B127">
        <v>125</v>
      </c>
    </row>
    <row r="128" spans="2:2" x14ac:dyDescent="0.25">
      <c r="B128">
        <v>126</v>
      </c>
    </row>
    <row r="129" spans="2:2" x14ac:dyDescent="0.25">
      <c r="B129">
        <v>127</v>
      </c>
    </row>
    <row r="130" spans="2:2" x14ac:dyDescent="0.25">
      <c r="B130">
        <v>128</v>
      </c>
    </row>
    <row r="131" spans="2:2" x14ac:dyDescent="0.25">
      <c r="B131">
        <v>129</v>
      </c>
    </row>
    <row r="132" spans="2:2" x14ac:dyDescent="0.25">
      <c r="B132">
        <v>130</v>
      </c>
    </row>
    <row r="133" spans="2:2" x14ac:dyDescent="0.25">
      <c r="B133">
        <v>131</v>
      </c>
    </row>
    <row r="134" spans="2:2" x14ac:dyDescent="0.25">
      <c r="B134">
        <v>132</v>
      </c>
    </row>
    <row r="135" spans="2:2" x14ac:dyDescent="0.25">
      <c r="B135">
        <v>133</v>
      </c>
    </row>
    <row r="136" spans="2:2" x14ac:dyDescent="0.25">
      <c r="B136">
        <v>134</v>
      </c>
    </row>
    <row r="137" spans="2:2" x14ac:dyDescent="0.25">
      <c r="B137">
        <v>135</v>
      </c>
    </row>
    <row r="138" spans="2:2" x14ac:dyDescent="0.25">
      <c r="B138">
        <v>136</v>
      </c>
    </row>
    <row r="139" spans="2:2" x14ac:dyDescent="0.25">
      <c r="B139">
        <v>137</v>
      </c>
    </row>
    <row r="140" spans="2:2" x14ac:dyDescent="0.25">
      <c r="B140">
        <v>138</v>
      </c>
    </row>
    <row r="141" spans="2:2" x14ac:dyDescent="0.25">
      <c r="B141">
        <v>139</v>
      </c>
    </row>
    <row r="142" spans="2:2" x14ac:dyDescent="0.25">
      <c r="B142">
        <v>140</v>
      </c>
    </row>
    <row r="143" spans="2:2" x14ac:dyDescent="0.25">
      <c r="B143">
        <v>141</v>
      </c>
    </row>
    <row r="144" spans="2:2" x14ac:dyDescent="0.25">
      <c r="B144">
        <v>142</v>
      </c>
    </row>
    <row r="145" spans="2:2" x14ac:dyDescent="0.25">
      <c r="B145">
        <v>143</v>
      </c>
    </row>
    <row r="146" spans="2:2" x14ac:dyDescent="0.25">
      <c r="B146">
        <v>144</v>
      </c>
    </row>
    <row r="147" spans="2:2" x14ac:dyDescent="0.25">
      <c r="B147">
        <v>145</v>
      </c>
    </row>
    <row r="148" spans="2:2" x14ac:dyDescent="0.25">
      <c r="B148">
        <v>146</v>
      </c>
    </row>
    <row r="149" spans="2:2" x14ac:dyDescent="0.25">
      <c r="B149">
        <v>147</v>
      </c>
    </row>
    <row r="150" spans="2:2" x14ac:dyDescent="0.25">
      <c r="B150">
        <v>148</v>
      </c>
    </row>
    <row r="151" spans="2:2" x14ac:dyDescent="0.25">
      <c r="B151">
        <v>149</v>
      </c>
    </row>
    <row r="152" spans="2:2" x14ac:dyDescent="0.25">
      <c r="B152">
        <v>150</v>
      </c>
    </row>
    <row r="153" spans="2:2" x14ac:dyDescent="0.25">
      <c r="B153">
        <v>151</v>
      </c>
    </row>
    <row r="154" spans="2:2" x14ac:dyDescent="0.25">
      <c r="B154">
        <v>152</v>
      </c>
    </row>
    <row r="155" spans="2:2" x14ac:dyDescent="0.25">
      <c r="B155">
        <v>153</v>
      </c>
    </row>
    <row r="156" spans="2:2" x14ac:dyDescent="0.25">
      <c r="B156">
        <v>154</v>
      </c>
    </row>
    <row r="157" spans="2:2" x14ac:dyDescent="0.25">
      <c r="B157">
        <v>155</v>
      </c>
    </row>
    <row r="158" spans="2:2" x14ac:dyDescent="0.25">
      <c r="B158">
        <v>156</v>
      </c>
    </row>
    <row r="159" spans="2:2" x14ac:dyDescent="0.25">
      <c r="B159">
        <v>157</v>
      </c>
    </row>
    <row r="160" spans="2:2" x14ac:dyDescent="0.25">
      <c r="B160">
        <v>158</v>
      </c>
    </row>
    <row r="161" spans="2:2" x14ac:dyDescent="0.25">
      <c r="B161">
        <v>159</v>
      </c>
    </row>
    <row r="162" spans="2:2" x14ac:dyDescent="0.25">
      <c r="B162">
        <v>160</v>
      </c>
    </row>
    <row r="163" spans="2:2" x14ac:dyDescent="0.25">
      <c r="B163">
        <v>161</v>
      </c>
    </row>
    <row r="164" spans="2:2" x14ac:dyDescent="0.25">
      <c r="B164">
        <v>162</v>
      </c>
    </row>
    <row r="165" spans="2:2" x14ac:dyDescent="0.25">
      <c r="B165">
        <v>163</v>
      </c>
    </row>
    <row r="166" spans="2:2" x14ac:dyDescent="0.25">
      <c r="B166">
        <v>164</v>
      </c>
    </row>
    <row r="167" spans="2:2" x14ac:dyDescent="0.25">
      <c r="B167">
        <v>165</v>
      </c>
    </row>
    <row r="168" spans="2:2" x14ac:dyDescent="0.25">
      <c r="B168">
        <v>166</v>
      </c>
    </row>
    <row r="169" spans="2:2" x14ac:dyDescent="0.25">
      <c r="B169">
        <v>167</v>
      </c>
    </row>
    <row r="170" spans="2:2" x14ac:dyDescent="0.25">
      <c r="B170">
        <v>168</v>
      </c>
    </row>
    <row r="171" spans="2:2" x14ac:dyDescent="0.25">
      <c r="B171">
        <v>169</v>
      </c>
    </row>
    <row r="172" spans="2:2" x14ac:dyDescent="0.25">
      <c r="B172">
        <v>170</v>
      </c>
    </row>
    <row r="173" spans="2:2" x14ac:dyDescent="0.25">
      <c r="B173">
        <v>171</v>
      </c>
    </row>
    <row r="174" spans="2:2" x14ac:dyDescent="0.25">
      <c r="B174">
        <v>172</v>
      </c>
    </row>
    <row r="175" spans="2:2" x14ac:dyDescent="0.25">
      <c r="B175">
        <v>173</v>
      </c>
    </row>
    <row r="176" spans="2:2" x14ac:dyDescent="0.25">
      <c r="B176">
        <v>174</v>
      </c>
    </row>
    <row r="177" spans="2:2" x14ac:dyDescent="0.25">
      <c r="B177">
        <v>175</v>
      </c>
    </row>
    <row r="178" spans="2:2" x14ac:dyDescent="0.25">
      <c r="B178">
        <v>176</v>
      </c>
    </row>
    <row r="179" spans="2:2" x14ac:dyDescent="0.25">
      <c r="B179">
        <v>177</v>
      </c>
    </row>
    <row r="180" spans="2:2" x14ac:dyDescent="0.25">
      <c r="B180">
        <v>178</v>
      </c>
    </row>
    <row r="181" spans="2:2" x14ac:dyDescent="0.25">
      <c r="B181">
        <v>179</v>
      </c>
    </row>
    <row r="182" spans="2:2" x14ac:dyDescent="0.25">
      <c r="B182">
        <v>180</v>
      </c>
    </row>
    <row r="183" spans="2:2" x14ac:dyDescent="0.25">
      <c r="B183">
        <v>181</v>
      </c>
    </row>
    <row r="184" spans="2:2" x14ac:dyDescent="0.25">
      <c r="B184">
        <v>182</v>
      </c>
    </row>
    <row r="185" spans="2:2" x14ac:dyDescent="0.25">
      <c r="B185">
        <v>183</v>
      </c>
    </row>
    <row r="186" spans="2:2" x14ac:dyDescent="0.25">
      <c r="B186">
        <v>184</v>
      </c>
    </row>
    <row r="187" spans="2:2" x14ac:dyDescent="0.25">
      <c r="B187">
        <v>185</v>
      </c>
    </row>
    <row r="188" spans="2:2" x14ac:dyDescent="0.25">
      <c r="B188">
        <v>186</v>
      </c>
    </row>
    <row r="189" spans="2:2" x14ac:dyDescent="0.25">
      <c r="B189">
        <v>187</v>
      </c>
    </row>
    <row r="190" spans="2:2" x14ac:dyDescent="0.25">
      <c r="B190">
        <v>188</v>
      </c>
    </row>
    <row r="191" spans="2:2" x14ac:dyDescent="0.25">
      <c r="B191">
        <v>189</v>
      </c>
    </row>
    <row r="192" spans="2:2" x14ac:dyDescent="0.25">
      <c r="B192">
        <v>190</v>
      </c>
    </row>
    <row r="193" spans="2:2" x14ac:dyDescent="0.25">
      <c r="B193">
        <v>191</v>
      </c>
    </row>
    <row r="194" spans="2:2" x14ac:dyDescent="0.25">
      <c r="B194">
        <v>192</v>
      </c>
    </row>
    <row r="195" spans="2:2" x14ac:dyDescent="0.25">
      <c r="B195">
        <v>193</v>
      </c>
    </row>
    <row r="196" spans="2:2" x14ac:dyDescent="0.25">
      <c r="B196">
        <v>194</v>
      </c>
    </row>
    <row r="197" spans="2:2" x14ac:dyDescent="0.25">
      <c r="B197">
        <v>195</v>
      </c>
    </row>
    <row r="198" spans="2:2" x14ac:dyDescent="0.25">
      <c r="B198">
        <v>196</v>
      </c>
    </row>
    <row r="199" spans="2:2" x14ac:dyDescent="0.25">
      <c r="B199">
        <v>197</v>
      </c>
    </row>
    <row r="200" spans="2:2" x14ac:dyDescent="0.25">
      <c r="B200">
        <v>198</v>
      </c>
    </row>
    <row r="201" spans="2:2" x14ac:dyDescent="0.25">
      <c r="B201">
        <v>199</v>
      </c>
    </row>
    <row r="202" spans="2:2" x14ac:dyDescent="0.25">
      <c r="B202">
        <v>200</v>
      </c>
    </row>
    <row r="203" spans="2:2" x14ac:dyDescent="0.25">
      <c r="B203">
        <v>201</v>
      </c>
    </row>
    <row r="204" spans="2:2" x14ac:dyDescent="0.25">
      <c r="B204">
        <v>202</v>
      </c>
    </row>
    <row r="205" spans="2:2" x14ac:dyDescent="0.25">
      <c r="B205">
        <v>203</v>
      </c>
    </row>
    <row r="206" spans="2:2" x14ac:dyDescent="0.25">
      <c r="B206">
        <v>204</v>
      </c>
    </row>
    <row r="207" spans="2:2" x14ac:dyDescent="0.25">
      <c r="B207">
        <v>205</v>
      </c>
    </row>
    <row r="208" spans="2:2" x14ac:dyDescent="0.25">
      <c r="B208">
        <v>206</v>
      </c>
    </row>
    <row r="209" spans="2:2" x14ac:dyDescent="0.25">
      <c r="B209">
        <v>207</v>
      </c>
    </row>
    <row r="210" spans="2:2" x14ac:dyDescent="0.25">
      <c r="B210">
        <v>208</v>
      </c>
    </row>
    <row r="211" spans="2:2" x14ac:dyDescent="0.25">
      <c r="B211">
        <v>209</v>
      </c>
    </row>
    <row r="212" spans="2:2" x14ac:dyDescent="0.25">
      <c r="B212">
        <v>210</v>
      </c>
    </row>
    <row r="213" spans="2:2" x14ac:dyDescent="0.25">
      <c r="B213">
        <v>211</v>
      </c>
    </row>
    <row r="214" spans="2:2" x14ac:dyDescent="0.25">
      <c r="B214">
        <v>212</v>
      </c>
    </row>
    <row r="215" spans="2:2" x14ac:dyDescent="0.25">
      <c r="B215">
        <v>213</v>
      </c>
    </row>
    <row r="216" spans="2:2" x14ac:dyDescent="0.25">
      <c r="B216">
        <v>214</v>
      </c>
    </row>
    <row r="217" spans="2:2" x14ac:dyDescent="0.25">
      <c r="B217">
        <v>215</v>
      </c>
    </row>
    <row r="218" spans="2:2" x14ac:dyDescent="0.25">
      <c r="B218">
        <v>216</v>
      </c>
    </row>
    <row r="219" spans="2:2" x14ac:dyDescent="0.25">
      <c r="B219">
        <v>217</v>
      </c>
    </row>
    <row r="220" spans="2:2" x14ac:dyDescent="0.25">
      <c r="B220">
        <v>218</v>
      </c>
    </row>
    <row r="221" spans="2:2" x14ac:dyDescent="0.25">
      <c r="B221">
        <v>219</v>
      </c>
    </row>
    <row r="222" spans="2:2" x14ac:dyDescent="0.25">
      <c r="B222">
        <v>220</v>
      </c>
    </row>
    <row r="223" spans="2:2" x14ac:dyDescent="0.25">
      <c r="B223">
        <v>221</v>
      </c>
    </row>
    <row r="224" spans="2:2" x14ac:dyDescent="0.25">
      <c r="B224">
        <v>222</v>
      </c>
    </row>
    <row r="225" spans="2:2" x14ac:dyDescent="0.25">
      <c r="B225">
        <v>223</v>
      </c>
    </row>
    <row r="226" spans="2:2" x14ac:dyDescent="0.25">
      <c r="B226">
        <v>224</v>
      </c>
    </row>
    <row r="227" spans="2:2" x14ac:dyDescent="0.25">
      <c r="B227">
        <v>225</v>
      </c>
    </row>
    <row r="228" spans="2:2" x14ac:dyDescent="0.25">
      <c r="B228">
        <v>226</v>
      </c>
    </row>
    <row r="229" spans="2:2" x14ac:dyDescent="0.25">
      <c r="B229">
        <v>227</v>
      </c>
    </row>
    <row r="230" spans="2:2" x14ac:dyDescent="0.25">
      <c r="B230">
        <v>228</v>
      </c>
    </row>
    <row r="231" spans="2:2" x14ac:dyDescent="0.25">
      <c r="B231">
        <v>229</v>
      </c>
    </row>
    <row r="232" spans="2:2" x14ac:dyDescent="0.25">
      <c r="B232">
        <v>230</v>
      </c>
    </row>
    <row r="233" spans="2:2" x14ac:dyDescent="0.25">
      <c r="B233">
        <v>231</v>
      </c>
    </row>
    <row r="234" spans="2:2" x14ac:dyDescent="0.25">
      <c r="B234">
        <v>232</v>
      </c>
    </row>
    <row r="235" spans="2:2" x14ac:dyDescent="0.25">
      <c r="B235">
        <v>233</v>
      </c>
    </row>
    <row r="236" spans="2:2" x14ac:dyDescent="0.25">
      <c r="B236">
        <v>234</v>
      </c>
    </row>
    <row r="237" spans="2:2" x14ac:dyDescent="0.25">
      <c r="B237">
        <v>235</v>
      </c>
    </row>
  </sheetData>
  <mergeCells count="12">
    <mergeCell ref="Y29:AA30"/>
    <mergeCell ref="Y35:AA36"/>
    <mergeCell ref="Y44:AA45"/>
    <mergeCell ref="Y53:AA54"/>
    <mergeCell ref="K1:M1"/>
    <mergeCell ref="N1:O1"/>
    <mergeCell ref="P1:S1"/>
    <mergeCell ref="Y15:AA16"/>
    <mergeCell ref="Y21:AA22"/>
    <mergeCell ref="Y2:Y4"/>
    <mergeCell ref="Y5:Y6"/>
    <mergeCell ref="Y7:Y10"/>
  </mergeCells>
  <phoneticPr fontId="20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F97B-6C0B-4891-BF74-D31B097B56B3}">
  <dimension ref="A2:C3"/>
  <sheetViews>
    <sheetView workbookViewId="0">
      <selection activeCell="D12" sqref="D12"/>
    </sheetView>
  </sheetViews>
  <sheetFormatPr defaultRowHeight="15" x14ac:dyDescent="0.25"/>
  <cols>
    <col min="1" max="1" width="33.5703125" customWidth="1"/>
  </cols>
  <sheetData>
    <row r="2" spans="1:3" ht="30" customHeight="1" x14ac:dyDescent="0.25">
      <c r="A2" s="80" t="s">
        <v>712</v>
      </c>
      <c r="B2" s="80" t="s">
        <v>713</v>
      </c>
      <c r="C2" s="80" t="s">
        <v>496</v>
      </c>
    </row>
    <row r="3" spans="1:3" x14ac:dyDescent="0.25">
      <c r="A3" t="s">
        <v>714</v>
      </c>
      <c r="B3" t="s">
        <v>711</v>
      </c>
      <c r="C3" s="15">
        <v>3253.65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DBE0-1C9C-4AFF-82AC-F546F6A00DCD}">
  <dimension ref="A1:S77"/>
  <sheetViews>
    <sheetView topLeftCell="A34" zoomScaleNormal="100" workbookViewId="0">
      <selection activeCell="F49" sqref="F49"/>
    </sheetView>
  </sheetViews>
  <sheetFormatPr defaultRowHeight="15" x14ac:dyDescent="0.25"/>
  <cols>
    <col min="1" max="1" width="22.85546875" bestFit="1" customWidth="1"/>
    <col min="2" max="2" width="15.42578125" bestFit="1" customWidth="1"/>
    <col min="13" max="13" width="27.140625" bestFit="1" customWidth="1"/>
  </cols>
  <sheetData>
    <row r="1" spans="1:3" x14ac:dyDescent="0.25">
      <c r="A1" s="10" t="s">
        <v>583</v>
      </c>
    </row>
    <row r="2" spans="1:3" x14ac:dyDescent="0.25">
      <c r="A2" t="s">
        <v>587</v>
      </c>
    </row>
    <row r="3" spans="1:3" x14ac:dyDescent="0.25">
      <c r="A3" t="s">
        <v>584</v>
      </c>
    </row>
    <row r="4" spans="1:3" x14ac:dyDescent="0.25">
      <c r="A4" t="s">
        <v>585</v>
      </c>
    </row>
    <row r="5" spans="1:3" x14ac:dyDescent="0.25">
      <c r="A5" t="s">
        <v>586</v>
      </c>
    </row>
    <row r="6" spans="1:3" x14ac:dyDescent="0.25">
      <c r="A6">
        <v>1000</v>
      </c>
    </row>
    <row r="7" spans="1:3" x14ac:dyDescent="0.25">
      <c r="A7">
        <v>37</v>
      </c>
      <c r="B7" t="s">
        <v>596</v>
      </c>
    </row>
    <row r="8" spans="1:3" x14ac:dyDescent="0.25">
      <c r="A8" t="s">
        <v>597</v>
      </c>
    </row>
    <row r="9" spans="1:3" x14ac:dyDescent="0.25">
      <c r="A9" t="s">
        <v>171</v>
      </c>
      <c r="B9">
        <v>1.9</v>
      </c>
    </row>
    <row r="10" spans="1:3" x14ac:dyDescent="0.25">
      <c r="A10" t="s">
        <v>172</v>
      </c>
      <c r="B10">
        <v>0.13</v>
      </c>
    </row>
    <row r="11" spans="1:3" x14ac:dyDescent="0.25">
      <c r="A11" t="s">
        <v>588</v>
      </c>
      <c r="B11">
        <v>1.24</v>
      </c>
    </row>
    <row r="12" spans="1:3" x14ac:dyDescent="0.25">
      <c r="A12" t="s">
        <v>173</v>
      </c>
      <c r="B12">
        <v>0.53</v>
      </c>
    </row>
    <row r="13" spans="1:3" x14ac:dyDescent="0.25">
      <c r="A13" t="s">
        <v>589</v>
      </c>
      <c r="B13">
        <f>5040*2</f>
        <v>10080</v>
      </c>
    </row>
    <row r="14" spans="1:3" x14ac:dyDescent="0.25">
      <c r="B14">
        <f>SUM(B9:B13)</f>
        <v>10083.799999999999</v>
      </c>
      <c r="C14" t="s">
        <v>590</v>
      </c>
    </row>
    <row r="15" spans="1:3" x14ac:dyDescent="0.25">
      <c r="B15" s="26">
        <f>B14/1000</f>
        <v>10.0838</v>
      </c>
      <c r="C15" t="s">
        <v>591</v>
      </c>
    </row>
    <row r="17" spans="1:14" x14ac:dyDescent="0.25">
      <c r="A17" t="s">
        <v>699</v>
      </c>
      <c r="B17" s="120">
        <f>A7*B15/A6</f>
        <v>0.3731006</v>
      </c>
      <c r="C17" t="s">
        <v>613</v>
      </c>
    </row>
    <row r="22" spans="1:14" x14ac:dyDescent="0.25">
      <c r="A22" t="s">
        <v>604</v>
      </c>
      <c r="C22" t="s">
        <v>609</v>
      </c>
    </row>
    <row r="23" spans="1:14" x14ac:dyDescent="0.25">
      <c r="A23" t="s">
        <v>605</v>
      </c>
      <c r="B23">
        <v>1.1000000000000001</v>
      </c>
      <c r="D23" t="s">
        <v>607</v>
      </c>
      <c r="E23">
        <v>1</v>
      </c>
    </row>
    <row r="24" spans="1:14" x14ac:dyDescent="0.25">
      <c r="A24" t="s">
        <v>606</v>
      </c>
      <c r="B24">
        <v>2.5</v>
      </c>
      <c r="D24" t="s">
        <v>608</v>
      </c>
      <c r="E24">
        <v>2.5</v>
      </c>
    </row>
    <row r="25" spans="1:14" x14ac:dyDescent="0.25">
      <c r="A25" t="s">
        <v>171</v>
      </c>
      <c r="B25">
        <v>0.3</v>
      </c>
    </row>
    <row r="26" spans="1:14" x14ac:dyDescent="0.25">
      <c r="B26" s="120">
        <f>SUM(B23:B25)</f>
        <v>3.9</v>
      </c>
      <c r="E26" s="120">
        <f>SUM(B26+E23+E24)</f>
        <v>7.4</v>
      </c>
    </row>
    <row r="30" spans="1:14" x14ac:dyDescent="0.25">
      <c r="C30" t="s">
        <v>611</v>
      </c>
    </row>
    <row r="31" spans="1:14" x14ac:dyDescent="0.25">
      <c r="A31" t="s">
        <v>610</v>
      </c>
      <c r="B31" t="s">
        <v>175</v>
      </c>
      <c r="C31">
        <v>0.36</v>
      </c>
      <c r="I31" t="s">
        <v>617</v>
      </c>
      <c r="L31" t="s">
        <v>618</v>
      </c>
    </row>
    <row r="32" spans="1:14" x14ac:dyDescent="0.25">
      <c r="A32" t="s">
        <v>612</v>
      </c>
      <c r="B32" t="s">
        <v>48</v>
      </c>
      <c r="C32">
        <v>0.12</v>
      </c>
      <c r="I32" t="s">
        <v>616</v>
      </c>
      <c r="M32" s="121">
        <v>0.38</v>
      </c>
      <c r="N32" t="s">
        <v>613</v>
      </c>
    </row>
    <row r="33" spans="1:17" x14ac:dyDescent="0.25">
      <c r="A33" t="s">
        <v>614</v>
      </c>
      <c r="B33" t="s">
        <v>45</v>
      </c>
      <c r="C33">
        <v>0.12</v>
      </c>
    </row>
    <row r="34" spans="1:17" x14ac:dyDescent="0.25">
      <c r="A34" t="s">
        <v>615</v>
      </c>
      <c r="B34" t="s">
        <v>141</v>
      </c>
      <c r="C34" s="26">
        <f>M32*0.45</f>
        <v>0.17100000000000001</v>
      </c>
      <c r="E34" s="75" t="s">
        <v>619</v>
      </c>
      <c r="F34" s="75"/>
      <c r="G34" s="75"/>
      <c r="H34" s="75"/>
      <c r="I34" s="75"/>
      <c r="J34" s="75"/>
      <c r="K34" s="75"/>
      <c r="L34" s="75"/>
    </row>
    <row r="35" spans="1:17" x14ac:dyDescent="0.25">
      <c r="A35" t="s">
        <v>620</v>
      </c>
      <c r="C35" s="122">
        <f>SUM(C31:C34)</f>
        <v>0.77100000000000002</v>
      </c>
      <c r="D35" t="s">
        <v>613</v>
      </c>
    </row>
    <row r="39" spans="1:17" x14ac:dyDescent="0.25">
      <c r="A39" s="79" t="s">
        <v>667</v>
      </c>
      <c r="B39" s="79"/>
      <c r="C39" s="79"/>
    </row>
    <row r="40" spans="1:17" x14ac:dyDescent="0.25">
      <c r="A40" s="124" t="s">
        <v>655</v>
      </c>
      <c r="F40" t="s">
        <v>550</v>
      </c>
      <c r="H40">
        <v>0.11</v>
      </c>
    </row>
    <row r="41" spans="1:17" x14ac:dyDescent="0.25">
      <c r="A41" s="8" t="s">
        <v>656</v>
      </c>
      <c r="C41" t="s">
        <v>592</v>
      </c>
      <c r="M41" t="s">
        <v>686</v>
      </c>
      <c r="P41" t="s">
        <v>592</v>
      </c>
    </row>
    <row r="42" spans="1:17" x14ac:dyDescent="0.25">
      <c r="A42" t="s">
        <v>657</v>
      </c>
      <c r="C42">
        <v>0.36</v>
      </c>
      <c r="M42" s="8" t="s">
        <v>687</v>
      </c>
      <c r="N42">
        <v>0.27</v>
      </c>
      <c r="O42" t="s">
        <v>22</v>
      </c>
      <c r="P42" s="8">
        <v>0.5</v>
      </c>
      <c r="Q42" t="s">
        <v>702</v>
      </c>
    </row>
    <row r="43" spans="1:17" x14ac:dyDescent="0.25">
      <c r="A43" t="s">
        <v>683</v>
      </c>
      <c r="B43" t="s">
        <v>666</v>
      </c>
      <c r="C43">
        <v>0.36</v>
      </c>
      <c r="M43" s="8" t="s">
        <v>688</v>
      </c>
      <c r="N43">
        <v>25.8</v>
      </c>
      <c r="O43" t="s">
        <v>22</v>
      </c>
      <c r="P43" s="8"/>
      <c r="Q43" t="s">
        <v>698</v>
      </c>
    </row>
    <row r="44" spans="1:17" x14ac:dyDescent="0.25">
      <c r="A44" t="s">
        <v>658</v>
      </c>
      <c r="B44" t="s">
        <v>684</v>
      </c>
      <c r="C44">
        <v>0.21</v>
      </c>
      <c r="M44" s="126" t="s">
        <v>689</v>
      </c>
      <c r="N44">
        <v>30</v>
      </c>
      <c r="O44" t="s">
        <v>690</v>
      </c>
    </row>
    <row r="45" spans="1:17" x14ac:dyDescent="0.25">
      <c r="A45" t="s">
        <v>659</v>
      </c>
      <c r="B45" t="s">
        <v>684</v>
      </c>
      <c r="C45">
        <v>0.36</v>
      </c>
      <c r="M45" s="8" t="s">
        <v>691</v>
      </c>
      <c r="N45">
        <v>6642</v>
      </c>
      <c r="O45" t="s">
        <v>26</v>
      </c>
      <c r="P45">
        <v>0.12</v>
      </c>
      <c r="Q45" t="s">
        <v>695</v>
      </c>
    </row>
    <row r="46" spans="1:17" x14ac:dyDescent="0.25">
      <c r="C46" s="122">
        <f>SUM(C42:C45)</f>
        <v>1.29</v>
      </c>
      <c r="D46" t="s">
        <v>613</v>
      </c>
      <c r="G46">
        <v>0.36</v>
      </c>
      <c r="H46" t="s">
        <v>657</v>
      </c>
      <c r="M46" s="8" t="s">
        <v>692</v>
      </c>
      <c r="N46">
        <v>3630</v>
      </c>
      <c r="O46" t="s">
        <v>26</v>
      </c>
      <c r="P46">
        <v>0.12</v>
      </c>
      <c r="Q46" t="s">
        <v>696</v>
      </c>
    </row>
    <row r="47" spans="1:17" x14ac:dyDescent="0.25">
      <c r="G47">
        <v>0.5</v>
      </c>
      <c r="H47" t="s">
        <v>697</v>
      </c>
      <c r="M47" s="8" t="s">
        <v>693</v>
      </c>
      <c r="N47">
        <v>5236</v>
      </c>
      <c r="O47" t="s">
        <v>26</v>
      </c>
      <c r="P47">
        <v>0.36</v>
      </c>
      <c r="Q47" t="s">
        <v>703</v>
      </c>
    </row>
    <row r="48" spans="1:17" x14ac:dyDescent="0.25">
      <c r="A48" s="8" t="s">
        <v>664</v>
      </c>
      <c r="G48">
        <v>0.12</v>
      </c>
      <c r="H48" t="s">
        <v>700</v>
      </c>
      <c r="M48" s="8" t="s">
        <v>694</v>
      </c>
      <c r="N48">
        <v>7623</v>
      </c>
      <c r="O48" t="s">
        <v>26</v>
      </c>
      <c r="P48">
        <v>0.12</v>
      </c>
      <c r="Q48" t="s">
        <v>705</v>
      </c>
    </row>
    <row r="49" spans="1:19" x14ac:dyDescent="0.25">
      <c r="A49" t="s">
        <v>660</v>
      </c>
      <c r="C49">
        <v>0.36</v>
      </c>
      <c r="G49">
        <v>0.36</v>
      </c>
      <c r="H49" t="s">
        <v>701</v>
      </c>
      <c r="P49" s="35">
        <f>SUM(P42:P48)</f>
        <v>1.2200000000000002</v>
      </c>
    </row>
    <row r="50" spans="1:19" x14ac:dyDescent="0.25">
      <c r="A50" t="s">
        <v>661</v>
      </c>
      <c r="B50" t="s">
        <v>684</v>
      </c>
      <c r="C50">
        <v>0.21</v>
      </c>
      <c r="G50" s="8">
        <f>SUM(G46:G49)</f>
        <v>1.3399999999999999</v>
      </c>
      <c r="H50" t="s">
        <v>613</v>
      </c>
    </row>
    <row r="51" spans="1:19" x14ac:dyDescent="0.25">
      <c r="A51" t="s">
        <v>662</v>
      </c>
      <c r="B51" t="s">
        <v>665</v>
      </c>
      <c r="C51">
        <v>0.27</v>
      </c>
    </row>
    <row r="52" spans="1:19" x14ac:dyDescent="0.25">
      <c r="A52" t="s">
        <v>663</v>
      </c>
      <c r="C52">
        <v>0.36</v>
      </c>
      <c r="Q52">
        <f>0.135*10.8</f>
        <v>1.4580000000000002</v>
      </c>
      <c r="S52" s="133">
        <v>0.13500000000000001</v>
      </c>
    </row>
    <row r="53" spans="1:19" x14ac:dyDescent="0.25">
      <c r="C53" s="122">
        <f>SUM(C49:C52)</f>
        <v>1.2</v>
      </c>
      <c r="D53" t="s">
        <v>613</v>
      </c>
    </row>
    <row r="54" spans="1:19" x14ac:dyDescent="0.25">
      <c r="G54" s="26" t="s">
        <v>772</v>
      </c>
      <c r="H54" s="26"/>
      <c r="I54" s="26"/>
    </row>
    <row r="55" spans="1:19" x14ac:dyDescent="0.25">
      <c r="G55" s="26">
        <v>0.5</v>
      </c>
      <c r="H55" s="26" t="s">
        <v>697</v>
      </c>
      <c r="I55" s="26"/>
      <c r="R55">
        <f>13.5/15*100</f>
        <v>90</v>
      </c>
    </row>
    <row r="56" spans="1:19" x14ac:dyDescent="0.25">
      <c r="A56" s="124" t="s">
        <v>668</v>
      </c>
      <c r="G56" s="26">
        <v>0.12</v>
      </c>
      <c r="H56" s="26" t="s">
        <v>774</v>
      </c>
      <c r="I56" s="26"/>
    </row>
    <row r="57" spans="1:19" x14ac:dyDescent="0.25">
      <c r="A57" s="8" t="s">
        <v>669</v>
      </c>
      <c r="G57" s="26">
        <f>SUM(G55:G56)</f>
        <v>0.62</v>
      </c>
      <c r="H57" s="26" t="s">
        <v>773</v>
      </c>
      <c r="I57" s="26"/>
    </row>
    <row r="58" spans="1:19" x14ac:dyDescent="0.25">
      <c r="A58" t="s">
        <v>670</v>
      </c>
      <c r="C58">
        <v>0.23100000000000001</v>
      </c>
    </row>
    <row r="59" spans="1:19" x14ac:dyDescent="0.25">
      <c r="A59" t="s">
        <v>704</v>
      </c>
      <c r="C59">
        <v>0.27</v>
      </c>
    </row>
    <row r="60" spans="1:19" x14ac:dyDescent="0.25">
      <c r="A60" t="s">
        <v>671</v>
      </c>
      <c r="C60">
        <v>0.27</v>
      </c>
    </row>
    <row r="61" spans="1:19" x14ac:dyDescent="0.25">
      <c r="A61" t="s">
        <v>672</v>
      </c>
      <c r="C61">
        <v>0.502</v>
      </c>
      <c r="D61" t="s">
        <v>685</v>
      </c>
    </row>
    <row r="62" spans="1:19" x14ac:dyDescent="0.25">
      <c r="A62" t="s">
        <v>673</v>
      </c>
      <c r="C62">
        <v>7.6999999999999999E-2</v>
      </c>
    </row>
    <row r="63" spans="1:19" x14ac:dyDescent="0.25">
      <c r="A63" t="s">
        <v>674</v>
      </c>
      <c r="C63">
        <v>0.11600000000000001</v>
      </c>
    </row>
    <row r="64" spans="1:19" x14ac:dyDescent="0.25">
      <c r="A64" t="s">
        <v>675</v>
      </c>
      <c r="C64">
        <v>0.23100000000000001</v>
      </c>
      <c r="F64" t="s">
        <v>134</v>
      </c>
    </row>
    <row r="65" spans="1:4" x14ac:dyDescent="0.25">
      <c r="C65" s="122">
        <f>SUM(C58:C64)</f>
        <v>1.6970000000000003</v>
      </c>
      <c r="D65" t="s">
        <v>613</v>
      </c>
    </row>
    <row r="68" spans="1:4" x14ac:dyDescent="0.25">
      <c r="A68" s="8" t="s">
        <v>676</v>
      </c>
    </row>
    <row r="69" spans="1:4" x14ac:dyDescent="0.25">
      <c r="A69" t="s">
        <v>675</v>
      </c>
      <c r="C69">
        <v>0.23100000000000001</v>
      </c>
    </row>
    <row r="70" spans="1:4" x14ac:dyDescent="0.25">
      <c r="A70" t="s">
        <v>677</v>
      </c>
      <c r="C70">
        <v>0.21</v>
      </c>
    </row>
    <row r="71" spans="1:4" x14ac:dyDescent="0.25">
      <c r="A71" t="s">
        <v>682</v>
      </c>
      <c r="C71">
        <v>8.9999999999999993E-3</v>
      </c>
    </row>
    <row r="72" spans="1:4" x14ac:dyDescent="0.25">
      <c r="A72" t="s">
        <v>678</v>
      </c>
      <c r="C72">
        <v>0.27</v>
      </c>
    </row>
    <row r="73" spans="1:4" x14ac:dyDescent="0.25">
      <c r="A73" t="s">
        <v>679</v>
      </c>
      <c r="C73">
        <v>0.21</v>
      </c>
    </row>
    <row r="74" spans="1:4" x14ac:dyDescent="0.25">
      <c r="A74" t="s">
        <v>682</v>
      </c>
      <c r="C74">
        <v>8.9999999999999993E-3</v>
      </c>
    </row>
    <row r="75" spans="1:4" x14ac:dyDescent="0.25">
      <c r="A75" t="s">
        <v>680</v>
      </c>
      <c r="C75">
        <v>0.11600000000000001</v>
      </c>
    </row>
    <row r="76" spans="1:4" x14ac:dyDescent="0.25">
      <c r="A76" t="s">
        <v>681</v>
      </c>
      <c r="C76">
        <v>0.23100000000000001</v>
      </c>
    </row>
    <row r="77" spans="1:4" x14ac:dyDescent="0.25">
      <c r="C77" s="125">
        <f>SUM(C69:C76)</f>
        <v>1.286</v>
      </c>
      <c r="D77" t="s">
        <v>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7388-7F9C-4C24-B3C3-5C0FF8387AD4}">
  <dimension ref="A1:P31"/>
  <sheetViews>
    <sheetView topLeftCell="A10" zoomScale="115" zoomScaleNormal="115" workbookViewId="0">
      <selection activeCell="I21" sqref="I21"/>
    </sheetView>
  </sheetViews>
  <sheetFormatPr defaultRowHeight="15" x14ac:dyDescent="0.25"/>
  <cols>
    <col min="2" max="2" width="16" bestFit="1" customWidth="1"/>
    <col min="3" max="3" width="10.5703125" bestFit="1" customWidth="1"/>
    <col min="4" max="4" width="9.85546875" customWidth="1"/>
    <col min="5" max="5" width="12.140625" bestFit="1" customWidth="1"/>
    <col min="6" max="6" width="10.85546875" customWidth="1"/>
    <col min="7" max="7" width="12.5703125" customWidth="1"/>
    <col min="8" max="8" width="12" bestFit="1" customWidth="1"/>
  </cols>
  <sheetData>
    <row r="1" spans="1:15" x14ac:dyDescent="0.25">
      <c r="A1" t="s">
        <v>561</v>
      </c>
      <c r="B1" t="s">
        <v>557</v>
      </c>
    </row>
    <row r="2" spans="1:15" x14ac:dyDescent="0.25">
      <c r="B2">
        <v>0.621</v>
      </c>
      <c r="C2" t="s">
        <v>558</v>
      </c>
    </row>
    <row r="3" spans="1:15" x14ac:dyDescent="0.25">
      <c r="A3" t="s">
        <v>466</v>
      </c>
      <c r="B3">
        <v>73</v>
      </c>
      <c r="C3" t="s">
        <v>559</v>
      </c>
    </row>
    <row r="5" spans="1:15" ht="28.35" customHeight="1" x14ac:dyDescent="0.25">
      <c r="B5" s="20" t="s">
        <v>491</v>
      </c>
      <c r="C5" s="94" t="s">
        <v>560</v>
      </c>
      <c r="D5" s="96" t="s">
        <v>555</v>
      </c>
      <c r="E5" s="96" t="s">
        <v>556</v>
      </c>
      <c r="F5" s="96" t="s">
        <v>492</v>
      </c>
      <c r="H5" s="96">
        <f>1/0.621</f>
        <v>1.6103059581320451</v>
      </c>
      <c r="K5">
        <f>(400*1.6*0.15*4.12)/E20</f>
        <v>0.25768066553072067</v>
      </c>
    </row>
    <row r="6" spans="1:15" ht="30" x14ac:dyDescent="0.25">
      <c r="B6" s="96" t="s">
        <v>490</v>
      </c>
      <c r="C6">
        <v>400</v>
      </c>
      <c r="D6">
        <v>4.1280000000000001</v>
      </c>
      <c r="E6">
        <v>6.5</v>
      </c>
      <c r="F6" s="15">
        <f>C6*D6*B2/E6/B3</f>
        <v>2.1610014752370916</v>
      </c>
      <c r="H6">
        <f>1/6.5</f>
        <v>0.15384615384615385</v>
      </c>
    </row>
    <row r="7" spans="1:15" ht="46.7" customHeight="1" x14ac:dyDescent="0.25">
      <c r="B7" s="96" t="s">
        <v>593</v>
      </c>
      <c r="C7">
        <v>100</v>
      </c>
      <c r="D7">
        <v>4.1280000000000001</v>
      </c>
      <c r="E7">
        <v>6.5</v>
      </c>
      <c r="F7" s="15">
        <f>C7*D7*B2/E7/B3</f>
        <v>0.54025036880927291</v>
      </c>
    </row>
    <row r="8" spans="1:15" ht="52.35" customHeight="1" x14ac:dyDescent="0.25">
      <c r="B8" s="96" t="s">
        <v>594</v>
      </c>
      <c r="C8">
        <v>50</v>
      </c>
      <c r="D8">
        <v>4.1280000000000001</v>
      </c>
      <c r="E8">
        <v>6.5</v>
      </c>
      <c r="F8" s="15">
        <f>C8*D8*B2/B3/E8</f>
        <v>0.27012518440463645</v>
      </c>
    </row>
    <row r="10" spans="1:15" x14ac:dyDescent="0.25">
      <c r="O10" t="s">
        <v>590</v>
      </c>
    </row>
    <row r="11" spans="1:15" x14ac:dyDescent="0.25">
      <c r="N11" t="s">
        <v>627</v>
      </c>
      <c r="O11">
        <f>(5000+6250)/2</f>
        <v>5625</v>
      </c>
    </row>
    <row r="12" spans="1:15" x14ac:dyDescent="0.25">
      <c r="E12" t="s">
        <v>637</v>
      </c>
      <c r="N12" t="s">
        <v>628</v>
      </c>
      <c r="O12">
        <f>(138+400)/2</f>
        <v>269</v>
      </c>
    </row>
    <row r="13" spans="1:15" x14ac:dyDescent="0.25">
      <c r="B13" t="s">
        <v>621</v>
      </c>
      <c r="C13" t="s">
        <v>623</v>
      </c>
      <c r="E13" t="s">
        <v>636</v>
      </c>
      <c r="F13">
        <v>1</v>
      </c>
      <c r="N13" t="s">
        <v>158</v>
      </c>
      <c r="O13">
        <v>1.34</v>
      </c>
    </row>
    <row r="14" spans="1:15" x14ac:dyDescent="0.25">
      <c r="B14" t="s">
        <v>624</v>
      </c>
      <c r="C14">
        <v>380</v>
      </c>
      <c r="D14" t="s">
        <v>634</v>
      </c>
      <c r="E14" s="124">
        <f>C21/C18</f>
        <v>1717.948717948718</v>
      </c>
      <c r="F14" t="s">
        <v>653</v>
      </c>
      <c r="N14" t="s">
        <v>207</v>
      </c>
      <c r="O14">
        <v>3.12</v>
      </c>
    </row>
    <row r="15" spans="1:15" x14ac:dyDescent="0.25">
      <c r="B15" t="s">
        <v>632</v>
      </c>
      <c r="C15">
        <v>1</v>
      </c>
      <c r="D15" t="s">
        <v>121</v>
      </c>
      <c r="N15" t="s">
        <v>629</v>
      </c>
      <c r="O15">
        <v>1.4999999999999999E-2</v>
      </c>
    </row>
    <row r="16" spans="1:15" x14ac:dyDescent="0.25">
      <c r="B16" t="s">
        <v>625</v>
      </c>
      <c r="C16" s="8">
        <v>13</v>
      </c>
      <c r="D16" t="s">
        <v>43</v>
      </c>
      <c r="N16" t="s">
        <v>630</v>
      </c>
      <c r="O16">
        <f>(1675+8000)/2</f>
        <v>4837.5</v>
      </c>
    </row>
    <row r="17" spans="1:16" x14ac:dyDescent="0.25">
      <c r="B17" t="s">
        <v>622</v>
      </c>
      <c r="C17">
        <f>C16/C15</f>
        <v>13</v>
      </c>
      <c r="M17" s="198" t="s">
        <v>631</v>
      </c>
      <c r="N17" s="198"/>
      <c r="O17">
        <f>SUM(O11:O16)/1000</f>
        <v>10.735975</v>
      </c>
      <c r="P17" t="s">
        <v>591</v>
      </c>
    </row>
    <row r="18" spans="1:16" x14ac:dyDescent="0.25">
      <c r="B18" t="s">
        <v>626</v>
      </c>
      <c r="C18">
        <v>3.9E-2</v>
      </c>
      <c r="D18" t="s">
        <v>359</v>
      </c>
    </row>
    <row r="19" spans="1:16" x14ac:dyDescent="0.25">
      <c r="E19" t="s">
        <v>638</v>
      </c>
    </row>
    <row r="20" spans="1:16" x14ac:dyDescent="0.25">
      <c r="A20" t="s">
        <v>652</v>
      </c>
      <c r="B20" t="s">
        <v>651</v>
      </c>
      <c r="C20">
        <v>19954</v>
      </c>
      <c r="D20" t="s">
        <v>43</v>
      </c>
      <c r="E20">
        <f>C20/C16</f>
        <v>1534.9230769230769</v>
      </c>
      <c r="F20" t="s">
        <v>639</v>
      </c>
      <c r="I20" s="26" t="s">
        <v>739</v>
      </c>
      <c r="J20" s="26"/>
      <c r="K20" s="26"/>
      <c r="L20" s="26"/>
    </row>
    <row r="21" spans="1:16" x14ac:dyDescent="0.25">
      <c r="B21" t="s">
        <v>633</v>
      </c>
      <c r="C21">
        <v>67</v>
      </c>
      <c r="D21" t="s">
        <v>359</v>
      </c>
    </row>
    <row r="22" spans="1:16" x14ac:dyDescent="0.25">
      <c r="B22" t="s">
        <v>635</v>
      </c>
      <c r="C22">
        <v>100</v>
      </c>
      <c r="D22" t="s">
        <v>410</v>
      </c>
    </row>
    <row r="23" spans="1:16" x14ac:dyDescent="0.25">
      <c r="C23">
        <f>C22*1000000</f>
        <v>100000000</v>
      </c>
    </row>
    <row r="24" spans="1:16" x14ac:dyDescent="0.25">
      <c r="C24">
        <f>C23/C14</f>
        <v>263157.89473684208</v>
      </c>
      <c r="D24" t="s">
        <v>654</v>
      </c>
    </row>
    <row r="26" spans="1:16" x14ac:dyDescent="0.25">
      <c r="B26">
        <f>C24/E14</f>
        <v>153.18146111547523</v>
      </c>
      <c r="C26" t="s">
        <v>641</v>
      </c>
    </row>
    <row r="27" spans="1:16" x14ac:dyDescent="0.25">
      <c r="B27">
        <f>C24/E20</f>
        <v>171.44695958599513</v>
      </c>
      <c r="C27" t="s">
        <v>640</v>
      </c>
    </row>
    <row r="29" spans="1:16" x14ac:dyDescent="0.25">
      <c r="B29" t="s">
        <v>642</v>
      </c>
      <c r="D29" t="s">
        <v>645</v>
      </c>
      <c r="E29" t="s">
        <v>646</v>
      </c>
      <c r="F29" t="s">
        <v>647</v>
      </c>
    </row>
    <row r="30" spans="1:16" x14ac:dyDescent="0.25">
      <c r="B30">
        <v>550</v>
      </c>
      <c r="C30" t="s">
        <v>643</v>
      </c>
      <c r="D30">
        <f>D6</f>
        <v>4.1280000000000001</v>
      </c>
      <c r="E30">
        <f>E6</f>
        <v>6.5</v>
      </c>
      <c r="F30" s="122">
        <f>((B31*D6)/E20)/C15</f>
        <v>0.92447629547960308</v>
      </c>
    </row>
    <row r="31" spans="1:16" x14ac:dyDescent="0.25">
      <c r="B31">
        <f>B30/1.6</f>
        <v>343.75</v>
      </c>
      <c r="C31" t="s">
        <v>644</v>
      </c>
    </row>
  </sheetData>
  <mergeCells count="1">
    <mergeCell ref="M17:N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986B-5D00-4BAB-8989-AB0683A872B9}">
  <dimension ref="B1:G11"/>
  <sheetViews>
    <sheetView workbookViewId="0">
      <selection activeCell="N21" sqref="N21"/>
    </sheetView>
  </sheetViews>
  <sheetFormatPr defaultRowHeight="15" x14ac:dyDescent="0.25"/>
  <cols>
    <col min="2" max="2" width="11.85546875" bestFit="1" customWidth="1"/>
    <col min="3" max="3" width="11.42578125" bestFit="1" customWidth="1"/>
    <col min="4" max="4" width="16.5703125" bestFit="1" customWidth="1"/>
    <col min="5" max="5" width="15.5703125" bestFit="1" customWidth="1"/>
    <col min="6" max="6" width="15.5703125" customWidth="1"/>
    <col min="7" max="7" width="11.140625" bestFit="1" customWidth="1"/>
  </cols>
  <sheetData>
    <row r="1" spans="2:7" x14ac:dyDescent="0.25">
      <c r="B1" t="s">
        <v>579</v>
      </c>
    </row>
    <row r="2" spans="2:7" x14ac:dyDescent="0.25">
      <c r="B2">
        <v>73</v>
      </c>
      <c r="C2" t="s">
        <v>581</v>
      </c>
    </row>
    <row r="3" spans="2:7" x14ac:dyDescent="0.25">
      <c r="B3">
        <v>907.18499999999995</v>
      </c>
      <c r="C3" t="s">
        <v>580</v>
      </c>
    </row>
    <row r="4" spans="2:7" ht="17.25" x14ac:dyDescent="0.25">
      <c r="B4" t="s">
        <v>572</v>
      </c>
      <c r="C4" t="s">
        <v>573</v>
      </c>
      <c r="D4" t="s">
        <v>582</v>
      </c>
      <c r="E4" t="s">
        <v>578</v>
      </c>
      <c r="F4" t="s">
        <v>648</v>
      </c>
      <c r="G4" t="s">
        <v>574</v>
      </c>
    </row>
    <row r="5" spans="2:7" x14ac:dyDescent="0.25">
      <c r="B5" t="s">
        <v>598</v>
      </c>
      <c r="C5" t="s">
        <v>577</v>
      </c>
      <c r="D5">
        <v>2</v>
      </c>
      <c r="E5" s="27">
        <f>2.2*2000</f>
        <v>4400</v>
      </c>
      <c r="F5" t="s">
        <v>649</v>
      </c>
      <c r="G5">
        <f>D5*E5/B3/B2</f>
        <v>0.13288132542478046</v>
      </c>
    </row>
    <row r="6" spans="2:7" x14ac:dyDescent="0.25">
      <c r="B6" t="s">
        <v>575</v>
      </c>
      <c r="C6" t="s">
        <v>576</v>
      </c>
      <c r="D6">
        <v>306.10000000000002</v>
      </c>
      <c r="E6" s="27">
        <v>55.36</v>
      </c>
      <c r="F6" s="123" t="s">
        <v>650</v>
      </c>
      <c r="G6">
        <f>D6*E6/B3/B2</f>
        <v>0.2558825619006137</v>
      </c>
    </row>
    <row r="11" spans="2:7" x14ac:dyDescent="0.25">
      <c r="G11">
        <f>G5+G6</f>
        <v>0.38876388732539413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4F11-C240-415C-B2DC-E3EC6747CDC1}">
  <dimension ref="A1:F22"/>
  <sheetViews>
    <sheetView zoomScaleNormal="100" workbookViewId="0">
      <selection activeCell="G25" sqref="G25"/>
    </sheetView>
  </sheetViews>
  <sheetFormatPr defaultRowHeight="15" x14ac:dyDescent="0.25"/>
  <cols>
    <col min="1" max="1" width="22.5703125" customWidth="1"/>
    <col min="2" max="2" width="13.5703125" customWidth="1"/>
    <col min="3" max="3" width="15.5703125" customWidth="1"/>
  </cols>
  <sheetData>
    <row r="1" spans="1:6" x14ac:dyDescent="0.25">
      <c r="B1" t="s">
        <v>13</v>
      </c>
      <c r="C1" t="s">
        <v>14</v>
      </c>
      <c r="D1" t="s">
        <v>15</v>
      </c>
      <c r="E1" t="s">
        <v>16</v>
      </c>
    </row>
    <row r="2" spans="1:6" ht="18" x14ac:dyDescent="0.35">
      <c r="A2" s="1" t="s">
        <v>28</v>
      </c>
      <c r="C2" t="s">
        <v>31</v>
      </c>
      <c r="D2">
        <v>0.78449999999999998</v>
      </c>
      <c r="E2" t="s">
        <v>32</v>
      </c>
      <c r="F2" t="s">
        <v>33</v>
      </c>
    </row>
    <row r="3" spans="1:6" x14ac:dyDescent="0.25">
      <c r="A3" s="1" t="s">
        <v>34</v>
      </c>
    </row>
    <row r="4" spans="1:6" ht="18" x14ac:dyDescent="0.35">
      <c r="A4" s="1" t="s">
        <v>38</v>
      </c>
      <c r="B4" t="s">
        <v>39</v>
      </c>
      <c r="C4" t="s">
        <v>40</v>
      </c>
      <c r="D4">
        <v>0.73270000000000002</v>
      </c>
      <c r="E4" t="s">
        <v>32</v>
      </c>
      <c r="F4" t="s">
        <v>41</v>
      </c>
    </row>
    <row r="5" spans="1:6" ht="18" x14ac:dyDescent="0.35">
      <c r="A5" s="1" t="s">
        <v>42</v>
      </c>
      <c r="B5" t="s">
        <v>45</v>
      </c>
      <c r="C5" t="s">
        <v>46</v>
      </c>
      <c r="D5">
        <v>1.1057999999999999</v>
      </c>
      <c r="E5" t="s">
        <v>32</v>
      </c>
      <c r="F5" t="s">
        <v>47</v>
      </c>
    </row>
    <row r="6" spans="1:6" ht="18" x14ac:dyDescent="0.35">
      <c r="A6" s="1" t="s">
        <v>50</v>
      </c>
      <c r="B6" t="s">
        <v>48</v>
      </c>
      <c r="C6" t="s">
        <v>51</v>
      </c>
      <c r="D6">
        <v>0.94450000000000001</v>
      </c>
      <c r="E6" t="s">
        <v>32</v>
      </c>
      <c r="F6" t="s">
        <v>52</v>
      </c>
    </row>
    <row r="7" spans="1:6" ht="18" x14ac:dyDescent="0.35">
      <c r="A7" s="1" t="s">
        <v>53</v>
      </c>
      <c r="B7" t="s">
        <v>55</v>
      </c>
      <c r="C7" t="s">
        <v>56</v>
      </c>
      <c r="D7">
        <v>0.7893</v>
      </c>
      <c r="E7" t="s">
        <v>32</v>
      </c>
      <c r="F7" t="s">
        <v>57</v>
      </c>
    </row>
    <row r="8" spans="1:6" ht="18" x14ac:dyDescent="0.35">
      <c r="A8" s="1" t="s">
        <v>62</v>
      </c>
      <c r="B8" t="s">
        <v>64</v>
      </c>
      <c r="C8" t="s">
        <v>65</v>
      </c>
      <c r="D8">
        <v>0.90029999999999999</v>
      </c>
      <c r="E8" t="s">
        <v>32</v>
      </c>
      <c r="F8" t="s">
        <v>66</v>
      </c>
    </row>
    <row r="9" spans="1:6" x14ac:dyDescent="0.25">
      <c r="A9" s="1" t="s">
        <v>68</v>
      </c>
      <c r="C9" s="3" t="s">
        <v>69</v>
      </c>
      <c r="D9">
        <v>1.18</v>
      </c>
      <c r="E9" t="s">
        <v>32</v>
      </c>
      <c r="F9" t="s">
        <v>70</v>
      </c>
    </row>
    <row r="10" spans="1:6" x14ac:dyDescent="0.25">
      <c r="A10" s="1" t="s">
        <v>76</v>
      </c>
    </row>
    <row r="11" spans="1:6" x14ac:dyDescent="0.25">
      <c r="A11" s="1" t="s">
        <v>102</v>
      </c>
    </row>
    <row r="12" spans="1:6" x14ac:dyDescent="0.25">
      <c r="A12" s="1" t="s">
        <v>110</v>
      </c>
    </row>
    <row r="13" spans="1:6" x14ac:dyDescent="0.25">
      <c r="A13" s="1" t="s">
        <v>530</v>
      </c>
      <c r="D13">
        <v>4.0919999999999996</v>
      </c>
      <c r="E13" t="s">
        <v>32</v>
      </c>
      <c r="F13" t="s">
        <v>532</v>
      </c>
    </row>
    <row r="14" spans="1:6" x14ac:dyDescent="0.25">
      <c r="A14" s="1" t="s">
        <v>155</v>
      </c>
    </row>
    <row r="15" spans="1:6" x14ac:dyDescent="0.25">
      <c r="A15" s="1" t="s">
        <v>158</v>
      </c>
    </row>
    <row r="16" spans="1:6" x14ac:dyDescent="0.25">
      <c r="A16" s="1" t="s">
        <v>160</v>
      </c>
    </row>
    <row r="17" spans="1:6" x14ac:dyDescent="0.25">
      <c r="A17" s="1" t="s">
        <v>162</v>
      </c>
    </row>
    <row r="18" spans="1:6" x14ac:dyDescent="0.25">
      <c r="A18" s="1" t="s">
        <v>164</v>
      </c>
      <c r="D18">
        <v>19.3</v>
      </c>
      <c r="E18" t="s">
        <v>32</v>
      </c>
      <c r="F18" t="s">
        <v>531</v>
      </c>
    </row>
    <row r="19" spans="1:6" x14ac:dyDescent="0.25">
      <c r="A19" s="1" t="s">
        <v>166</v>
      </c>
    </row>
    <row r="20" spans="1:6" x14ac:dyDescent="0.25">
      <c r="A20" s="1" t="s">
        <v>167</v>
      </c>
    </row>
    <row r="21" spans="1:6" x14ac:dyDescent="0.25">
      <c r="A21" s="1" t="s">
        <v>168</v>
      </c>
    </row>
    <row r="22" spans="1:6" x14ac:dyDescent="0.25">
      <c r="A22" s="1" t="s">
        <v>148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BB84-BB44-4B29-BF6A-D5875B249A1D}">
  <dimension ref="B3:M34"/>
  <sheetViews>
    <sheetView topLeftCell="A10" workbookViewId="0">
      <selection activeCell="C16" sqref="C16"/>
    </sheetView>
  </sheetViews>
  <sheetFormatPr defaultRowHeight="15" x14ac:dyDescent="0.25"/>
  <cols>
    <col min="2" max="2" width="27.42578125" customWidth="1"/>
    <col min="5" max="5" width="9.5703125" bestFit="1" customWidth="1"/>
    <col min="6" max="6" width="10.5703125" bestFit="1" customWidth="1"/>
    <col min="7" max="7" width="15.42578125" customWidth="1"/>
    <col min="8" max="8" width="12.85546875" customWidth="1"/>
    <col min="13" max="13" width="9.5703125" bestFit="1" customWidth="1"/>
  </cols>
  <sheetData>
    <row r="3" spans="2:10" x14ac:dyDescent="0.25">
      <c r="E3" t="s">
        <v>288</v>
      </c>
    </row>
    <row r="4" spans="2:10" x14ac:dyDescent="0.25">
      <c r="B4" t="s">
        <v>289</v>
      </c>
      <c r="C4" t="s">
        <v>37</v>
      </c>
      <c r="D4" s="15">
        <v>146</v>
      </c>
      <c r="E4" s="49">
        <f>D4/10^6</f>
        <v>1.46E-4</v>
      </c>
      <c r="F4" s="10" t="s">
        <v>290</v>
      </c>
    </row>
    <row r="5" spans="2:10" x14ac:dyDescent="0.25">
      <c r="B5" t="s">
        <v>174</v>
      </c>
      <c r="C5" t="s">
        <v>291</v>
      </c>
      <c r="D5" s="15">
        <v>1</v>
      </c>
      <c r="E5" t="s">
        <v>292</v>
      </c>
    </row>
    <row r="6" spans="2:10" x14ac:dyDescent="0.25">
      <c r="B6" t="s">
        <v>293</v>
      </c>
      <c r="C6" t="s">
        <v>37</v>
      </c>
      <c r="D6" s="15">
        <v>678</v>
      </c>
      <c r="E6" s="49">
        <f>D6/10^6</f>
        <v>6.78E-4</v>
      </c>
      <c r="F6" t="s">
        <v>294</v>
      </c>
    </row>
    <row r="7" spans="2:10" x14ac:dyDescent="0.25">
      <c r="B7" t="s">
        <v>295</v>
      </c>
      <c r="C7" t="s">
        <v>37</v>
      </c>
      <c r="D7" s="15">
        <v>345</v>
      </c>
      <c r="E7" s="49">
        <f>D7/10^6</f>
        <v>3.4499999999999998E-4</v>
      </c>
      <c r="F7" t="s">
        <v>296</v>
      </c>
    </row>
    <row r="9" spans="2:10" x14ac:dyDescent="0.25">
      <c r="B9" t="s">
        <v>297</v>
      </c>
      <c r="C9" t="s">
        <v>22</v>
      </c>
      <c r="D9" s="15">
        <v>0.1</v>
      </c>
      <c r="E9" s="15"/>
      <c r="I9" t="s">
        <v>298</v>
      </c>
    </row>
    <row r="10" spans="2:10" x14ac:dyDescent="0.25">
      <c r="I10" s="15">
        <f>D5/275</f>
        <v>3.6363636363636364E-3</v>
      </c>
    </row>
    <row r="11" spans="2:10" x14ac:dyDescent="0.25">
      <c r="B11" s="26"/>
    </row>
    <row r="12" spans="2:10" x14ac:dyDescent="0.25">
      <c r="B12" s="26" t="s">
        <v>299</v>
      </c>
      <c r="D12" t="s">
        <v>300</v>
      </c>
    </row>
    <row r="13" spans="2:10" x14ac:dyDescent="0.25">
      <c r="E13" t="s">
        <v>301</v>
      </c>
      <c r="F13" s="54">
        <f>0.263/1000</f>
        <v>2.63E-4</v>
      </c>
    </row>
    <row r="14" spans="2:10" x14ac:dyDescent="0.25">
      <c r="C14" s="199" t="s">
        <v>302</v>
      </c>
      <c r="D14" s="199"/>
      <c r="E14" s="199"/>
      <c r="F14" s="199"/>
      <c r="G14" s="199"/>
      <c r="J14" t="s">
        <v>303</v>
      </c>
    </row>
    <row r="15" spans="2:10" x14ac:dyDescent="0.25">
      <c r="C15" t="s">
        <v>304</v>
      </c>
      <c r="J15" t="s">
        <v>305</v>
      </c>
    </row>
    <row r="16" spans="2:10" x14ac:dyDescent="0.25">
      <c r="B16" t="s">
        <v>289</v>
      </c>
      <c r="C16" s="19">
        <v>83</v>
      </c>
      <c r="D16" s="19" t="s">
        <v>26</v>
      </c>
      <c r="E16" s="50">
        <f>C16*E4</f>
        <v>1.2118E-2</v>
      </c>
      <c r="G16" s="42" t="e">
        <f>#REF!</f>
        <v>#REF!</v>
      </c>
    </row>
    <row r="17" spans="2:13" x14ac:dyDescent="0.25">
      <c r="B17" t="s">
        <v>174</v>
      </c>
      <c r="C17" s="19">
        <v>5.4</v>
      </c>
      <c r="D17" s="19" t="s">
        <v>43</v>
      </c>
      <c r="E17" s="19">
        <f>K18*1</f>
        <v>1.4040000000000001</v>
      </c>
      <c r="G17" s="42">
        <v>4710.6752000000024</v>
      </c>
      <c r="H17" s="49">
        <f>G17*E4</f>
        <v>0.68775857920000039</v>
      </c>
      <c r="J17" t="s">
        <v>306</v>
      </c>
      <c r="K17" t="s">
        <v>307</v>
      </c>
    </row>
    <row r="18" spans="2:13" x14ac:dyDescent="0.25">
      <c r="B18" t="s">
        <v>293</v>
      </c>
      <c r="C18" s="19">
        <v>570</v>
      </c>
      <c r="D18" s="19" t="s">
        <v>26</v>
      </c>
      <c r="E18" s="50">
        <f>C18*E6</f>
        <v>0.38646000000000003</v>
      </c>
      <c r="F18" s="49"/>
      <c r="G18">
        <v>7.7930755116259747E-7</v>
      </c>
      <c r="H18">
        <f>C17*G18*1000</f>
        <v>4.2082607762780264E-3</v>
      </c>
      <c r="J18" t="s">
        <v>308</v>
      </c>
      <c r="K18">
        <f>5.4*0.26</f>
        <v>1.4040000000000001</v>
      </c>
    </row>
    <row r="19" spans="2:13" x14ac:dyDescent="0.25">
      <c r="B19" t="s">
        <v>295</v>
      </c>
      <c r="C19" s="19">
        <v>100</v>
      </c>
      <c r="D19" s="19" t="s">
        <v>26</v>
      </c>
      <c r="E19" s="50">
        <f>E7*C19</f>
        <v>3.4499999999999996E-2</v>
      </c>
      <c r="G19">
        <f>C18*50</f>
        <v>28500</v>
      </c>
      <c r="H19" s="49">
        <f>G19*E6</f>
        <v>19.323</v>
      </c>
    </row>
    <row r="20" spans="2:13" x14ac:dyDescent="0.25">
      <c r="C20" s="19"/>
      <c r="D20" s="19"/>
      <c r="E20" s="19"/>
      <c r="K20" s="15"/>
    </row>
    <row r="21" spans="2:13" x14ac:dyDescent="0.25">
      <c r="B21" t="s">
        <v>297</v>
      </c>
      <c r="C21" s="19">
        <v>4.4000000000000004</v>
      </c>
      <c r="D21" s="19" t="s">
        <v>22</v>
      </c>
      <c r="E21" s="51">
        <f>C21*D9</f>
        <v>0.44000000000000006</v>
      </c>
    </row>
    <row r="22" spans="2:13" x14ac:dyDescent="0.25">
      <c r="E22" s="52">
        <f>SUM(E16:E21)</f>
        <v>2.2770780000000004</v>
      </c>
    </row>
    <row r="26" spans="2:13" x14ac:dyDescent="0.25">
      <c r="D26" t="s">
        <v>43</v>
      </c>
      <c r="E26" t="s">
        <v>309</v>
      </c>
      <c r="M26" s="49">
        <f>6642*E4</f>
        <v>0.96973200000000004</v>
      </c>
    </row>
    <row r="27" spans="2:13" x14ac:dyDescent="0.25">
      <c r="B27" t="s">
        <v>289</v>
      </c>
      <c r="E27">
        <v>0.16</v>
      </c>
      <c r="G27">
        <f>E27*C16*10^-3</f>
        <v>1.3280000000000002E-2</v>
      </c>
      <c r="M27" s="15">
        <f>3630*F13</f>
        <v>0.95469000000000004</v>
      </c>
    </row>
    <row r="28" spans="2:13" x14ac:dyDescent="0.25">
      <c r="B28" t="s">
        <v>174</v>
      </c>
      <c r="E28">
        <v>4.5300000000000001E-4</v>
      </c>
      <c r="G28">
        <f>E28*C17</f>
        <v>2.4462000000000004E-3</v>
      </c>
      <c r="M28" s="49">
        <f>5236*E6</f>
        <v>3.5500080000000001</v>
      </c>
    </row>
    <row r="29" spans="2:13" x14ac:dyDescent="0.25">
      <c r="B29" t="s">
        <v>293</v>
      </c>
      <c r="E29">
        <v>1.46</v>
      </c>
      <c r="G29">
        <f>E29*C18*10^-3</f>
        <v>0.83219999999999994</v>
      </c>
      <c r="M29" s="49">
        <f>7623*E7</f>
        <v>2.6299349999999997</v>
      </c>
    </row>
    <row r="30" spans="2:13" x14ac:dyDescent="0.25">
      <c r="B30" t="s">
        <v>295</v>
      </c>
      <c r="E30">
        <v>1.25</v>
      </c>
      <c r="G30">
        <f>E30*C19*10^-3</f>
        <v>0.125</v>
      </c>
      <c r="M30" s="15">
        <f>4.4*D9</f>
        <v>0.44000000000000006</v>
      </c>
    </row>
    <row r="31" spans="2:13" x14ac:dyDescent="0.25">
      <c r="B31" t="s">
        <v>297</v>
      </c>
      <c r="E31">
        <v>0.42</v>
      </c>
      <c r="G31">
        <f>E31*C21</f>
        <v>1.8480000000000001</v>
      </c>
      <c r="M31" s="15">
        <f>SUM(M26:M30)</f>
        <v>8.5443649999999991</v>
      </c>
    </row>
    <row r="32" spans="2:13" x14ac:dyDescent="0.25">
      <c r="G32">
        <f>SUM(G27:G31)</f>
        <v>2.8209262000000002</v>
      </c>
    </row>
    <row r="34" spans="8:8" x14ac:dyDescent="0.25">
      <c r="H34">
        <f>G32+0.51</f>
        <v>3.3309262000000004</v>
      </c>
    </row>
  </sheetData>
  <mergeCells count="1">
    <mergeCell ref="C14:G14"/>
  </mergeCells>
  <hyperlinks>
    <hyperlink ref="F4" r:id="rId1" location=":~:text=U.S.%20Sulphuric%20Acid%20Price%20per,monthly%20rate%20of%20%2B8.5%25." xr:uid="{35148F7C-C14B-488D-B74A-6A04D4E7F6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Perovskite build</vt:lpstr>
      <vt:lpstr>Inventory 1</vt:lpstr>
      <vt:lpstr>Reuse</vt:lpstr>
      <vt:lpstr>Equiptment</vt:lpstr>
      <vt:lpstr>Labor cost</vt:lpstr>
      <vt:lpstr>Transportantion cost</vt:lpstr>
      <vt:lpstr>Tipp</vt:lpstr>
      <vt:lpstr>Densities </vt:lpstr>
      <vt:lpstr>CdTe</vt:lpstr>
      <vt:lpstr>CIGS</vt:lpstr>
      <vt:lpstr>Sheet2</vt:lpstr>
      <vt:lpstr>Look up tables </vt:lpstr>
      <vt:lpstr>TOOL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McCalmont, Emma L. - SDSMT Student</dc:creator>
  <cp:keywords/>
  <dc:description/>
  <cp:lastModifiedBy>Juan Herrera Meza</cp:lastModifiedBy>
  <cp:revision/>
  <dcterms:created xsi:type="dcterms:W3CDTF">2022-09-15T22:11:43Z</dcterms:created>
  <dcterms:modified xsi:type="dcterms:W3CDTF">2024-09-20T21:30:50Z</dcterms:modified>
  <cp:category/>
  <cp:contentStatus/>
</cp:coreProperties>
</file>