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https://sdsuedu-my.sharepoint.com/personal/wpeterson9822_sdsu_edu/Documents/AE 460A/"/>
    </mc:Choice>
  </mc:AlternateContent>
  <xr:revisionPtr revIDLastSave="4891" documentId="11_0B1D56BE9CDCCE836B02CE7A5FB0D4A9BBFD1C62" xr6:coauthVersionLast="47" xr6:coauthVersionMax="47" xr10:uidLastSave="{C4E14DF9-4706-4847-ADCE-1F95F7390E46}"/>
  <bookViews>
    <workbookView xWindow="-110" yWindow="-110" windowWidth="19420" windowHeight="11500" firstSheet="6" activeTab="6" xr2:uid="{00000000-000D-0000-FFFF-FFFF00000000}"/>
  </bookViews>
  <sheets>
    <sheet name="Sheet1" sheetId="1" r:id="rId1"/>
    <sheet name="Wing_Area_Sizing_(BEN)" sheetId="2" r:id="rId2"/>
    <sheet name="Structural Weight-MatProperties" sheetId="5" r:id="rId3"/>
    <sheet name="IGNORE THIS PAGE" sheetId="3" r:id="rId4"/>
    <sheet name="Mission Weight" sheetId="6" r:id="rId5"/>
    <sheet name="3.1.2" sheetId="9" r:id="rId6"/>
    <sheet name="WingLayout" sheetId="4" r:id="rId7"/>
    <sheet name="Maneuver" sheetId="11" r:id="rId8"/>
    <sheet name="Takeoff Calculator" sheetId="7" r:id="rId9"/>
    <sheet name="LandingCalculator" sheetId="10" r:id="rId10"/>
    <sheet name="Life Cycle Cost " sheetId="8" r:id="rId11"/>
    <sheet name="Lat.-Dir. Stability" sheetId="12" r:id="rId12"/>
  </sheets>
  <externalReferences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4" l="1"/>
  <c r="C68" i="4"/>
  <c r="J70" i="4"/>
  <c r="F72" i="4" s="1"/>
  <c r="BX203" i="5"/>
  <c r="BX202" i="5"/>
  <c r="BX201" i="5"/>
  <c r="BX200" i="5"/>
  <c r="BW203" i="5"/>
  <c r="BW201" i="5"/>
  <c r="BW200" i="5"/>
  <c r="CS212" i="5"/>
  <c r="CS200" i="5"/>
  <c r="CU204" i="5"/>
  <c r="CU208" i="5"/>
  <c r="CT204" i="5"/>
  <c r="CS204" i="5"/>
  <c r="CS208" i="5"/>
  <c r="BY202" i="5"/>
  <c r="BY203" i="5"/>
  <c r="BY204" i="5"/>
  <c r="BY207" i="5"/>
  <c r="BY208" i="5"/>
  <c r="BY209" i="5"/>
  <c r="BY210" i="5"/>
  <c r="BY211" i="5"/>
  <c r="BY212" i="5"/>
  <c r="BY213" i="5"/>
  <c r="BY214" i="5"/>
  <c r="BY215" i="5"/>
  <c r="BY216" i="5"/>
  <c r="BY220" i="5"/>
  <c r="BY223" i="5"/>
  <c r="BY224" i="5"/>
  <c r="BY225" i="5"/>
  <c r="BY226" i="5"/>
  <c r="BY227" i="5"/>
  <c r="BY200" i="5"/>
  <c r="BS201" i="5"/>
  <c r="BT201" i="5" s="1"/>
  <c r="BS202" i="5"/>
  <c r="BT202" i="5" s="1"/>
  <c r="BS203" i="5"/>
  <c r="BT203" i="5" s="1"/>
  <c r="BS204" i="5"/>
  <c r="BT204" i="5" s="1"/>
  <c r="BS205" i="5"/>
  <c r="BT205" i="5" s="1"/>
  <c r="BS206" i="5"/>
  <c r="BT206" i="5" s="1"/>
  <c r="BS207" i="5"/>
  <c r="BT207" i="5" s="1"/>
  <c r="BS208" i="5"/>
  <c r="BT208" i="5" s="1"/>
  <c r="BS209" i="5"/>
  <c r="BT209" i="5" s="1"/>
  <c r="BS210" i="5"/>
  <c r="BT210" i="5" s="1"/>
  <c r="BS211" i="5"/>
  <c r="BT211" i="5" s="1"/>
  <c r="BS212" i="5"/>
  <c r="BT212" i="5" s="1"/>
  <c r="BS213" i="5"/>
  <c r="BT213" i="5" s="1"/>
  <c r="BS214" i="5"/>
  <c r="BT214" i="5" s="1"/>
  <c r="BS221" i="5"/>
  <c r="BT221" i="5" s="1"/>
  <c r="BS222" i="5"/>
  <c r="BT222" i="5" s="1"/>
  <c r="CA222" i="5"/>
  <c r="CD222" i="5" s="1"/>
  <c r="BZ222" i="5"/>
  <c r="CC222" i="5" s="1"/>
  <c r="CA221" i="5"/>
  <c r="CD221" i="5" s="1"/>
  <c r="BZ221" i="5"/>
  <c r="CC221" i="5" s="1"/>
  <c r="CA218" i="5"/>
  <c r="CA217" i="5"/>
  <c r="BZ217" i="5"/>
  <c r="CD214" i="5"/>
  <c r="CC214" i="5"/>
  <c r="CB214" i="5"/>
  <c r="CD213" i="5"/>
  <c r="CC213" i="5"/>
  <c r="CB213" i="5"/>
  <c r="CD212" i="5"/>
  <c r="CC212" i="5"/>
  <c r="CB212" i="5"/>
  <c r="CD211" i="5"/>
  <c r="CC211" i="5"/>
  <c r="CB211" i="5"/>
  <c r="CD210" i="5"/>
  <c r="CC210" i="5"/>
  <c r="CB210" i="5"/>
  <c r="CD209" i="5"/>
  <c r="CC209" i="5"/>
  <c r="CB209" i="5"/>
  <c r="CD208" i="5"/>
  <c r="CC208" i="5"/>
  <c r="CB208" i="5"/>
  <c r="CD207" i="5"/>
  <c r="CC207" i="5"/>
  <c r="CB207" i="5"/>
  <c r="CD206" i="5"/>
  <c r="CC206" i="5"/>
  <c r="CD205" i="5"/>
  <c r="CC205" i="5"/>
  <c r="CD204" i="5"/>
  <c r="CC204" i="5"/>
  <c r="CB204" i="5"/>
  <c r="CD203" i="5"/>
  <c r="CB203" i="5"/>
  <c r="CD202" i="5"/>
  <c r="CB202" i="5"/>
  <c r="CD201" i="5"/>
  <c r="CC201" i="5"/>
  <c r="S16" i="5"/>
  <c r="U16" i="5"/>
  <c r="B224" i="5"/>
  <c r="AI243" i="5"/>
  <c r="W243" i="5"/>
  <c r="Z265" i="5"/>
  <c r="Z264" i="5"/>
  <c r="Z261" i="5"/>
  <c r="Z260" i="5"/>
  <c r="AL265" i="5"/>
  <c r="AL264" i="5"/>
  <c r="AL261" i="5"/>
  <c r="AL260" i="5"/>
  <c r="AL224" i="5"/>
  <c r="AL223" i="5"/>
  <c r="AL220" i="5"/>
  <c r="AL219" i="5"/>
  <c r="N265" i="5"/>
  <c r="N264" i="5"/>
  <c r="N261" i="5"/>
  <c r="N260" i="5"/>
  <c r="Z224" i="5"/>
  <c r="Z223" i="5"/>
  <c r="Z220" i="5"/>
  <c r="Z219" i="5"/>
  <c r="N219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K4" i="10"/>
  <c r="K3" i="10"/>
  <c r="K2" i="10"/>
  <c r="F18" i="10"/>
  <c r="F11" i="10"/>
  <c r="F4" i="10"/>
  <c r="F17" i="10"/>
  <c r="F10" i="10"/>
  <c r="F3" i="10"/>
  <c r="AZ214" i="5"/>
  <c r="AZ213" i="5"/>
  <c r="AZ212" i="5"/>
  <c r="AZ217" i="5"/>
  <c r="AZ216" i="5"/>
  <c r="AZ215" i="5"/>
  <c r="K202" i="5"/>
  <c r="BS200" i="5" s="1"/>
  <c r="BT200" i="5" s="1"/>
  <c r="AV198" i="5"/>
  <c r="AZ203" i="5"/>
  <c r="AZ202" i="5"/>
  <c r="AZ201" i="5"/>
  <c r="AZ206" i="5"/>
  <c r="AZ205" i="5"/>
  <c r="AZ204" i="5"/>
  <c r="BG243" i="5"/>
  <c r="BM270" i="5"/>
  <c r="BL270" i="5"/>
  <c r="BK270" i="5"/>
  <c r="BM269" i="5"/>
  <c r="BL269" i="5"/>
  <c r="BK269" i="5"/>
  <c r="BM268" i="5"/>
  <c r="BL268" i="5"/>
  <c r="BK268" i="5"/>
  <c r="BM267" i="5"/>
  <c r="BL267" i="5"/>
  <c r="BK267" i="5"/>
  <c r="BM266" i="5"/>
  <c r="BL266" i="5"/>
  <c r="BK266" i="5"/>
  <c r="BJ265" i="5"/>
  <c r="BM265" i="5" s="1"/>
  <c r="BI265" i="5"/>
  <c r="BL265" i="5" s="1"/>
  <c r="BH265" i="5"/>
  <c r="BK265" i="5" s="1"/>
  <c r="BJ264" i="5"/>
  <c r="BM264" i="5" s="1"/>
  <c r="BI264" i="5"/>
  <c r="BL264" i="5" s="1"/>
  <c r="BH264" i="5"/>
  <c r="BK264" i="5" s="1"/>
  <c r="BM263" i="5"/>
  <c r="BL263" i="5"/>
  <c r="BK263" i="5"/>
  <c r="BL262" i="5"/>
  <c r="BJ262" i="5"/>
  <c r="BM262" i="5" s="1"/>
  <c r="BL261" i="5"/>
  <c r="BJ261" i="5"/>
  <c r="BM261" i="5" s="1"/>
  <c r="BH261" i="5"/>
  <c r="BK261" i="5" s="1"/>
  <c r="BJ260" i="5"/>
  <c r="BI260" i="5"/>
  <c r="BH260" i="5"/>
  <c r="BG260" i="5"/>
  <c r="BK260" i="5" s="1"/>
  <c r="BM257" i="5"/>
  <c r="BL257" i="5"/>
  <c r="BK257" i="5"/>
  <c r="BM256" i="5"/>
  <c r="BL256" i="5"/>
  <c r="BK256" i="5"/>
  <c r="BM255" i="5"/>
  <c r="BL255" i="5"/>
  <c r="BK255" i="5"/>
  <c r="BM254" i="5"/>
  <c r="BL254" i="5"/>
  <c r="BK254" i="5"/>
  <c r="BM253" i="5"/>
  <c r="BL253" i="5"/>
  <c r="BK253" i="5"/>
  <c r="BM252" i="5"/>
  <c r="BL252" i="5"/>
  <c r="BK252" i="5"/>
  <c r="BM251" i="5"/>
  <c r="BL251" i="5"/>
  <c r="BK251" i="5"/>
  <c r="BM250" i="5"/>
  <c r="BL250" i="5"/>
  <c r="BK250" i="5"/>
  <c r="BM249" i="5"/>
  <c r="BL249" i="5"/>
  <c r="BM248" i="5"/>
  <c r="BL248" i="5"/>
  <c r="BM247" i="5"/>
  <c r="BL247" i="5"/>
  <c r="BK247" i="5"/>
  <c r="BM246" i="5"/>
  <c r="BL246" i="5"/>
  <c r="BK246" i="5"/>
  <c r="BM245" i="5"/>
  <c r="BL245" i="5"/>
  <c r="BK245" i="5"/>
  <c r="BM244" i="5"/>
  <c r="BL244" i="5"/>
  <c r="BH244" i="5"/>
  <c r="AU243" i="5"/>
  <c r="BA270" i="5"/>
  <c r="AZ270" i="5"/>
  <c r="AY270" i="5"/>
  <c r="BA269" i="5"/>
  <c r="AZ269" i="5"/>
  <c r="AY269" i="5"/>
  <c r="BA268" i="5"/>
  <c r="AZ268" i="5"/>
  <c r="AY268" i="5"/>
  <c r="BA267" i="5"/>
  <c r="AZ267" i="5"/>
  <c r="AY267" i="5"/>
  <c r="BA266" i="5"/>
  <c r="AZ266" i="5"/>
  <c r="AY266" i="5"/>
  <c r="AX265" i="5"/>
  <c r="BA265" i="5" s="1"/>
  <c r="AW265" i="5"/>
  <c r="AZ265" i="5" s="1"/>
  <c r="AV265" i="5"/>
  <c r="AY265" i="5" s="1"/>
  <c r="AX264" i="5"/>
  <c r="BA264" i="5" s="1"/>
  <c r="AW264" i="5"/>
  <c r="AZ264" i="5" s="1"/>
  <c r="AV264" i="5"/>
  <c r="AY264" i="5" s="1"/>
  <c r="BA263" i="5"/>
  <c r="AZ263" i="5"/>
  <c r="AY263" i="5"/>
  <c r="AZ262" i="5"/>
  <c r="AX262" i="5"/>
  <c r="BA262" i="5" s="1"/>
  <c r="AZ261" i="5"/>
  <c r="AX261" i="5"/>
  <c r="BA261" i="5" s="1"/>
  <c r="AV261" i="5"/>
  <c r="AY261" i="5" s="1"/>
  <c r="AX260" i="5"/>
  <c r="AW260" i="5"/>
  <c r="AV260" i="5"/>
  <c r="AU260" i="5"/>
  <c r="AY260" i="5" s="1"/>
  <c r="BA257" i="5"/>
  <c r="AZ257" i="5"/>
  <c r="AY257" i="5"/>
  <c r="BA256" i="5"/>
  <c r="AZ256" i="5"/>
  <c r="AY256" i="5"/>
  <c r="BA255" i="5"/>
  <c r="AZ255" i="5"/>
  <c r="AY255" i="5"/>
  <c r="BA254" i="5"/>
  <c r="AZ254" i="5"/>
  <c r="AY254" i="5"/>
  <c r="BA253" i="5"/>
  <c r="AZ253" i="5"/>
  <c r="AY253" i="5"/>
  <c r="BA252" i="5"/>
  <c r="AZ252" i="5"/>
  <c r="AY252" i="5"/>
  <c r="BA251" i="5"/>
  <c r="AZ251" i="5"/>
  <c r="AY251" i="5"/>
  <c r="BA250" i="5"/>
  <c r="AZ250" i="5"/>
  <c r="AY250" i="5"/>
  <c r="BA249" i="5"/>
  <c r="AZ249" i="5"/>
  <c r="BA248" i="5"/>
  <c r="AZ248" i="5"/>
  <c r="BA247" i="5"/>
  <c r="AZ247" i="5"/>
  <c r="AY247" i="5"/>
  <c r="BA246" i="5"/>
  <c r="AZ246" i="5"/>
  <c r="AY246" i="5"/>
  <c r="BA245" i="5"/>
  <c r="AZ245" i="5"/>
  <c r="AY245" i="5"/>
  <c r="BA244" i="5"/>
  <c r="AZ244" i="5"/>
  <c r="AV244" i="5"/>
  <c r="AO270" i="5"/>
  <c r="AN270" i="5"/>
  <c r="AM270" i="5"/>
  <c r="AO269" i="5"/>
  <c r="AN269" i="5"/>
  <c r="AM269" i="5"/>
  <c r="AO268" i="5"/>
  <c r="AN268" i="5"/>
  <c r="AM268" i="5"/>
  <c r="AO267" i="5"/>
  <c r="AN267" i="5"/>
  <c r="AM267" i="5"/>
  <c r="AO266" i="5"/>
  <c r="AN266" i="5"/>
  <c r="AM266" i="5"/>
  <c r="AO265" i="5"/>
  <c r="AK265" i="5"/>
  <c r="AN265" i="5" s="1"/>
  <c r="AJ265" i="5"/>
  <c r="AM265" i="5" s="1"/>
  <c r="AO264" i="5"/>
  <c r="AK264" i="5"/>
  <c r="AN264" i="5" s="1"/>
  <c r="AJ264" i="5"/>
  <c r="AM264" i="5" s="1"/>
  <c r="AO263" i="5"/>
  <c r="AN263" i="5"/>
  <c r="AM263" i="5"/>
  <c r="AN262" i="5"/>
  <c r="AO262" i="5"/>
  <c r="AN261" i="5"/>
  <c r="AO261" i="5"/>
  <c r="AJ261" i="5"/>
  <c r="AM261" i="5" s="1"/>
  <c r="AK260" i="5"/>
  <c r="AJ260" i="5"/>
  <c r="AI260" i="5"/>
  <c r="AM260" i="5" s="1"/>
  <c r="AO257" i="5"/>
  <c r="AN257" i="5"/>
  <c r="AM257" i="5"/>
  <c r="AO256" i="5"/>
  <c r="AN256" i="5"/>
  <c r="AM256" i="5"/>
  <c r="AO255" i="5"/>
  <c r="AN255" i="5"/>
  <c r="AM255" i="5"/>
  <c r="AO254" i="5"/>
  <c r="AN254" i="5"/>
  <c r="AM254" i="5"/>
  <c r="AO253" i="5"/>
  <c r="AN253" i="5"/>
  <c r="AM253" i="5"/>
  <c r="AO252" i="5"/>
  <c r="AN252" i="5"/>
  <c r="AM252" i="5"/>
  <c r="AO251" i="5"/>
  <c r="AN251" i="5"/>
  <c r="AM251" i="5"/>
  <c r="AO250" i="5"/>
  <c r="AN250" i="5"/>
  <c r="AM250" i="5"/>
  <c r="AO249" i="5"/>
  <c r="AN249" i="5"/>
  <c r="AO248" i="5"/>
  <c r="AN248" i="5"/>
  <c r="AO247" i="5"/>
  <c r="AN247" i="5"/>
  <c r="AM247" i="5"/>
  <c r="AO246" i="5"/>
  <c r="AN246" i="5"/>
  <c r="AM246" i="5"/>
  <c r="AO245" i="5"/>
  <c r="AN245" i="5"/>
  <c r="AM245" i="5"/>
  <c r="AO244" i="5"/>
  <c r="AN244" i="5"/>
  <c r="AJ244" i="5"/>
  <c r="AA269" i="5"/>
  <c r="W272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3" i="5"/>
  <c r="AC266" i="5"/>
  <c r="AC267" i="5"/>
  <c r="AC268" i="5"/>
  <c r="AC269" i="5"/>
  <c r="AC270" i="5"/>
  <c r="AC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1" i="5"/>
  <c r="AB262" i="5"/>
  <c r="AB263" i="5"/>
  <c r="AB266" i="5"/>
  <c r="AB267" i="5"/>
  <c r="AB268" i="5"/>
  <c r="AB269" i="5"/>
  <c r="AB270" i="5"/>
  <c r="AB243" i="5"/>
  <c r="AA245" i="5"/>
  <c r="AA246" i="5"/>
  <c r="AA247" i="5"/>
  <c r="AA250" i="5"/>
  <c r="AA251" i="5"/>
  <c r="AA252" i="5"/>
  <c r="AA253" i="5"/>
  <c r="AA254" i="5"/>
  <c r="AA255" i="5"/>
  <c r="AA256" i="5"/>
  <c r="AA257" i="5"/>
  <c r="AA258" i="5"/>
  <c r="AA259" i="5"/>
  <c r="AA263" i="5"/>
  <c r="AA266" i="5"/>
  <c r="AA267" i="5"/>
  <c r="AA268" i="5"/>
  <c r="AA270" i="5"/>
  <c r="AA243" i="5"/>
  <c r="AC265" i="5"/>
  <c r="Y265" i="5"/>
  <c r="AB265" i="5" s="1"/>
  <c r="X265" i="5"/>
  <c r="AA265" i="5" s="1"/>
  <c r="AC264" i="5"/>
  <c r="Y264" i="5"/>
  <c r="AB264" i="5" s="1"/>
  <c r="X264" i="5"/>
  <c r="AA264" i="5" s="1"/>
  <c r="AC262" i="5"/>
  <c r="AC261" i="5"/>
  <c r="X261" i="5"/>
  <c r="AA261" i="5" s="1"/>
  <c r="Y260" i="5"/>
  <c r="X260" i="5"/>
  <c r="W260" i="5"/>
  <c r="AA260" i="5" s="1"/>
  <c r="X244" i="5"/>
  <c r="AA244" i="5" s="1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3" i="5"/>
  <c r="Q266" i="5"/>
  <c r="Q267" i="5"/>
  <c r="Q268" i="5"/>
  <c r="Q269" i="5"/>
  <c r="Q270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1" i="5"/>
  <c r="P262" i="5"/>
  <c r="P263" i="5"/>
  <c r="P266" i="5"/>
  <c r="P267" i="5"/>
  <c r="P268" i="5"/>
  <c r="P269" i="5"/>
  <c r="P270" i="5"/>
  <c r="Q265" i="5"/>
  <c r="M265" i="5"/>
  <c r="P265" i="5" s="1"/>
  <c r="L265" i="5"/>
  <c r="O265" i="5" s="1"/>
  <c r="Q264" i="5"/>
  <c r="M264" i="5"/>
  <c r="P264" i="5" s="1"/>
  <c r="L264" i="5"/>
  <c r="O264" i="5" s="1"/>
  <c r="Q262" i="5"/>
  <c r="Q261" i="5"/>
  <c r="L261" i="5"/>
  <c r="M260" i="5"/>
  <c r="L260" i="5"/>
  <c r="K260" i="5"/>
  <c r="O260" i="5" s="1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L244" i="5"/>
  <c r="O244" i="5" s="1"/>
  <c r="K243" i="5"/>
  <c r="AK200" i="5"/>
  <c r="AN200" i="5"/>
  <c r="AH201" i="5"/>
  <c r="AI201" i="5"/>
  <c r="AJ201" i="5"/>
  <c r="AK201" i="5"/>
  <c r="AL201" i="5"/>
  <c r="AM201" i="5"/>
  <c r="AN201" i="5"/>
  <c r="AO201" i="5"/>
  <c r="AH202" i="5"/>
  <c r="AJ202" i="5"/>
  <c r="AK202" i="5"/>
  <c r="AH203" i="5"/>
  <c r="AI203" i="5"/>
  <c r="AK203" i="5"/>
  <c r="AN203" i="5" s="1"/>
  <c r="AO203" i="5"/>
  <c r="AH204" i="5"/>
  <c r="AI204" i="5"/>
  <c r="AJ204" i="5"/>
  <c r="AK204" i="5"/>
  <c r="AN204" i="5" s="1"/>
  <c r="AO204" i="5"/>
  <c r="AH205" i="5"/>
  <c r="AI205" i="5"/>
  <c r="AJ205" i="5"/>
  <c r="AK205" i="5"/>
  <c r="AN205" i="5" s="1"/>
  <c r="AO205" i="5"/>
  <c r="AH206" i="5"/>
  <c r="AI206" i="5"/>
  <c r="AJ206" i="5"/>
  <c r="AK206" i="5"/>
  <c r="AN206" i="5" s="1"/>
  <c r="AO206" i="5"/>
  <c r="AH207" i="5"/>
  <c r="AI207" i="5"/>
  <c r="AK207" i="5"/>
  <c r="AN207" i="5" s="1"/>
  <c r="AO207" i="5"/>
  <c r="AH208" i="5"/>
  <c r="AI208" i="5"/>
  <c r="AK208" i="5"/>
  <c r="AN208" i="5" s="1"/>
  <c r="AO208" i="5"/>
  <c r="AH209" i="5"/>
  <c r="AI209" i="5"/>
  <c r="AJ209" i="5"/>
  <c r="AK209" i="5"/>
  <c r="AN209" i="5" s="1"/>
  <c r="AO209" i="5"/>
  <c r="AH210" i="5"/>
  <c r="AI210" i="5"/>
  <c r="AJ210" i="5"/>
  <c r="AK210" i="5"/>
  <c r="AN210" i="5" s="1"/>
  <c r="AO210" i="5"/>
  <c r="AH211" i="5"/>
  <c r="AI211" i="5"/>
  <c r="AJ211" i="5"/>
  <c r="AK211" i="5"/>
  <c r="AN211" i="5" s="1"/>
  <c r="AO211" i="5"/>
  <c r="AH212" i="5"/>
  <c r="AI212" i="5"/>
  <c r="AJ212" i="5"/>
  <c r="AK212" i="5"/>
  <c r="AN212" i="5" s="1"/>
  <c r="AO212" i="5"/>
  <c r="AH213" i="5"/>
  <c r="AI213" i="5"/>
  <c r="AJ213" i="5"/>
  <c r="AK213" i="5"/>
  <c r="AN213" i="5" s="1"/>
  <c r="AO213" i="5"/>
  <c r="AH214" i="5"/>
  <c r="AI214" i="5"/>
  <c r="AJ214" i="5"/>
  <c r="AK214" i="5"/>
  <c r="AN214" i="5" s="1"/>
  <c r="AO214" i="5"/>
  <c r="AH215" i="5"/>
  <c r="AI215" i="5"/>
  <c r="AJ215" i="5"/>
  <c r="AK215" i="5"/>
  <c r="AN215" i="5" s="1"/>
  <c r="AO215" i="5"/>
  <c r="AH216" i="5"/>
  <c r="AI216" i="5"/>
  <c r="AJ216" i="5"/>
  <c r="AK216" i="5"/>
  <c r="AN216" i="5" s="1"/>
  <c r="AO216" i="5"/>
  <c r="AH217" i="5"/>
  <c r="AJ217" i="5"/>
  <c r="AK217" i="5"/>
  <c r="AH218" i="5"/>
  <c r="AJ218" i="5"/>
  <c r="AK218" i="5"/>
  <c r="AH219" i="5"/>
  <c r="AH220" i="5"/>
  <c r="AK220" i="5"/>
  <c r="AH221" i="5"/>
  <c r="AK221" i="5"/>
  <c r="AH222" i="5"/>
  <c r="AJ222" i="5"/>
  <c r="AK222" i="5"/>
  <c r="AH223" i="5"/>
  <c r="AI223" i="5"/>
  <c r="AH224" i="5"/>
  <c r="AI224" i="5"/>
  <c r="AH225" i="5"/>
  <c r="AJ225" i="5"/>
  <c r="AK225" i="5"/>
  <c r="AH226" i="5"/>
  <c r="AJ226" i="5"/>
  <c r="AK226" i="5"/>
  <c r="AH227" i="5"/>
  <c r="AJ227" i="5"/>
  <c r="AK227" i="5"/>
  <c r="AH228" i="5"/>
  <c r="AJ228" i="5"/>
  <c r="AK228" i="5"/>
  <c r="AH229" i="5"/>
  <c r="AJ229" i="5"/>
  <c r="AK229" i="5"/>
  <c r="AH231" i="5"/>
  <c r="AH232" i="5"/>
  <c r="AH233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02" i="5"/>
  <c r="AA202" i="5"/>
  <c r="AA204" i="5"/>
  <c r="AA205" i="5"/>
  <c r="AA206" i="5"/>
  <c r="AA209" i="5"/>
  <c r="AA210" i="5"/>
  <c r="AA211" i="5"/>
  <c r="AA212" i="5"/>
  <c r="AA213" i="5"/>
  <c r="AA214" i="5"/>
  <c r="AA215" i="5"/>
  <c r="AA216" i="5"/>
  <c r="V217" i="5"/>
  <c r="X217" i="5"/>
  <c r="AA217" i="5" s="1"/>
  <c r="Y217" i="5"/>
  <c r="AB217" i="5" s="1"/>
  <c r="AC217" i="5"/>
  <c r="V218" i="5"/>
  <c r="X218" i="5"/>
  <c r="AA218" i="5" s="1"/>
  <c r="Y218" i="5"/>
  <c r="AB218" i="5" s="1"/>
  <c r="AC218" i="5"/>
  <c r="V219" i="5"/>
  <c r="V220" i="5"/>
  <c r="Y220" i="5"/>
  <c r="V221" i="5"/>
  <c r="Y221" i="5"/>
  <c r="V222" i="5"/>
  <c r="X222" i="5"/>
  <c r="Y222" i="5"/>
  <c r="V223" i="5"/>
  <c r="W223" i="5"/>
  <c r="V224" i="5"/>
  <c r="W224" i="5"/>
  <c r="V225" i="5"/>
  <c r="X225" i="5"/>
  <c r="Y225" i="5"/>
  <c r="V226" i="5"/>
  <c r="X226" i="5"/>
  <c r="Y226" i="5"/>
  <c r="V227" i="5"/>
  <c r="X227" i="5"/>
  <c r="Y227" i="5"/>
  <c r="V228" i="5"/>
  <c r="X228" i="5"/>
  <c r="Y228" i="5"/>
  <c r="V229" i="5"/>
  <c r="X229" i="5"/>
  <c r="Y229" i="5"/>
  <c r="M219" i="5"/>
  <c r="L219" i="5"/>
  <c r="BY217" i="5" s="1"/>
  <c r="C242" i="5"/>
  <c r="N224" i="5"/>
  <c r="Q224" i="5" s="1"/>
  <c r="M224" i="5"/>
  <c r="L224" i="5"/>
  <c r="BY222" i="5" s="1"/>
  <c r="CB222" i="5" s="1"/>
  <c r="N223" i="5"/>
  <c r="Q223" i="5" s="1"/>
  <c r="M223" i="5"/>
  <c r="L223" i="5"/>
  <c r="BY221" i="5" s="1"/>
  <c r="CB221" i="5" s="1"/>
  <c r="B219" i="5"/>
  <c r="K220" i="5"/>
  <c r="BS218" i="5" s="1"/>
  <c r="BT218" i="5" s="1"/>
  <c r="K219" i="5"/>
  <c r="BS217" i="5" s="1"/>
  <c r="BT217" i="5" s="1"/>
  <c r="C239" i="5"/>
  <c r="O202" i="5"/>
  <c r="X203" i="5"/>
  <c r="AA203" i="5" s="1"/>
  <c r="O204" i="5"/>
  <c r="O205" i="5"/>
  <c r="O206" i="5"/>
  <c r="O209" i="5"/>
  <c r="O210" i="5"/>
  <c r="O211" i="5"/>
  <c r="O212" i="5"/>
  <c r="O213" i="5"/>
  <c r="O214" i="5"/>
  <c r="O215" i="5"/>
  <c r="O216" i="5"/>
  <c r="Q202" i="5"/>
  <c r="P203" i="5"/>
  <c r="P206" i="5"/>
  <c r="P209" i="5"/>
  <c r="P210" i="5"/>
  <c r="P211" i="5"/>
  <c r="P212" i="5"/>
  <c r="P213" i="5"/>
  <c r="P214" i="5"/>
  <c r="P215" i="5"/>
  <c r="P216" i="5"/>
  <c r="P202" i="5"/>
  <c r="L208" i="5"/>
  <c r="BY206" i="5" s="1"/>
  <c r="CB206" i="5" s="1"/>
  <c r="L207" i="5"/>
  <c r="BY205" i="5" s="1"/>
  <c r="CB205" i="5" s="1"/>
  <c r="P14" i="8"/>
  <c r="P10" i="8"/>
  <c r="P11" i="8"/>
  <c r="P9" i="8"/>
  <c r="P8" i="8"/>
  <c r="P7" i="8"/>
  <c r="P6" i="8"/>
  <c r="P5" i="8"/>
  <c r="P4" i="8"/>
  <c r="L14" i="8"/>
  <c r="G23" i="8"/>
  <c r="G21" i="8"/>
  <c r="G27" i="8" s="1"/>
  <c r="G20" i="8"/>
  <c r="B22" i="8"/>
  <c r="C17" i="8"/>
  <c r="L11" i="8" s="1"/>
  <c r="C16" i="8"/>
  <c r="L10" i="8" s="1"/>
  <c r="C13" i="8"/>
  <c r="C12" i="8"/>
  <c r="G12" i="8" s="1"/>
  <c r="L7" i="8" s="1"/>
  <c r="C11" i="8"/>
  <c r="L6" i="8" s="1"/>
  <c r="C10" i="8"/>
  <c r="L5" i="8" s="1"/>
  <c r="C9" i="8"/>
  <c r="G9" i="8" s="1"/>
  <c r="L4" i="8" s="1"/>
  <c r="R2" i="7"/>
  <c r="B20" i="7"/>
  <c r="W2" i="7" s="1"/>
  <c r="B18" i="7"/>
  <c r="B17" i="7"/>
  <c r="B21" i="7" s="1"/>
  <c r="B16" i="7"/>
  <c r="F8" i="7"/>
  <c r="F2" i="7"/>
  <c r="F3" i="7" s="1"/>
  <c r="F4" i="7" s="1"/>
  <c r="F5" i="7" s="1"/>
  <c r="B11" i="7" s="1"/>
  <c r="O54" i="5"/>
  <c r="O73" i="5"/>
  <c r="O92" i="5"/>
  <c r="O113" i="5"/>
  <c r="O133" i="5"/>
  <c r="O154" i="5"/>
  <c r="O175" i="5"/>
  <c r="AA175" i="5"/>
  <c r="AA154" i="5"/>
  <c r="AA133" i="5"/>
  <c r="AA113" i="5"/>
  <c r="AA92" i="5"/>
  <c r="AA73" i="5"/>
  <c r="AA54" i="5"/>
  <c r="Q180" i="5"/>
  <c r="Q159" i="5"/>
  <c r="Q138" i="5"/>
  <c r="Q118" i="5"/>
  <c r="AC180" i="5"/>
  <c r="AC159" i="5"/>
  <c r="AC138" i="5"/>
  <c r="AC118" i="5"/>
  <c r="AC97" i="5"/>
  <c r="AC78" i="5"/>
  <c r="AC59" i="5"/>
  <c r="AD57" i="5"/>
  <c r="Z57" i="5"/>
  <c r="C36" i="4"/>
  <c r="Q78" i="5"/>
  <c r="Q97" i="5"/>
  <c r="Q59" i="5"/>
  <c r="J35" i="5"/>
  <c r="J34" i="5"/>
  <c r="F71" i="5"/>
  <c r="F68" i="5"/>
  <c r="F65" i="5"/>
  <c r="F64" i="5"/>
  <c r="F57" i="5"/>
  <c r="L178" i="5" s="1"/>
  <c r="F54" i="5"/>
  <c r="L177" i="5" s="1"/>
  <c r="F51" i="5"/>
  <c r="F50" i="5"/>
  <c r="I52" i="6"/>
  <c r="J52" i="6" s="1"/>
  <c r="J51" i="6"/>
  <c r="I51" i="6"/>
  <c r="I50" i="6"/>
  <c r="J50" i="6" s="1"/>
  <c r="I49" i="6"/>
  <c r="J49" i="6" s="1"/>
  <c r="I48" i="6"/>
  <c r="J48" i="6" s="1"/>
  <c r="I47" i="6"/>
  <c r="J47" i="6" s="1"/>
  <c r="J46" i="6"/>
  <c r="I46" i="6"/>
  <c r="J45" i="6"/>
  <c r="I45" i="6"/>
  <c r="J44" i="6"/>
  <c r="B55" i="6" s="1"/>
  <c r="B56" i="6" s="1"/>
  <c r="B57" i="6" s="1"/>
  <c r="I44" i="6"/>
  <c r="I26" i="6"/>
  <c r="J26" i="6" s="1"/>
  <c r="J25" i="6"/>
  <c r="I25" i="6"/>
  <c r="I24" i="6"/>
  <c r="J24" i="6" s="1"/>
  <c r="I23" i="6"/>
  <c r="J23" i="6" s="1"/>
  <c r="I22" i="6"/>
  <c r="J22" i="6" s="1"/>
  <c r="J21" i="6"/>
  <c r="I21" i="6"/>
  <c r="J20" i="6"/>
  <c r="I20" i="6"/>
  <c r="J19" i="6"/>
  <c r="B29" i="6" s="1"/>
  <c r="B30" i="6" s="1"/>
  <c r="B31" i="6" s="1"/>
  <c r="I19" i="6"/>
  <c r="D28" i="5"/>
  <c r="D25" i="5"/>
  <c r="D23" i="5"/>
  <c r="F69" i="4"/>
  <c r="F68" i="4"/>
  <c r="J64" i="4" s="1"/>
  <c r="J65" i="4"/>
  <c r="F63" i="4"/>
  <c r="J62" i="4"/>
  <c r="J61" i="4"/>
  <c r="F61" i="4"/>
  <c r="D20" i="5"/>
  <c r="D19" i="5"/>
  <c r="D15" i="5"/>
  <c r="D16" i="5"/>
  <c r="D11" i="5"/>
  <c r="D10" i="5"/>
  <c r="D7" i="5"/>
  <c r="J57" i="3"/>
  <c r="P57" i="3"/>
  <c r="P58" i="3"/>
  <c r="P53" i="3"/>
  <c r="P54" i="3"/>
  <c r="J47" i="3"/>
  <c r="J56" i="3"/>
  <c r="J53" i="3"/>
  <c r="F32" i="4"/>
  <c r="AC6" i="3"/>
  <c r="AE6" i="3"/>
  <c r="AC11" i="3"/>
  <c r="AC9" i="3"/>
  <c r="F37" i="4"/>
  <c r="F36" i="4"/>
  <c r="F38" i="4" s="1"/>
  <c r="F31" i="4"/>
  <c r="F30" i="4"/>
  <c r="F13" i="4"/>
  <c r="F7" i="4"/>
  <c r="F6" i="4"/>
  <c r="Q65" i="3"/>
  <c r="Q62" i="3"/>
  <c r="F60" i="3"/>
  <c r="D54" i="3"/>
  <c r="M26" i="3"/>
  <c r="M25" i="3"/>
  <c r="E85" i="3"/>
  <c r="E84" i="3"/>
  <c r="E83" i="3"/>
  <c r="F21" i="3"/>
  <c r="F7" i="3"/>
  <c r="AE33" i="3"/>
  <c r="AT28" i="3"/>
  <c r="AT29" i="3" s="1"/>
  <c r="AM25" i="3"/>
  <c r="AV24" i="3"/>
  <c r="AE24" i="3"/>
  <c r="F24" i="3"/>
  <c r="F18" i="3"/>
  <c r="F17" i="3" s="1"/>
  <c r="AM16" i="3"/>
  <c r="AT15" i="3"/>
  <c r="AE15" i="3"/>
  <c r="F10" i="3"/>
  <c r="AM7" i="3"/>
  <c r="V7" i="3"/>
  <c r="AT6" i="3"/>
  <c r="V5" i="3"/>
  <c r="R5" i="3"/>
  <c r="W5" i="3" s="1"/>
  <c r="V4" i="3"/>
  <c r="F4" i="3"/>
  <c r="F3" i="3" s="1"/>
  <c r="C13" i="2"/>
  <c r="L4" i="1"/>
  <c r="L5" i="1"/>
  <c r="L6" i="1"/>
  <c r="E4" i="1"/>
  <c r="E6" i="1"/>
  <c r="E5" i="1"/>
  <c r="CU214" i="5" l="1"/>
  <c r="CT214" i="5"/>
  <c r="CS214" i="5"/>
  <c r="CU213" i="5"/>
  <c r="CT213" i="5"/>
  <c r="CS213" i="5"/>
  <c r="CU212" i="5"/>
  <c r="CT212" i="5"/>
  <c r="CU211" i="5"/>
  <c r="CT211" i="5"/>
  <c r="CS211" i="5"/>
  <c r="CT208" i="5"/>
  <c r="CU200" i="5"/>
  <c r="CT200" i="5"/>
  <c r="CU203" i="5"/>
  <c r="CT203" i="5"/>
  <c r="CS203" i="5"/>
  <c r="CU202" i="5"/>
  <c r="CT202" i="5"/>
  <c r="CS202" i="5"/>
  <c r="CU201" i="5"/>
  <c r="CT201" i="5"/>
  <c r="CS201" i="5"/>
  <c r="CS230" i="5" s="1"/>
  <c r="Q219" i="5"/>
  <c r="CB217" i="5"/>
  <c r="CD200" i="5"/>
  <c r="CC200" i="5"/>
  <c r="CB200" i="5"/>
  <c r="CC217" i="5"/>
  <c r="CD217" i="5"/>
  <c r="CC218" i="5"/>
  <c r="CD218" i="5"/>
  <c r="AC272" i="5"/>
  <c r="Y273" i="5" s="1"/>
  <c r="F12" i="10"/>
  <c r="G12" i="10" s="1"/>
  <c r="G11" i="10"/>
  <c r="G4" i="10"/>
  <c r="F5" i="10"/>
  <c r="G5" i="10" s="1"/>
  <c r="F19" i="10"/>
  <c r="G19" i="10" s="1"/>
  <c r="G18" i="10"/>
  <c r="G10" i="10"/>
  <c r="G17" i="10"/>
  <c r="G3" i="10"/>
  <c r="BG259" i="5"/>
  <c r="BG258" i="5"/>
  <c r="AU259" i="5"/>
  <c r="AU258" i="5"/>
  <c r="AI259" i="5"/>
  <c r="AI258" i="5"/>
  <c r="BG272" i="5"/>
  <c r="BM243" i="5"/>
  <c r="BL243" i="5"/>
  <c r="BK243" i="5"/>
  <c r="BH262" i="5"/>
  <c r="BK262" i="5" s="1"/>
  <c r="BK244" i="5"/>
  <c r="BM258" i="5"/>
  <c r="BL258" i="5"/>
  <c r="BK258" i="5"/>
  <c r="BM259" i="5"/>
  <c r="BL259" i="5"/>
  <c r="BK259" i="5"/>
  <c r="BL260" i="5"/>
  <c r="BM260" i="5"/>
  <c r="AU272" i="5"/>
  <c r="BA243" i="5"/>
  <c r="AZ243" i="5"/>
  <c r="AY243" i="5"/>
  <c r="AV262" i="5"/>
  <c r="AY262" i="5" s="1"/>
  <c r="AY244" i="5"/>
  <c r="BA258" i="5"/>
  <c r="AZ258" i="5"/>
  <c r="AY258" i="5"/>
  <c r="BA259" i="5"/>
  <c r="AZ259" i="5"/>
  <c r="AY259" i="5"/>
  <c r="AZ260" i="5"/>
  <c r="BA260" i="5"/>
  <c r="AI272" i="5"/>
  <c r="AO243" i="5"/>
  <c r="AN243" i="5"/>
  <c r="AM243" i="5"/>
  <c r="AJ262" i="5"/>
  <c r="AM262" i="5" s="1"/>
  <c r="AM244" i="5"/>
  <c r="AN260" i="5"/>
  <c r="AO260" i="5"/>
  <c r="Q243" i="5"/>
  <c r="Q272" i="5" s="1"/>
  <c r="P243" i="5"/>
  <c r="O243" i="5"/>
  <c r="P260" i="5"/>
  <c r="Q260" i="5"/>
  <c r="AB260" i="5"/>
  <c r="AC260" i="5"/>
  <c r="AB272" i="5"/>
  <c r="X262" i="5"/>
  <c r="AA262" i="5" s="1"/>
  <c r="L262" i="5"/>
  <c r="O258" i="5"/>
  <c r="O259" i="5"/>
  <c r="O261" i="5"/>
  <c r="O262" i="5"/>
  <c r="O263" i="5"/>
  <c r="O266" i="5"/>
  <c r="O270" i="5"/>
  <c r="AI218" i="5"/>
  <c r="AI217" i="5"/>
  <c r="F79" i="5"/>
  <c r="AI202" i="5"/>
  <c r="X207" i="5"/>
  <c r="AJ207" i="5"/>
  <c r="X208" i="5"/>
  <c r="AJ208" i="5"/>
  <c r="W219" i="5"/>
  <c r="AI219" i="5"/>
  <c r="W220" i="5"/>
  <c r="AI220" i="5"/>
  <c r="X223" i="5"/>
  <c r="AJ223" i="5"/>
  <c r="Y223" i="5"/>
  <c r="AK223" i="5"/>
  <c r="AN223" i="5" s="1"/>
  <c r="AC223" i="5"/>
  <c r="AO223" i="5"/>
  <c r="X224" i="5"/>
  <c r="AJ224" i="5"/>
  <c r="Y224" i="5"/>
  <c r="AK224" i="5"/>
  <c r="AN224" i="5" s="1"/>
  <c r="AC224" i="5"/>
  <c r="AO224" i="5"/>
  <c r="X219" i="5"/>
  <c r="AJ219" i="5"/>
  <c r="Y219" i="5"/>
  <c r="AK219" i="5"/>
  <c r="AN219" i="5" s="1"/>
  <c r="AO219" i="5"/>
  <c r="AM224" i="5"/>
  <c r="AM223" i="5"/>
  <c r="AN220" i="5"/>
  <c r="AM216" i="5"/>
  <c r="AM215" i="5"/>
  <c r="AM214" i="5"/>
  <c r="AM213" i="5"/>
  <c r="AM212" i="5"/>
  <c r="AM211" i="5"/>
  <c r="AM210" i="5"/>
  <c r="AM209" i="5"/>
  <c r="AM208" i="5"/>
  <c r="AM207" i="5"/>
  <c r="AM206" i="5"/>
  <c r="AM205" i="5"/>
  <c r="AM204" i="5"/>
  <c r="AO202" i="5"/>
  <c r="AN202" i="5"/>
  <c r="AB219" i="5"/>
  <c r="AA219" i="5"/>
  <c r="AB220" i="5"/>
  <c r="AC219" i="5"/>
  <c r="AB224" i="5"/>
  <c r="AA224" i="5"/>
  <c r="AB223" i="5"/>
  <c r="AA223" i="5"/>
  <c r="K228" i="5"/>
  <c r="BS226" i="5" s="1"/>
  <c r="BT226" i="5" s="1"/>
  <c r="P223" i="5"/>
  <c r="O224" i="5"/>
  <c r="P224" i="5"/>
  <c r="P219" i="5"/>
  <c r="O219" i="5"/>
  <c r="K227" i="5"/>
  <c r="BS225" i="5" s="1"/>
  <c r="BT225" i="5" s="1"/>
  <c r="P220" i="5"/>
  <c r="O223" i="5"/>
  <c r="L220" i="5"/>
  <c r="BY218" i="5" s="1"/>
  <c r="CB218" i="5" s="1"/>
  <c r="N220" i="5"/>
  <c r="Q220" i="5" s="1"/>
  <c r="K222" i="5"/>
  <c r="BS220" i="5" s="1"/>
  <c r="BT220" i="5" s="1"/>
  <c r="K221" i="5"/>
  <c r="BS219" i="5" s="1"/>
  <c r="BT219" i="5" s="1"/>
  <c r="K218" i="5"/>
  <c r="BS216" i="5" s="1"/>
  <c r="BT216" i="5" s="1"/>
  <c r="K217" i="5"/>
  <c r="O207" i="5"/>
  <c r="O208" i="5"/>
  <c r="O217" i="5"/>
  <c r="O218" i="5"/>
  <c r="P207" i="5"/>
  <c r="P208" i="5"/>
  <c r="P217" i="5"/>
  <c r="P218" i="5"/>
  <c r="C15" i="8"/>
  <c r="G15" i="8" s="1"/>
  <c r="C14" i="8"/>
  <c r="G14" i="8" s="1"/>
  <c r="L9" i="8" s="1"/>
  <c r="G13" i="8"/>
  <c r="L8" i="8" s="1"/>
  <c r="B23" i="8"/>
  <c r="B24" i="8" s="1"/>
  <c r="B25" i="8" s="1"/>
  <c r="B27" i="8" s="1"/>
  <c r="G25" i="8"/>
  <c r="G24" i="8"/>
  <c r="L2" i="7"/>
  <c r="M3" i="7" s="1"/>
  <c r="L135" i="5"/>
  <c r="L115" i="5"/>
  <c r="L156" i="5"/>
  <c r="L94" i="5"/>
  <c r="L56" i="5"/>
  <c r="L157" i="5"/>
  <c r="L116" i="5"/>
  <c r="L95" i="5"/>
  <c r="X177" i="5"/>
  <c r="X135" i="5"/>
  <c r="X115" i="5"/>
  <c r="X94" i="5"/>
  <c r="X56" i="5"/>
  <c r="X156" i="5"/>
  <c r="X116" i="5"/>
  <c r="X95" i="5"/>
  <c r="X76" i="5"/>
  <c r="X178" i="5"/>
  <c r="X157" i="5"/>
  <c r="R177" i="5"/>
  <c r="N177" i="5"/>
  <c r="R178" i="5"/>
  <c r="N178" i="5"/>
  <c r="R156" i="5"/>
  <c r="N156" i="5"/>
  <c r="R157" i="5"/>
  <c r="N157" i="5"/>
  <c r="R135" i="5"/>
  <c r="N135" i="5"/>
  <c r="R136" i="5"/>
  <c r="N136" i="5"/>
  <c r="R115" i="5"/>
  <c r="N115" i="5"/>
  <c r="R116" i="5"/>
  <c r="N116" i="5"/>
  <c r="AD177" i="5"/>
  <c r="Z177" i="5"/>
  <c r="AD178" i="5"/>
  <c r="Z178" i="5"/>
  <c r="AD156" i="5"/>
  <c r="Z156" i="5"/>
  <c r="AD135" i="5"/>
  <c r="Z135" i="5"/>
  <c r="AD136" i="5"/>
  <c r="Z136" i="5"/>
  <c r="AD115" i="5"/>
  <c r="Z115" i="5"/>
  <c r="AD116" i="5"/>
  <c r="Z116" i="5"/>
  <c r="AD56" i="5"/>
  <c r="Z56" i="5"/>
  <c r="AD75" i="5"/>
  <c r="Z75" i="5"/>
  <c r="AD76" i="5"/>
  <c r="Z76" i="5"/>
  <c r="AD94" i="5"/>
  <c r="Z94" i="5"/>
  <c r="AD95" i="5"/>
  <c r="Z95" i="5"/>
  <c r="AM53" i="5"/>
  <c r="AM56" i="5" s="1"/>
  <c r="AM52" i="5"/>
  <c r="AM55" i="5" s="1"/>
  <c r="AM51" i="5"/>
  <c r="AM54" i="5" s="1"/>
  <c r="C9" i="2"/>
  <c r="C7" i="2" s="1"/>
  <c r="C12" i="2" s="1"/>
  <c r="D8" i="5"/>
  <c r="J54" i="3"/>
  <c r="L76" i="5"/>
  <c r="J37" i="5"/>
  <c r="R56" i="5"/>
  <c r="N56" i="5"/>
  <c r="R57" i="5"/>
  <c r="N57" i="5"/>
  <c r="R94" i="5"/>
  <c r="N94" i="5"/>
  <c r="R95" i="5"/>
  <c r="N95" i="5"/>
  <c r="R75" i="5"/>
  <c r="N75" i="5"/>
  <c r="R76" i="5"/>
  <c r="N76" i="5"/>
  <c r="F56" i="5"/>
  <c r="F55" i="5"/>
  <c r="F70" i="5"/>
  <c r="F69" i="5"/>
  <c r="B32" i="6"/>
  <c r="B58" i="6"/>
  <c r="F72" i="5"/>
  <c r="F58" i="5"/>
  <c r="F64" i="4"/>
  <c r="C70" i="4" s="1"/>
  <c r="D30" i="5" s="1"/>
  <c r="F62" i="4"/>
  <c r="B78" i="4"/>
  <c r="B77" i="4"/>
  <c r="B76" i="4"/>
  <c r="B75" i="4"/>
  <c r="B74" i="4"/>
  <c r="D78" i="4"/>
  <c r="D77" i="4"/>
  <c r="D76" i="4"/>
  <c r="D75" i="4"/>
  <c r="D74" i="4"/>
  <c r="F70" i="4"/>
  <c r="B47" i="4"/>
  <c r="B46" i="4"/>
  <c r="B45" i="4"/>
  <c r="B44" i="4"/>
  <c r="B43" i="4"/>
  <c r="F35" i="4"/>
  <c r="B52" i="4" s="1"/>
  <c r="F33" i="4"/>
  <c r="D47" i="4"/>
  <c r="D46" i="4"/>
  <c r="D45" i="4"/>
  <c r="D44" i="4"/>
  <c r="D43" i="4"/>
  <c r="B23" i="4"/>
  <c r="D23" i="4" s="1"/>
  <c r="B22" i="4"/>
  <c r="D22" i="4" s="1"/>
  <c r="B19" i="4"/>
  <c r="D19" i="4" s="1"/>
  <c r="B21" i="4"/>
  <c r="D21" i="4" s="1"/>
  <c r="B20" i="4"/>
  <c r="D20" i="4" s="1"/>
  <c r="O7" i="3"/>
  <c r="T7" i="3" s="1"/>
  <c r="O6" i="3"/>
  <c r="O25" i="3"/>
  <c r="N25" i="3"/>
  <c r="P25" i="3" s="1"/>
  <c r="O26" i="3"/>
  <c r="N26" i="3"/>
  <c r="P26" i="3" s="1"/>
  <c r="V10" i="3"/>
  <c r="T10" i="3"/>
  <c r="F11" i="3"/>
  <c r="F12" i="3" s="1"/>
  <c r="F9" i="3"/>
  <c r="F8" i="3"/>
  <c r="AO15" i="3"/>
  <c r="P4" i="3" s="1"/>
  <c r="AG15" i="3"/>
  <c r="AF15" i="3"/>
  <c r="AT19" i="3" s="1"/>
  <c r="F25" i="3"/>
  <c r="F23" i="3"/>
  <c r="F22" i="3"/>
  <c r="AO24" i="3"/>
  <c r="P5" i="3" s="1"/>
  <c r="AG24" i="3"/>
  <c r="AF24" i="3"/>
  <c r="CU230" i="5" l="1"/>
  <c r="CT230" i="5"/>
  <c r="BS215" i="5"/>
  <c r="BT215" i="5" s="1"/>
  <c r="CD216" i="5"/>
  <c r="CC216" i="5"/>
  <c r="CD219" i="5"/>
  <c r="CC219" i="5"/>
  <c r="CD220" i="5"/>
  <c r="CC220" i="5"/>
  <c r="Q218" i="5"/>
  <c r="CB216" i="5"/>
  <c r="Q221" i="5"/>
  <c r="Q222" i="5"/>
  <c r="CB220" i="5"/>
  <c r="Q227" i="5"/>
  <c r="CD225" i="5"/>
  <c r="CC225" i="5"/>
  <c r="CB225" i="5"/>
  <c r="CD226" i="5"/>
  <c r="CC226" i="5"/>
  <c r="CB226" i="5"/>
  <c r="J66" i="4"/>
  <c r="D24" i="5"/>
  <c r="Q228" i="5"/>
  <c r="O228" i="5"/>
  <c r="Q217" i="5"/>
  <c r="BA272" i="5"/>
  <c r="AW273" i="5" s="1"/>
  <c r="BM272" i="5"/>
  <c r="BI273" i="5" s="1"/>
  <c r="AM249" i="5"/>
  <c r="AV249" i="5"/>
  <c r="AA208" i="5"/>
  <c r="AM248" i="5"/>
  <c r="AV248" i="5"/>
  <c r="AA207" i="5"/>
  <c r="AM258" i="5"/>
  <c r="AO258" i="5"/>
  <c r="AN258" i="5"/>
  <c r="AO259" i="5"/>
  <c r="AN259" i="5"/>
  <c r="AM259" i="5"/>
  <c r="BL272" i="5"/>
  <c r="AZ272" i="5"/>
  <c r="AM272" i="5"/>
  <c r="AI273" i="5" s="1"/>
  <c r="AA249" i="5"/>
  <c r="AA248" i="5"/>
  <c r="AA272" i="5" s="1"/>
  <c r="W273" i="5"/>
  <c r="O267" i="5"/>
  <c r="K272" i="5"/>
  <c r="M273" i="5" s="1"/>
  <c r="O268" i="5"/>
  <c r="O269" i="5"/>
  <c r="O272" i="5"/>
  <c r="K273" i="5" s="1"/>
  <c r="P272" i="5"/>
  <c r="AM217" i="5"/>
  <c r="AO217" i="5"/>
  <c r="AN217" i="5"/>
  <c r="AM218" i="5"/>
  <c r="AO218" i="5"/>
  <c r="AN218" i="5"/>
  <c r="W221" i="5"/>
  <c r="AI221" i="5"/>
  <c r="W222" i="5"/>
  <c r="AA222" i="5" s="1"/>
  <c r="AI222" i="5"/>
  <c r="AC220" i="5"/>
  <c r="AO220" i="5"/>
  <c r="X220" i="5"/>
  <c r="AA220" i="5" s="1"/>
  <c r="AJ220" i="5"/>
  <c r="W227" i="5"/>
  <c r="AI227" i="5"/>
  <c r="W228" i="5"/>
  <c r="AI228" i="5"/>
  <c r="AO221" i="5"/>
  <c r="AM220" i="5"/>
  <c r="AM219" i="5"/>
  <c r="AM202" i="5"/>
  <c r="AB221" i="5"/>
  <c r="AC221" i="5"/>
  <c r="AB222" i="5"/>
  <c r="AC222" i="5"/>
  <c r="AB227" i="5"/>
  <c r="AA227" i="5"/>
  <c r="AC227" i="5"/>
  <c r="AB228" i="5"/>
  <c r="AA228" i="5"/>
  <c r="AC228" i="5"/>
  <c r="P228" i="5"/>
  <c r="O220" i="5"/>
  <c r="P221" i="5"/>
  <c r="P222" i="5"/>
  <c r="O222" i="5"/>
  <c r="P227" i="5"/>
  <c r="O227" i="5"/>
  <c r="J38" i="5"/>
  <c r="K229" i="5" s="1"/>
  <c r="P231" i="5"/>
  <c r="AN231" i="5" s="1"/>
  <c r="B29" i="8"/>
  <c r="B28" i="8"/>
  <c r="N3" i="7"/>
  <c r="O3" i="7"/>
  <c r="AD157" i="5"/>
  <c r="Z157" i="5"/>
  <c r="D18" i="5"/>
  <c r="P56" i="3"/>
  <c r="F39" i="4"/>
  <c r="B59" i="6"/>
  <c r="E7" i="6" s="1"/>
  <c r="E6" i="6"/>
  <c r="B60" i="6"/>
  <c r="E8" i="6" s="1"/>
  <c r="B33" i="6"/>
  <c r="B7" i="6" s="1"/>
  <c r="B6" i="6"/>
  <c r="B34" i="6"/>
  <c r="B8" i="6" s="1"/>
  <c r="J67" i="4"/>
  <c r="F67" i="4"/>
  <c r="F65" i="4"/>
  <c r="D52" i="3"/>
  <c r="E50" i="3" s="1"/>
  <c r="N6" i="3" s="1"/>
  <c r="V6" i="3" s="1"/>
  <c r="D3" i="5"/>
  <c r="F34" i="4"/>
  <c r="C43" i="4"/>
  <c r="H82" i="3"/>
  <c r="H84" i="3" s="1"/>
  <c r="N9" i="3"/>
  <c r="N8" i="3"/>
  <c r="AM24" i="3"/>
  <c r="AH24" i="3"/>
  <c r="AI24" i="3" s="1"/>
  <c r="O5" i="3" s="1"/>
  <c r="T5" i="3" s="1"/>
  <c r="U5" i="3"/>
  <c r="AV15" i="3"/>
  <c r="R4" i="3" s="1"/>
  <c r="W4" i="3" s="1"/>
  <c r="AM15" i="3"/>
  <c r="U4" i="3"/>
  <c r="BS227" i="5" l="1"/>
  <c r="BT227" i="5" s="1"/>
  <c r="CD215" i="5"/>
  <c r="CC215" i="5"/>
  <c r="BX229" i="5" s="1"/>
  <c r="CB215" i="5"/>
  <c r="AI229" i="5"/>
  <c r="Q229" i="5"/>
  <c r="AO272" i="5"/>
  <c r="AK273" i="5" s="1"/>
  <c r="J52" i="3"/>
  <c r="P52" i="3" s="1"/>
  <c r="Q50" i="3" s="1"/>
  <c r="AN272" i="5"/>
  <c r="BH248" i="5"/>
  <c r="BK248" i="5" s="1"/>
  <c r="AY248" i="5"/>
  <c r="BH249" i="5"/>
  <c r="BK249" i="5" s="1"/>
  <c r="AY249" i="5"/>
  <c r="AM229" i="5"/>
  <c r="AO229" i="5"/>
  <c r="AN229" i="5"/>
  <c r="AM228" i="5"/>
  <c r="AO228" i="5"/>
  <c r="AN228" i="5"/>
  <c r="AM227" i="5"/>
  <c r="AO227" i="5"/>
  <c r="AN227" i="5"/>
  <c r="AM222" i="5"/>
  <c r="AO222" i="5"/>
  <c r="AN222" i="5"/>
  <c r="AN221" i="5"/>
  <c r="W229" i="5"/>
  <c r="P229" i="5"/>
  <c r="O229" i="5"/>
  <c r="D34" i="5"/>
  <c r="K225" i="5"/>
  <c r="S3" i="7"/>
  <c r="V3" i="7"/>
  <c r="U3" i="7" s="1"/>
  <c r="T6" i="3"/>
  <c r="P3" i="7"/>
  <c r="W3" i="7" s="1"/>
  <c r="Q3" i="7"/>
  <c r="R3" i="7"/>
  <c r="L93" i="5"/>
  <c r="L55" i="5"/>
  <c r="X55" i="5" s="1"/>
  <c r="L74" i="5"/>
  <c r="X74" i="5" s="1"/>
  <c r="F66" i="4"/>
  <c r="J63" i="4"/>
  <c r="F71" i="4"/>
  <c r="G7" i="5"/>
  <c r="L91" i="5" s="1"/>
  <c r="G4" i="5"/>
  <c r="L90" i="5" s="1"/>
  <c r="G10" i="5"/>
  <c r="L92" i="5" s="1"/>
  <c r="C47" i="4"/>
  <c r="C46" i="4"/>
  <c r="C45" i="4"/>
  <c r="C44" i="4"/>
  <c r="T8" i="3"/>
  <c r="V8" i="3"/>
  <c r="T9" i="3"/>
  <c r="V9" i="3"/>
  <c r="BS223" i="5" l="1"/>
  <c r="BT223" i="5" s="1"/>
  <c r="CD227" i="5"/>
  <c r="CC227" i="5"/>
  <c r="CB227" i="5"/>
  <c r="Q225" i="5"/>
  <c r="AI225" i="5"/>
  <c r="AY272" i="5"/>
  <c r="AU273" i="5" s="1"/>
  <c r="BK272" i="5"/>
  <c r="BG273" i="5" s="1"/>
  <c r="AM225" i="5"/>
  <c r="AO225" i="5"/>
  <c r="AN225" i="5"/>
  <c r="W225" i="5"/>
  <c r="AB229" i="5"/>
  <c r="AA229" i="5"/>
  <c r="AC229" i="5"/>
  <c r="K226" i="5"/>
  <c r="P225" i="5"/>
  <c r="O225" i="5"/>
  <c r="L3" i="7"/>
  <c r="M4" i="7" s="1"/>
  <c r="X92" i="5"/>
  <c r="X113" i="5" s="1"/>
  <c r="L113" i="5"/>
  <c r="X90" i="5"/>
  <c r="X111" i="5" s="1"/>
  <c r="L111" i="5"/>
  <c r="X91" i="5"/>
  <c r="X112" i="5" s="1"/>
  <c r="L112" i="5"/>
  <c r="X93" i="5"/>
  <c r="X114" i="5" s="1"/>
  <c r="L114" i="5"/>
  <c r="AD74" i="5"/>
  <c r="Z74" i="5"/>
  <c r="AD55" i="5"/>
  <c r="Z55" i="5"/>
  <c r="L97" i="5"/>
  <c r="N102" i="5" s="1"/>
  <c r="R92" i="5"/>
  <c r="N92" i="5"/>
  <c r="R90" i="5"/>
  <c r="N90" i="5"/>
  <c r="R91" i="5"/>
  <c r="N91" i="5"/>
  <c r="R93" i="5"/>
  <c r="N93" i="5"/>
  <c r="R55" i="5"/>
  <c r="N55" i="5"/>
  <c r="R74" i="5"/>
  <c r="N74" i="5"/>
  <c r="L54" i="5"/>
  <c r="N54" i="5" s="1"/>
  <c r="L73" i="5"/>
  <c r="X73" i="5" s="1"/>
  <c r="L52" i="5"/>
  <c r="L71" i="5"/>
  <c r="X71" i="5" s="1"/>
  <c r="L53" i="5"/>
  <c r="L72" i="5"/>
  <c r="X72" i="5" s="1"/>
  <c r="N53" i="5"/>
  <c r="G16" i="5"/>
  <c r="C78" i="4"/>
  <c r="C77" i="4"/>
  <c r="C76" i="4"/>
  <c r="C75" i="4"/>
  <c r="C74" i="4"/>
  <c r="G43" i="4"/>
  <c r="F43" i="4"/>
  <c r="E43" i="4"/>
  <c r="G44" i="4"/>
  <c r="F44" i="4"/>
  <c r="E44" i="4"/>
  <c r="G45" i="4"/>
  <c r="F45" i="4"/>
  <c r="E45" i="4"/>
  <c r="G46" i="4"/>
  <c r="F46" i="4"/>
  <c r="E46" i="4"/>
  <c r="G47" i="4"/>
  <c r="F47" i="4"/>
  <c r="E47" i="4"/>
  <c r="F12" i="4"/>
  <c r="F14" i="4" s="1"/>
  <c r="F8" i="4"/>
  <c r="AC7" i="3"/>
  <c r="AF6" i="3"/>
  <c r="BS224" i="5" l="1"/>
  <c r="BT224" i="5" s="1"/>
  <c r="CD223" i="5"/>
  <c r="CC223" i="5"/>
  <c r="BS229" i="5"/>
  <c r="CB223" i="5"/>
  <c r="F11" i="4"/>
  <c r="F40" i="4" s="1"/>
  <c r="K274" i="5"/>
  <c r="W274" i="5"/>
  <c r="AI274" i="5"/>
  <c r="BG274" i="5"/>
  <c r="AU274" i="5"/>
  <c r="Q226" i="5"/>
  <c r="K231" i="5"/>
  <c r="Q231" i="5"/>
  <c r="M232" i="5" s="1"/>
  <c r="X97" i="5"/>
  <c r="Z102" i="5" s="1"/>
  <c r="Z92" i="5"/>
  <c r="AD92" i="5"/>
  <c r="X52" i="5"/>
  <c r="AI226" i="5"/>
  <c r="AM226" i="5"/>
  <c r="AO226" i="5"/>
  <c r="AO231" i="5" s="1"/>
  <c r="AN226" i="5"/>
  <c r="AI231" i="5"/>
  <c r="W226" i="5"/>
  <c r="W231" i="5" s="1"/>
  <c r="AB225" i="5"/>
  <c r="AA225" i="5"/>
  <c r="AC225" i="5"/>
  <c r="C238" i="5"/>
  <c r="P226" i="5"/>
  <c r="O226" i="5"/>
  <c r="M57" i="5"/>
  <c r="O4" i="7"/>
  <c r="N4" i="7"/>
  <c r="Z93" i="5"/>
  <c r="M55" i="5"/>
  <c r="B50" i="4"/>
  <c r="AD93" i="5"/>
  <c r="N52" i="5"/>
  <c r="Z91" i="5"/>
  <c r="AD91" i="5"/>
  <c r="Z90" i="5"/>
  <c r="AD90" i="5"/>
  <c r="L134" i="5"/>
  <c r="R114" i="5"/>
  <c r="N114" i="5"/>
  <c r="X134" i="5"/>
  <c r="AD114" i="5"/>
  <c r="Z114" i="5"/>
  <c r="L132" i="5"/>
  <c r="R112" i="5"/>
  <c r="N112" i="5"/>
  <c r="X132" i="5"/>
  <c r="AD112" i="5"/>
  <c r="Z112" i="5"/>
  <c r="L131" i="5"/>
  <c r="L118" i="5"/>
  <c r="N123" i="5" s="1"/>
  <c r="R111" i="5"/>
  <c r="N111" i="5"/>
  <c r="X131" i="5"/>
  <c r="X118" i="5"/>
  <c r="Z123" i="5" s="1"/>
  <c r="AD111" i="5"/>
  <c r="Z111" i="5"/>
  <c r="L133" i="5"/>
  <c r="R113" i="5"/>
  <c r="N113" i="5"/>
  <c r="X133" i="5"/>
  <c r="AD113" i="5"/>
  <c r="Z113" i="5"/>
  <c r="AD72" i="5"/>
  <c r="Z72" i="5"/>
  <c r="R53" i="5"/>
  <c r="X53" i="5"/>
  <c r="X78" i="5"/>
  <c r="Z83" i="5" s="1"/>
  <c r="AD71" i="5"/>
  <c r="Z71" i="5"/>
  <c r="AD52" i="5"/>
  <c r="Z52" i="5"/>
  <c r="AD73" i="5"/>
  <c r="Z73" i="5"/>
  <c r="R54" i="5"/>
  <c r="X54" i="5"/>
  <c r="L78" i="5"/>
  <c r="N83" i="5" s="1"/>
  <c r="L59" i="5"/>
  <c r="N63" i="5" s="1"/>
  <c r="R97" i="5"/>
  <c r="O102" i="5" s="1"/>
  <c r="R72" i="5"/>
  <c r="N72" i="5"/>
  <c r="R71" i="5"/>
  <c r="N71" i="5"/>
  <c r="R52" i="5"/>
  <c r="R73" i="5"/>
  <c r="N73" i="5"/>
  <c r="G74" i="4"/>
  <c r="F74" i="4"/>
  <c r="E74" i="4"/>
  <c r="G75" i="4"/>
  <c r="F75" i="4"/>
  <c r="E75" i="4"/>
  <c r="G76" i="4"/>
  <c r="F76" i="4"/>
  <c r="E76" i="4"/>
  <c r="G77" i="4"/>
  <c r="F77" i="4"/>
  <c r="E77" i="4"/>
  <c r="G78" i="4"/>
  <c r="F78" i="4"/>
  <c r="E78" i="4"/>
  <c r="AO6" i="3"/>
  <c r="P3" i="3" s="1"/>
  <c r="AG6" i="3"/>
  <c r="F9" i="4"/>
  <c r="F15" i="4"/>
  <c r="CD224" i="5" l="1"/>
  <c r="BY229" i="5" s="1"/>
  <c r="BU230" i="5" s="1"/>
  <c r="CC224" i="5"/>
  <c r="CB224" i="5"/>
  <c r="F10" i="4"/>
  <c r="AK232" i="5"/>
  <c r="AD97" i="5"/>
  <c r="AA102" i="5" s="1"/>
  <c r="AB226" i="5"/>
  <c r="AA226" i="5"/>
  <c r="AC226" i="5"/>
  <c r="AC231" i="5" s="1"/>
  <c r="Y232" i="5" s="1"/>
  <c r="S4" i="7"/>
  <c r="V4" i="7"/>
  <c r="U4" i="7" s="1"/>
  <c r="R4" i="7"/>
  <c r="Q4" i="7"/>
  <c r="L4" i="7" s="1"/>
  <c r="M5" i="7" s="1"/>
  <c r="P4" i="7"/>
  <c r="W4" i="7" s="1"/>
  <c r="R59" i="5"/>
  <c r="O63" i="5" s="1"/>
  <c r="X154" i="5"/>
  <c r="AD133" i="5"/>
  <c r="Z133" i="5"/>
  <c r="L154" i="5"/>
  <c r="R133" i="5"/>
  <c r="N133" i="5"/>
  <c r="AD118" i="5"/>
  <c r="AA123" i="5" s="1"/>
  <c r="X152" i="5"/>
  <c r="X138" i="5"/>
  <c r="Z143" i="5" s="1"/>
  <c r="AD131" i="5"/>
  <c r="Z131" i="5"/>
  <c r="R118" i="5"/>
  <c r="O123" i="5" s="1"/>
  <c r="L152" i="5"/>
  <c r="L138" i="5"/>
  <c r="N143" i="5" s="1"/>
  <c r="R131" i="5"/>
  <c r="N131" i="5"/>
  <c r="X153" i="5"/>
  <c r="AD132" i="5"/>
  <c r="Z132" i="5"/>
  <c r="L153" i="5"/>
  <c r="R132" i="5"/>
  <c r="N132" i="5"/>
  <c r="X155" i="5"/>
  <c r="AD134" i="5"/>
  <c r="Z134" i="5"/>
  <c r="L155" i="5"/>
  <c r="R134" i="5"/>
  <c r="N134" i="5"/>
  <c r="C37" i="4"/>
  <c r="M74" i="5"/>
  <c r="AD54" i="5"/>
  <c r="Z54" i="5"/>
  <c r="X59" i="5"/>
  <c r="Z63" i="5" s="1"/>
  <c r="AD78" i="5"/>
  <c r="AA83" i="5" s="1"/>
  <c r="AD53" i="5"/>
  <c r="Z53" i="5"/>
  <c r="AC10" i="3"/>
  <c r="M52" i="5"/>
  <c r="M56" i="5"/>
  <c r="M93" i="5"/>
  <c r="M114" i="5" s="1"/>
  <c r="P74" i="5"/>
  <c r="M76" i="5"/>
  <c r="M75" i="5"/>
  <c r="M71" i="5"/>
  <c r="M53" i="5"/>
  <c r="Y53" i="5" s="1"/>
  <c r="R78" i="5"/>
  <c r="O83" i="5" s="1"/>
  <c r="C23" i="4"/>
  <c r="G23" i="4" s="1"/>
  <c r="C22" i="4"/>
  <c r="G22" i="4" s="1"/>
  <c r="C21" i="4"/>
  <c r="G21" i="4" s="1"/>
  <c r="C20" i="4"/>
  <c r="C19" i="4"/>
  <c r="AH6" i="3"/>
  <c r="AI6" i="3" s="1"/>
  <c r="O3" i="3" s="1"/>
  <c r="AV6" i="3"/>
  <c r="R3" i="3" s="1"/>
  <c r="AM6" i="3"/>
  <c r="F16" i="4" l="1"/>
  <c r="AC8" i="3" s="1"/>
  <c r="J55" i="3"/>
  <c r="K50" i="3" s="1"/>
  <c r="N3" i="3" s="1"/>
  <c r="T3" i="3" s="1"/>
  <c r="AD59" i="5"/>
  <c r="AA63" i="5" s="1"/>
  <c r="Y52" i="5"/>
  <c r="O5" i="7"/>
  <c r="N5" i="7"/>
  <c r="M134" i="5"/>
  <c r="P114" i="5"/>
  <c r="L176" i="5"/>
  <c r="R155" i="5"/>
  <c r="N155" i="5"/>
  <c r="X176" i="5"/>
  <c r="AD155" i="5"/>
  <c r="Z155" i="5"/>
  <c r="L174" i="5"/>
  <c r="R153" i="5"/>
  <c r="N153" i="5"/>
  <c r="X174" i="5"/>
  <c r="AD153" i="5"/>
  <c r="Z153" i="5"/>
  <c r="R138" i="5"/>
  <c r="O143" i="5" s="1"/>
  <c r="L173" i="5"/>
  <c r="L159" i="5"/>
  <c r="N164" i="5" s="1"/>
  <c r="R152" i="5"/>
  <c r="N152" i="5"/>
  <c r="AD138" i="5"/>
  <c r="AA143" i="5" s="1"/>
  <c r="X173" i="5"/>
  <c r="X159" i="5"/>
  <c r="Z164" i="5" s="1"/>
  <c r="AD152" i="5"/>
  <c r="Z152" i="5"/>
  <c r="L175" i="5"/>
  <c r="R154" i="5"/>
  <c r="N154" i="5"/>
  <c r="X175" i="5"/>
  <c r="AD154" i="5"/>
  <c r="Z154" i="5"/>
  <c r="Y72" i="5"/>
  <c r="AB53" i="5"/>
  <c r="P93" i="5"/>
  <c r="Y93" i="5"/>
  <c r="P57" i="5"/>
  <c r="Y57" i="5"/>
  <c r="P56" i="5"/>
  <c r="Y56" i="5"/>
  <c r="Y71" i="5"/>
  <c r="AB52" i="5"/>
  <c r="P55" i="5"/>
  <c r="Y55" i="5"/>
  <c r="P53" i="5"/>
  <c r="M54" i="5"/>
  <c r="AK55" i="5" s="1"/>
  <c r="AL55" i="5" s="1"/>
  <c r="M73" i="5"/>
  <c r="M72" i="5"/>
  <c r="B51" i="4"/>
  <c r="B53" i="4" s="1"/>
  <c r="M90" i="5"/>
  <c r="P71" i="5"/>
  <c r="M94" i="5"/>
  <c r="P75" i="5"/>
  <c r="M95" i="5"/>
  <c r="P76" i="5"/>
  <c r="P52" i="5"/>
  <c r="M27" i="3"/>
  <c r="E19" i="4"/>
  <c r="F19" i="4"/>
  <c r="G19" i="4"/>
  <c r="E20" i="4"/>
  <c r="F20" i="4"/>
  <c r="G20" i="4"/>
  <c r="E21" i="4"/>
  <c r="F21" i="4"/>
  <c r="E22" i="4"/>
  <c r="F22" i="4"/>
  <c r="E23" i="4"/>
  <c r="F23" i="4"/>
  <c r="AK52" i="5" l="1"/>
  <c r="AL52" i="5" s="1"/>
  <c r="AK53" i="5"/>
  <c r="AL53" i="5" s="1"/>
  <c r="AK54" i="5"/>
  <c r="AL54" i="5" s="1"/>
  <c r="N12" i="3"/>
  <c r="V3" i="3"/>
  <c r="U3" i="3"/>
  <c r="W3" i="3"/>
  <c r="AK51" i="5"/>
  <c r="AL51" i="5" s="1"/>
  <c r="AK56" i="5"/>
  <c r="AL56" i="5" s="1"/>
  <c r="S5" i="7"/>
  <c r="V5" i="7"/>
  <c r="U5" i="7" s="1"/>
  <c r="R5" i="7"/>
  <c r="Q5" i="7"/>
  <c r="L5" i="7" s="1"/>
  <c r="M6" i="7" s="1"/>
  <c r="P5" i="7"/>
  <c r="W5" i="7" s="1"/>
  <c r="P95" i="5"/>
  <c r="M116" i="5"/>
  <c r="P94" i="5"/>
  <c r="M115" i="5"/>
  <c r="P90" i="5"/>
  <c r="M111" i="5"/>
  <c r="AB93" i="5"/>
  <c r="Y114" i="5"/>
  <c r="AD175" i="5"/>
  <c r="Z175" i="5"/>
  <c r="R175" i="5"/>
  <c r="N175" i="5"/>
  <c r="AD159" i="5"/>
  <c r="AA164" i="5" s="1"/>
  <c r="X180" i="5"/>
  <c r="Z185" i="5" s="1"/>
  <c r="AD173" i="5"/>
  <c r="Z173" i="5"/>
  <c r="R159" i="5"/>
  <c r="O164" i="5" s="1"/>
  <c r="L180" i="5"/>
  <c r="N185" i="5" s="1"/>
  <c r="R173" i="5"/>
  <c r="N173" i="5"/>
  <c r="AD174" i="5"/>
  <c r="Z174" i="5"/>
  <c r="R174" i="5"/>
  <c r="N174" i="5"/>
  <c r="AD176" i="5"/>
  <c r="Z176" i="5"/>
  <c r="R176" i="5"/>
  <c r="N176" i="5"/>
  <c r="M155" i="5"/>
  <c r="P134" i="5"/>
  <c r="P54" i="5"/>
  <c r="P59" i="5" s="1"/>
  <c r="M63" i="5" s="1"/>
  <c r="M64" i="5" s="1"/>
  <c r="Y54" i="5"/>
  <c r="Y74" i="5"/>
  <c r="AB74" i="5" s="1"/>
  <c r="AB55" i="5"/>
  <c r="Y90" i="5"/>
  <c r="AB71" i="5"/>
  <c r="Y75" i="5"/>
  <c r="AB56" i="5"/>
  <c r="Y76" i="5"/>
  <c r="AB57" i="5"/>
  <c r="Y91" i="5"/>
  <c r="AB72" i="5"/>
  <c r="AC20" i="3"/>
  <c r="AH15" i="3" s="1"/>
  <c r="AI15" i="3" s="1"/>
  <c r="O4" i="3" s="1"/>
  <c r="T4" i="3" s="1"/>
  <c r="T12" i="3" s="1"/>
  <c r="O12" i="3" s="1"/>
  <c r="J82" i="3" s="1"/>
  <c r="J42" i="4"/>
  <c r="J43" i="4"/>
  <c r="J44" i="4"/>
  <c r="J45" i="4"/>
  <c r="J46" i="4"/>
  <c r="K42" i="4"/>
  <c r="K43" i="4"/>
  <c r="K44" i="4"/>
  <c r="K45" i="4"/>
  <c r="K46" i="4"/>
  <c r="M91" i="5"/>
  <c r="P72" i="5"/>
  <c r="M92" i="5"/>
  <c r="P73" i="5"/>
  <c r="N27" i="3"/>
  <c r="O27" i="3"/>
  <c r="O6" i="7" l="1"/>
  <c r="N6" i="7"/>
  <c r="P92" i="5"/>
  <c r="M113" i="5"/>
  <c r="P91" i="5"/>
  <c r="P97" i="5" s="1"/>
  <c r="M112" i="5"/>
  <c r="AB91" i="5"/>
  <c r="Y112" i="5"/>
  <c r="AB90" i="5"/>
  <c r="Y111" i="5"/>
  <c r="M176" i="5"/>
  <c r="P176" i="5" s="1"/>
  <c r="P155" i="5"/>
  <c r="R180" i="5"/>
  <c r="O185" i="5" s="1"/>
  <c r="AD180" i="5"/>
  <c r="AA185" i="5" s="1"/>
  <c r="Y134" i="5"/>
  <c r="AB114" i="5"/>
  <c r="M131" i="5"/>
  <c r="P111" i="5"/>
  <c r="M135" i="5"/>
  <c r="P115" i="5"/>
  <c r="M136" i="5"/>
  <c r="P116" i="5"/>
  <c r="Y95" i="5"/>
  <c r="AB76" i="5"/>
  <c r="Y94" i="5"/>
  <c r="AB75" i="5"/>
  <c r="Y73" i="5"/>
  <c r="AB54" i="5"/>
  <c r="AB59" i="5" s="1"/>
  <c r="P78" i="5"/>
  <c r="M83" i="5" s="1"/>
  <c r="M84" i="5" s="1"/>
  <c r="P27" i="3"/>
  <c r="S6" i="7" l="1"/>
  <c r="V6" i="7"/>
  <c r="U6" i="7" s="1"/>
  <c r="R6" i="7"/>
  <c r="Q6" i="7"/>
  <c r="L6" i="7" s="1"/>
  <c r="M7" i="7" s="1"/>
  <c r="P6" i="7"/>
  <c r="W6" i="7" s="1"/>
  <c r="M102" i="5"/>
  <c r="M103" i="5" s="1"/>
  <c r="Y63" i="5"/>
  <c r="Y64" i="5" s="1"/>
  <c r="AB94" i="5"/>
  <c r="Y115" i="5"/>
  <c r="AB95" i="5"/>
  <c r="Y116" i="5"/>
  <c r="M157" i="5"/>
  <c r="P136" i="5"/>
  <c r="M156" i="5"/>
  <c r="P135" i="5"/>
  <c r="M152" i="5"/>
  <c r="P131" i="5"/>
  <c r="Y155" i="5"/>
  <c r="AB134" i="5"/>
  <c r="Y131" i="5"/>
  <c r="AB111" i="5"/>
  <c r="Y132" i="5"/>
  <c r="AB112" i="5"/>
  <c r="M132" i="5"/>
  <c r="P112" i="5"/>
  <c r="M133" i="5"/>
  <c r="P113" i="5"/>
  <c r="Y92" i="5"/>
  <c r="AB73" i="5"/>
  <c r="AB78" i="5" s="1"/>
  <c r="Y83" i="5" s="1"/>
  <c r="Y84" i="5" s="1"/>
  <c r="O7" i="7" l="1"/>
  <c r="N7" i="7"/>
  <c r="AB92" i="5"/>
  <c r="AB97" i="5" s="1"/>
  <c r="Y113" i="5"/>
  <c r="M154" i="5"/>
  <c r="P133" i="5"/>
  <c r="P118" i="5"/>
  <c r="M123" i="5" s="1"/>
  <c r="M124" i="5" s="1"/>
  <c r="M153" i="5"/>
  <c r="P132" i="5"/>
  <c r="P138" i="5" s="1"/>
  <c r="M143" i="5" s="1"/>
  <c r="M144" i="5" s="1"/>
  <c r="Y153" i="5"/>
  <c r="AB132" i="5"/>
  <c r="Y152" i="5"/>
  <c r="AB131" i="5"/>
  <c r="Y176" i="5"/>
  <c r="AB176" i="5" s="1"/>
  <c r="AB155" i="5"/>
  <c r="M173" i="5"/>
  <c r="L203" i="5" s="1"/>
  <c r="P152" i="5"/>
  <c r="M177" i="5"/>
  <c r="P177" i="5" s="1"/>
  <c r="P156" i="5"/>
  <c r="M178" i="5"/>
  <c r="P178" i="5" s="1"/>
  <c r="P157" i="5"/>
  <c r="Y136" i="5"/>
  <c r="AB116" i="5"/>
  <c r="Y135" i="5"/>
  <c r="AB115" i="5"/>
  <c r="AJ203" i="5" l="1"/>
  <c r="AM203" i="5" s="1"/>
  <c r="BY201" i="5"/>
  <c r="CB201" i="5" s="1"/>
  <c r="O203" i="5"/>
  <c r="L221" i="5"/>
  <c r="BY219" i="5" s="1"/>
  <c r="CB219" i="5" s="1"/>
  <c r="P173" i="5"/>
  <c r="S7" i="7"/>
  <c r="V7" i="7"/>
  <c r="U7" i="7" s="1"/>
  <c r="R7" i="7"/>
  <c r="Q7" i="7"/>
  <c r="L7" i="7" s="1"/>
  <c r="M8" i="7" s="1"/>
  <c r="P7" i="7"/>
  <c r="W7" i="7" s="1"/>
  <c r="Y156" i="5"/>
  <c r="AB135" i="5"/>
  <c r="Y157" i="5"/>
  <c r="AB136" i="5"/>
  <c r="Y173" i="5"/>
  <c r="AB173" i="5" s="1"/>
  <c r="AB152" i="5"/>
  <c r="Y174" i="5"/>
  <c r="AB174" i="5" s="1"/>
  <c r="AB153" i="5"/>
  <c r="M174" i="5"/>
  <c r="P174" i="5" s="1"/>
  <c r="P153" i="5"/>
  <c r="M175" i="5"/>
  <c r="P175" i="5" s="1"/>
  <c r="P154" i="5"/>
  <c r="Y133" i="5"/>
  <c r="AB113" i="5"/>
  <c r="AB118" i="5" s="1"/>
  <c r="Y123" i="5" s="1"/>
  <c r="Y124" i="5" s="1"/>
  <c r="Y102" i="5"/>
  <c r="Y103" i="5" s="1"/>
  <c r="BW229" i="5" l="1"/>
  <c r="BS230" i="5" s="1"/>
  <c r="BS231" i="5" s="1"/>
  <c r="X221" i="5"/>
  <c r="AA221" i="5" s="1"/>
  <c r="AJ221" i="5"/>
  <c r="AM221" i="5" s="1"/>
  <c r="AM231" i="5" s="1"/>
  <c r="O221" i="5"/>
  <c r="O231" i="5" s="1"/>
  <c r="O8" i="7"/>
  <c r="N8" i="7"/>
  <c r="Y154" i="5"/>
  <c r="AB133" i="5"/>
  <c r="AB138" i="5" s="1"/>
  <c r="Y143" i="5" s="1"/>
  <c r="Y144" i="5" s="1"/>
  <c r="P159" i="5"/>
  <c r="M164" i="5" s="1"/>
  <c r="M165" i="5" s="1"/>
  <c r="P180" i="5"/>
  <c r="Y178" i="5"/>
  <c r="AB178" i="5" s="1"/>
  <c r="AB157" i="5"/>
  <c r="Y177" i="5"/>
  <c r="AB177" i="5" s="1"/>
  <c r="AB156" i="5"/>
  <c r="AX204" i="5" l="1"/>
  <c r="AY204" i="5" s="1"/>
  <c r="AX201" i="5"/>
  <c r="AI232" i="5"/>
  <c r="AI233" i="5" s="1"/>
  <c r="AX215" i="5"/>
  <c r="AY215" i="5" s="1"/>
  <c r="AX216" i="5"/>
  <c r="AY216" i="5" s="1"/>
  <c r="AX217" i="5"/>
  <c r="AY217" i="5" s="1"/>
  <c r="AX212" i="5"/>
  <c r="AY212" i="5" s="1"/>
  <c r="AX213" i="5"/>
  <c r="AY213" i="5" s="1"/>
  <c r="AX214" i="5"/>
  <c r="AY214" i="5" s="1"/>
  <c r="AX206" i="5"/>
  <c r="AY206" i="5" s="1"/>
  <c r="AX205" i="5"/>
  <c r="AY205" i="5" s="1"/>
  <c r="AX202" i="5"/>
  <c r="AY202" i="5" s="1"/>
  <c r="AX203" i="5"/>
  <c r="AY203" i="5" s="1"/>
  <c r="AY201" i="5"/>
  <c r="AA231" i="5"/>
  <c r="W232" i="5" s="1"/>
  <c r="W233" i="5"/>
  <c r="M185" i="5"/>
  <c r="M186" i="5" s="1"/>
  <c r="S8" i="7"/>
  <c r="V8" i="7"/>
  <c r="U8" i="7" s="1"/>
  <c r="R8" i="7"/>
  <c r="Q8" i="7"/>
  <c r="L8" i="7" s="1"/>
  <c r="M9" i="7" s="1"/>
  <c r="P8" i="7"/>
  <c r="W8" i="7" s="1"/>
  <c r="Y175" i="5"/>
  <c r="AB175" i="5" s="1"/>
  <c r="AB180" i="5" s="1"/>
  <c r="Y185" i="5" s="1"/>
  <c r="Y186" i="5" s="1"/>
  <c r="AB154" i="5"/>
  <c r="AB159" i="5" s="1"/>
  <c r="Y164" i="5" s="1"/>
  <c r="Y165" i="5" s="1"/>
  <c r="K232" i="5" l="1"/>
  <c r="K233" i="5" s="1"/>
  <c r="O9" i="7"/>
  <c r="N9" i="7"/>
  <c r="H7" i="4" l="1"/>
  <c r="S9" i="7"/>
  <c r="V9" i="7"/>
  <c r="U9" i="7" s="1"/>
  <c r="R9" i="7"/>
  <c r="Q9" i="7"/>
  <c r="L9" i="7" s="1"/>
  <c r="M10" i="7" s="1"/>
  <c r="P9" i="7"/>
  <c r="W9" i="7" s="1"/>
  <c r="O10" i="7" l="1"/>
  <c r="N10" i="7"/>
  <c r="S10" i="7" l="1"/>
  <c r="V10" i="7"/>
  <c r="U10" i="7" s="1"/>
  <c r="R10" i="7"/>
  <c r="Q10" i="7"/>
  <c r="L10" i="7" s="1"/>
  <c r="M11" i="7" s="1"/>
  <c r="P10" i="7"/>
  <c r="W10" i="7" s="1"/>
  <c r="O11" i="7" l="1"/>
  <c r="N11" i="7"/>
  <c r="S11" i="7" l="1"/>
  <c r="V11" i="7"/>
  <c r="U11" i="7" s="1"/>
  <c r="R11" i="7"/>
  <c r="Q11" i="7"/>
  <c r="L11" i="7" s="1"/>
  <c r="M12" i="7" s="1"/>
  <c r="P11" i="7"/>
  <c r="W11" i="7" s="1"/>
  <c r="O12" i="7" l="1"/>
  <c r="N12" i="7"/>
  <c r="S12" i="7" l="1"/>
  <c r="V12" i="7"/>
  <c r="U12" i="7" s="1"/>
  <c r="R12" i="7"/>
  <c r="Q12" i="7"/>
  <c r="L12" i="7" s="1"/>
  <c r="M13" i="7" s="1"/>
  <c r="P12" i="7"/>
  <c r="W12" i="7" s="1"/>
  <c r="O13" i="7" l="1"/>
  <c r="N13" i="7"/>
  <c r="S13" i="7" l="1"/>
  <c r="V13" i="7"/>
  <c r="U13" i="7" s="1"/>
  <c r="R13" i="7"/>
  <c r="Q13" i="7"/>
  <c r="L13" i="7" s="1"/>
  <c r="M14" i="7" s="1"/>
  <c r="P13" i="7"/>
  <c r="W13" i="7" s="1"/>
  <c r="O14" i="7" l="1"/>
  <c r="N14" i="7"/>
  <c r="S14" i="7" l="1"/>
  <c r="V14" i="7"/>
  <c r="U14" i="7" s="1"/>
  <c r="R14" i="7"/>
  <c r="Q14" i="7"/>
  <c r="L14" i="7" s="1"/>
  <c r="M15" i="7" s="1"/>
  <c r="P14" i="7"/>
  <c r="W14" i="7" s="1"/>
  <c r="O15" i="7" l="1"/>
  <c r="N15" i="7"/>
  <c r="S15" i="7" l="1"/>
  <c r="V15" i="7"/>
  <c r="U15" i="7" s="1"/>
  <c r="R15" i="7"/>
  <c r="Q15" i="7"/>
  <c r="L15" i="7" s="1"/>
  <c r="M16" i="7" s="1"/>
  <c r="P15" i="7"/>
  <c r="W15" i="7" s="1"/>
  <c r="O16" i="7" l="1"/>
  <c r="N16" i="7"/>
  <c r="S16" i="7" l="1"/>
  <c r="V16" i="7"/>
  <c r="U16" i="7" s="1"/>
  <c r="R16" i="7"/>
  <c r="Q16" i="7"/>
  <c r="L16" i="7" s="1"/>
  <c r="M17" i="7" s="1"/>
  <c r="P16" i="7"/>
  <c r="W16" i="7" s="1"/>
  <c r="O17" i="7" l="1"/>
  <c r="N17" i="7"/>
  <c r="S17" i="7" l="1"/>
  <c r="V17" i="7"/>
  <c r="U17" i="7" s="1"/>
  <c r="R17" i="7"/>
  <c r="Q17" i="7"/>
  <c r="L17" i="7" s="1"/>
  <c r="M18" i="7" s="1"/>
  <c r="P17" i="7"/>
  <c r="W17" i="7" s="1"/>
  <c r="O18" i="7" l="1"/>
  <c r="N18" i="7"/>
  <c r="S18" i="7" l="1"/>
  <c r="V18" i="7"/>
  <c r="U18" i="7" s="1"/>
  <c r="R18" i="7"/>
  <c r="Q18" i="7"/>
  <c r="L18" i="7" s="1"/>
  <c r="M19" i="7" s="1"/>
  <c r="P18" i="7"/>
  <c r="W18" i="7" s="1"/>
  <c r="O19" i="7" l="1"/>
  <c r="N19" i="7"/>
  <c r="S19" i="7" l="1"/>
  <c r="V19" i="7"/>
  <c r="U19" i="7" s="1"/>
  <c r="R19" i="7"/>
  <c r="Q19" i="7"/>
  <c r="L19" i="7" s="1"/>
  <c r="M20" i="7" s="1"/>
  <c r="P19" i="7"/>
  <c r="W19" i="7" s="1"/>
  <c r="O20" i="7" l="1"/>
  <c r="N20" i="7"/>
  <c r="S20" i="7" l="1"/>
  <c r="V20" i="7"/>
  <c r="U20" i="7" s="1"/>
  <c r="R20" i="7"/>
  <c r="Q20" i="7"/>
  <c r="L20" i="7" s="1"/>
  <c r="M21" i="7" s="1"/>
  <c r="P20" i="7"/>
  <c r="W20" i="7" s="1"/>
  <c r="O21" i="7" l="1"/>
  <c r="N21" i="7"/>
  <c r="S21" i="7" l="1"/>
  <c r="V21" i="7"/>
  <c r="U21" i="7" s="1"/>
  <c r="R21" i="7"/>
  <c r="Q21" i="7"/>
  <c r="L21" i="7" s="1"/>
  <c r="M22" i="7" s="1"/>
  <c r="P21" i="7"/>
  <c r="W21" i="7" s="1"/>
  <c r="O22" i="7" l="1"/>
  <c r="N22" i="7"/>
  <c r="S22" i="7" l="1"/>
  <c r="V22" i="7"/>
  <c r="U22" i="7" s="1"/>
  <c r="R22" i="7"/>
  <c r="Q22" i="7"/>
  <c r="L22" i="7" s="1"/>
  <c r="M23" i="7" s="1"/>
  <c r="P22" i="7"/>
  <c r="W22" i="7" s="1"/>
  <c r="O23" i="7" l="1"/>
  <c r="N23" i="7"/>
  <c r="S23" i="7" l="1"/>
  <c r="V23" i="7"/>
  <c r="U23" i="7" s="1"/>
  <c r="R23" i="7"/>
  <c r="Q23" i="7"/>
  <c r="L23" i="7" s="1"/>
  <c r="M24" i="7" s="1"/>
  <c r="P23" i="7"/>
  <c r="W23" i="7" s="1"/>
  <c r="O24" i="7" l="1"/>
  <c r="N24" i="7"/>
  <c r="S24" i="7" l="1"/>
  <c r="V24" i="7"/>
  <c r="U24" i="7" s="1"/>
  <c r="R24" i="7"/>
  <c r="Q24" i="7"/>
  <c r="L24" i="7" s="1"/>
  <c r="M25" i="7" s="1"/>
  <c r="P24" i="7"/>
  <c r="W24" i="7" s="1"/>
  <c r="O25" i="7" l="1"/>
  <c r="N25" i="7"/>
  <c r="S25" i="7" l="1"/>
  <c r="V25" i="7"/>
  <c r="U25" i="7" s="1"/>
  <c r="R25" i="7"/>
  <c r="Q25" i="7"/>
  <c r="L25" i="7" s="1"/>
  <c r="M26" i="7" s="1"/>
  <c r="P25" i="7"/>
  <c r="W25" i="7" s="1"/>
  <c r="O26" i="7" l="1"/>
  <c r="N26" i="7"/>
  <c r="S26" i="7" l="1"/>
  <c r="V26" i="7"/>
  <c r="U26" i="7" s="1"/>
  <c r="R26" i="7"/>
  <c r="Q26" i="7"/>
  <c r="L26" i="7" s="1"/>
  <c r="M27" i="7" s="1"/>
  <c r="P26" i="7"/>
  <c r="W26" i="7" s="1"/>
  <c r="O27" i="7" l="1"/>
  <c r="N27" i="7"/>
  <c r="S27" i="7" l="1"/>
  <c r="V27" i="7"/>
  <c r="U27" i="7" s="1"/>
  <c r="R27" i="7"/>
  <c r="Q27" i="7"/>
  <c r="L27" i="7" s="1"/>
  <c r="M28" i="7" s="1"/>
  <c r="P27" i="7"/>
  <c r="W27" i="7" s="1"/>
  <c r="O28" i="7" l="1"/>
  <c r="N28" i="7"/>
  <c r="S28" i="7" l="1"/>
  <c r="V28" i="7"/>
  <c r="U28" i="7" s="1"/>
  <c r="R28" i="7"/>
  <c r="Q28" i="7"/>
  <c r="L28" i="7" s="1"/>
  <c r="M29" i="7" s="1"/>
  <c r="P28" i="7"/>
  <c r="W28" i="7" s="1"/>
  <c r="O29" i="7" l="1"/>
  <c r="N29" i="7"/>
  <c r="S29" i="7" l="1"/>
  <c r="V29" i="7"/>
  <c r="U29" i="7" s="1"/>
  <c r="R29" i="7"/>
  <c r="Q29" i="7"/>
  <c r="L29" i="7" s="1"/>
  <c r="M30" i="7" s="1"/>
  <c r="P29" i="7"/>
  <c r="W29" i="7" s="1"/>
  <c r="O30" i="7" l="1"/>
  <c r="N30" i="7"/>
  <c r="S30" i="7" l="1"/>
  <c r="V30" i="7"/>
  <c r="U30" i="7" s="1"/>
  <c r="R30" i="7"/>
  <c r="Q30" i="7"/>
  <c r="L30" i="7" s="1"/>
  <c r="M31" i="7" s="1"/>
  <c r="P30" i="7"/>
  <c r="W30" i="7" s="1"/>
  <c r="O31" i="7" l="1"/>
  <c r="N31" i="7"/>
  <c r="S31" i="7" l="1"/>
  <c r="V31" i="7"/>
  <c r="U31" i="7" s="1"/>
  <c r="R31" i="7"/>
  <c r="Q31" i="7"/>
  <c r="L31" i="7" s="1"/>
  <c r="M32" i="7" s="1"/>
  <c r="P31" i="7"/>
  <c r="W31" i="7" s="1"/>
  <c r="O32" i="7" l="1"/>
  <c r="N32" i="7"/>
  <c r="S32" i="7" l="1"/>
  <c r="V32" i="7"/>
  <c r="U32" i="7" s="1"/>
  <c r="R32" i="7"/>
  <c r="Q32" i="7"/>
  <c r="L32" i="7" s="1"/>
  <c r="M33" i="7" s="1"/>
  <c r="P32" i="7"/>
  <c r="W32" i="7" s="1"/>
  <c r="O33" i="7" l="1"/>
  <c r="N33" i="7"/>
  <c r="S33" i="7" l="1"/>
  <c r="V33" i="7"/>
  <c r="U33" i="7" s="1"/>
  <c r="R33" i="7"/>
  <c r="Q33" i="7"/>
  <c r="L33" i="7" s="1"/>
  <c r="M34" i="7" s="1"/>
  <c r="P33" i="7"/>
  <c r="W33" i="7" s="1"/>
  <c r="O34" i="7" l="1"/>
  <c r="N34" i="7"/>
  <c r="S34" i="7" l="1"/>
  <c r="V34" i="7"/>
  <c r="U34" i="7" s="1"/>
  <c r="R34" i="7"/>
  <c r="Q34" i="7"/>
  <c r="L34" i="7" s="1"/>
  <c r="M35" i="7" s="1"/>
  <c r="P34" i="7"/>
  <c r="W34" i="7" s="1"/>
  <c r="O35" i="7" l="1"/>
  <c r="N35" i="7"/>
  <c r="S35" i="7" l="1"/>
  <c r="V35" i="7"/>
  <c r="U35" i="7" s="1"/>
  <c r="R35" i="7"/>
  <c r="Q35" i="7"/>
  <c r="L35" i="7" s="1"/>
  <c r="M36" i="7" s="1"/>
  <c r="P35" i="7"/>
  <c r="W35" i="7" s="1"/>
  <c r="O36" i="7" l="1"/>
  <c r="N36" i="7"/>
  <c r="S36" i="7" l="1"/>
  <c r="V36" i="7"/>
  <c r="U36" i="7" s="1"/>
  <c r="R36" i="7"/>
  <c r="Q36" i="7"/>
  <c r="L36" i="7" s="1"/>
  <c r="M37" i="7" s="1"/>
  <c r="P36" i="7"/>
  <c r="W36" i="7" s="1"/>
  <c r="O37" i="7" l="1"/>
  <c r="N37" i="7"/>
  <c r="S37" i="7" l="1"/>
  <c r="V37" i="7"/>
  <c r="U37" i="7" s="1"/>
  <c r="R37" i="7"/>
  <c r="Q37" i="7"/>
  <c r="L37" i="7" s="1"/>
  <c r="M38" i="7" s="1"/>
  <c r="P37" i="7"/>
  <c r="W37" i="7" s="1"/>
  <c r="O38" i="7" l="1"/>
  <c r="N38" i="7"/>
  <c r="S38" i="7" l="1"/>
  <c r="V38" i="7"/>
  <c r="U38" i="7" s="1"/>
  <c r="R38" i="7"/>
  <c r="Q38" i="7"/>
  <c r="L38" i="7" s="1"/>
  <c r="M39" i="7" s="1"/>
  <c r="P38" i="7"/>
  <c r="W38" i="7" s="1"/>
  <c r="O39" i="7" l="1"/>
  <c r="N39" i="7"/>
  <c r="S39" i="7" l="1"/>
  <c r="V39" i="7"/>
  <c r="U39" i="7" s="1"/>
  <c r="R39" i="7"/>
  <c r="Q39" i="7"/>
  <c r="L39" i="7" s="1"/>
  <c r="M40" i="7" s="1"/>
  <c r="P39" i="7"/>
  <c r="W39" i="7" s="1"/>
  <c r="O40" i="7" l="1"/>
  <c r="N40" i="7"/>
  <c r="S40" i="7" l="1"/>
  <c r="V40" i="7"/>
  <c r="U40" i="7" s="1"/>
  <c r="R40" i="7"/>
  <c r="Q40" i="7"/>
  <c r="L40" i="7" s="1"/>
  <c r="M41" i="7" s="1"/>
  <c r="P40" i="7"/>
  <c r="W40" i="7" s="1"/>
  <c r="O41" i="7" l="1"/>
  <c r="N41" i="7"/>
  <c r="S41" i="7" l="1"/>
  <c r="V41" i="7"/>
  <c r="U41" i="7" s="1"/>
  <c r="R41" i="7"/>
  <c r="Q41" i="7"/>
  <c r="L41" i="7" s="1"/>
  <c r="M42" i="7" s="1"/>
  <c r="P41" i="7"/>
  <c r="W41" i="7" s="1"/>
  <c r="O42" i="7" l="1"/>
  <c r="N42" i="7"/>
  <c r="S42" i="7" l="1"/>
  <c r="V42" i="7"/>
  <c r="U42" i="7" s="1"/>
  <c r="R42" i="7"/>
  <c r="Q42" i="7"/>
  <c r="L42" i="7" s="1"/>
  <c r="M43" i="7" s="1"/>
  <c r="P42" i="7"/>
  <c r="W42" i="7" s="1"/>
  <c r="O43" i="7" l="1"/>
  <c r="N43" i="7"/>
  <c r="S43" i="7" l="1"/>
  <c r="V43" i="7"/>
  <c r="U43" i="7" s="1"/>
  <c r="R43" i="7"/>
  <c r="Q43" i="7"/>
  <c r="L43" i="7" s="1"/>
  <c r="M44" i="7" s="1"/>
  <c r="P43" i="7"/>
  <c r="W43" i="7" s="1"/>
  <c r="O44" i="7" l="1"/>
  <c r="N44" i="7"/>
  <c r="S44" i="7" l="1"/>
  <c r="V44" i="7"/>
  <c r="U44" i="7" s="1"/>
  <c r="R44" i="7"/>
  <c r="Q44" i="7"/>
  <c r="L44" i="7" s="1"/>
  <c r="M45" i="7" s="1"/>
  <c r="P44" i="7"/>
  <c r="W44" i="7" s="1"/>
  <c r="O45" i="7" l="1"/>
  <c r="N45" i="7"/>
  <c r="S45" i="7" l="1"/>
  <c r="V45" i="7"/>
  <c r="U45" i="7" s="1"/>
  <c r="R45" i="7"/>
  <c r="Q45" i="7"/>
  <c r="L45" i="7" s="1"/>
  <c r="M46" i="7" s="1"/>
  <c r="P45" i="7"/>
  <c r="W45" i="7" s="1"/>
  <c r="O46" i="7" l="1"/>
  <c r="N46" i="7"/>
  <c r="S46" i="7" l="1"/>
  <c r="V46" i="7"/>
  <c r="U46" i="7" s="1"/>
  <c r="R46" i="7"/>
  <c r="Q46" i="7"/>
  <c r="L46" i="7" s="1"/>
  <c r="M47" i="7" s="1"/>
  <c r="P46" i="7"/>
  <c r="W46" i="7" s="1"/>
  <c r="O47" i="7" l="1"/>
  <c r="N47" i="7"/>
  <c r="S47" i="7" l="1"/>
  <c r="V47" i="7"/>
  <c r="U47" i="7" s="1"/>
  <c r="R47" i="7"/>
  <c r="Q47" i="7"/>
  <c r="L47" i="7" s="1"/>
  <c r="M48" i="7" s="1"/>
  <c r="P47" i="7"/>
  <c r="W47" i="7" s="1"/>
  <c r="O48" i="7" l="1"/>
  <c r="N48" i="7"/>
  <c r="S48" i="7" l="1"/>
  <c r="V48" i="7"/>
  <c r="U48" i="7" s="1"/>
  <c r="R48" i="7"/>
  <c r="Q48" i="7"/>
  <c r="L48" i="7" s="1"/>
  <c r="M49" i="7" s="1"/>
  <c r="P48" i="7"/>
  <c r="W48" i="7" s="1"/>
  <c r="O49" i="7" l="1"/>
  <c r="N49" i="7"/>
  <c r="S49" i="7" l="1"/>
  <c r="V49" i="7"/>
  <c r="U49" i="7" s="1"/>
  <c r="R49" i="7"/>
  <c r="Q49" i="7"/>
  <c r="L49" i="7" s="1"/>
  <c r="M50" i="7" s="1"/>
  <c r="P49" i="7"/>
  <c r="W49" i="7" s="1"/>
  <c r="O50" i="7" l="1"/>
  <c r="N50" i="7"/>
  <c r="S50" i="7" l="1"/>
  <c r="V50" i="7"/>
  <c r="U50" i="7" s="1"/>
  <c r="R50" i="7"/>
  <c r="Q50" i="7"/>
  <c r="L50" i="7" s="1"/>
  <c r="M51" i="7" s="1"/>
  <c r="P50" i="7"/>
  <c r="W50" i="7" s="1"/>
  <c r="O51" i="7" l="1"/>
  <c r="N51" i="7"/>
  <c r="S51" i="7" l="1"/>
  <c r="V51" i="7"/>
  <c r="U51" i="7" s="1"/>
  <c r="R51" i="7"/>
  <c r="Q51" i="7"/>
  <c r="L51" i="7" s="1"/>
  <c r="M52" i="7" s="1"/>
  <c r="P51" i="7"/>
  <c r="W51" i="7" s="1"/>
  <c r="O52" i="7" l="1"/>
  <c r="N52" i="7"/>
  <c r="S52" i="7" l="1"/>
  <c r="V52" i="7"/>
  <c r="U52" i="7" s="1"/>
  <c r="R52" i="7"/>
  <c r="Q52" i="7"/>
  <c r="L52" i="7" s="1"/>
  <c r="M53" i="7" s="1"/>
  <c r="P52" i="7"/>
  <c r="W52" i="7" s="1"/>
  <c r="O53" i="7" l="1"/>
  <c r="N53" i="7"/>
  <c r="S53" i="7" l="1"/>
  <c r="V53" i="7"/>
  <c r="U53" i="7" s="1"/>
  <c r="R53" i="7"/>
  <c r="Q53" i="7"/>
  <c r="L53" i="7" s="1"/>
  <c r="M54" i="7" s="1"/>
  <c r="P53" i="7"/>
  <c r="W53" i="7" s="1"/>
  <c r="O54" i="7" l="1"/>
  <c r="N54" i="7"/>
  <c r="S54" i="7" l="1"/>
  <c r="V54" i="7"/>
  <c r="U54" i="7" s="1"/>
  <c r="R54" i="7"/>
  <c r="Q54" i="7"/>
  <c r="L54" i="7" s="1"/>
  <c r="M55" i="7" s="1"/>
  <c r="P54" i="7"/>
  <c r="W54" i="7" s="1"/>
  <c r="O55" i="7" l="1"/>
  <c r="N55" i="7"/>
  <c r="S55" i="7" l="1"/>
  <c r="V55" i="7"/>
  <c r="U55" i="7" s="1"/>
  <c r="R55" i="7"/>
  <c r="Q55" i="7"/>
  <c r="L55" i="7" s="1"/>
  <c r="M56" i="7" s="1"/>
  <c r="P55" i="7"/>
  <c r="W55" i="7" s="1"/>
  <c r="O56" i="7" l="1"/>
  <c r="N56" i="7"/>
  <c r="S56" i="7" l="1"/>
  <c r="V56" i="7"/>
  <c r="U56" i="7" s="1"/>
  <c r="R56" i="7"/>
  <c r="Q56" i="7"/>
  <c r="L56" i="7" s="1"/>
  <c r="M57" i="7" s="1"/>
  <c r="P56" i="7"/>
  <c r="W56" i="7" s="1"/>
  <c r="O57" i="7" l="1"/>
  <c r="N57" i="7"/>
  <c r="S57" i="7" l="1"/>
  <c r="V57" i="7"/>
  <c r="U57" i="7" s="1"/>
  <c r="R57" i="7"/>
  <c r="Q57" i="7"/>
  <c r="L57" i="7" s="1"/>
  <c r="M58" i="7" s="1"/>
  <c r="P57" i="7"/>
  <c r="W57" i="7" s="1"/>
  <c r="O58" i="7" l="1"/>
  <c r="N58" i="7"/>
  <c r="S58" i="7" l="1"/>
  <c r="V58" i="7"/>
  <c r="U58" i="7" s="1"/>
  <c r="R58" i="7"/>
  <c r="Q58" i="7"/>
  <c r="L58" i="7" s="1"/>
  <c r="M59" i="7" s="1"/>
  <c r="P58" i="7"/>
  <c r="W58" i="7" s="1"/>
  <c r="O59" i="7" l="1"/>
  <c r="N59" i="7"/>
  <c r="S59" i="7" l="1"/>
  <c r="V59" i="7"/>
  <c r="U59" i="7" s="1"/>
  <c r="R59" i="7"/>
  <c r="Q59" i="7"/>
  <c r="L59" i="7" s="1"/>
  <c r="M60" i="7" s="1"/>
  <c r="P59" i="7"/>
  <c r="W59" i="7" s="1"/>
  <c r="O60" i="7" l="1"/>
  <c r="N60" i="7"/>
  <c r="S60" i="7" l="1"/>
  <c r="V60" i="7"/>
  <c r="U60" i="7" s="1"/>
  <c r="R60" i="7"/>
  <c r="Q60" i="7"/>
  <c r="L60" i="7" s="1"/>
  <c r="M61" i="7" s="1"/>
  <c r="P60" i="7"/>
  <c r="W60" i="7" s="1"/>
  <c r="O61" i="7" l="1"/>
  <c r="N61" i="7"/>
  <c r="S61" i="7" l="1"/>
  <c r="V61" i="7"/>
  <c r="U61" i="7" s="1"/>
  <c r="R61" i="7"/>
  <c r="Q61" i="7"/>
  <c r="L61" i="7" s="1"/>
  <c r="M62" i="7" s="1"/>
  <c r="P61" i="7"/>
  <c r="W61" i="7" s="1"/>
  <c r="O62" i="7" l="1"/>
  <c r="N62" i="7"/>
  <c r="S62" i="7" l="1"/>
  <c r="V62" i="7"/>
  <c r="U62" i="7" s="1"/>
  <c r="R62" i="7"/>
  <c r="Q62" i="7"/>
  <c r="L62" i="7" s="1"/>
  <c r="M63" i="7" s="1"/>
  <c r="P62" i="7"/>
  <c r="W62" i="7" s="1"/>
  <c r="O63" i="7" l="1"/>
  <c r="N63" i="7"/>
  <c r="S63" i="7" l="1"/>
  <c r="V63" i="7"/>
  <c r="U63" i="7" s="1"/>
  <c r="Q63" i="7"/>
  <c r="P63" i="7"/>
  <c r="W63" i="7" s="1"/>
  <c r="L63" i="7" l="1"/>
  <c r="M64" i="7" s="1"/>
  <c r="O64" i="7"/>
  <c r="N64" i="7"/>
  <c r="S64" i="7" l="1"/>
  <c r="V64" i="7"/>
  <c r="U64" i="7" s="1"/>
  <c r="Q64" i="7"/>
  <c r="P64" i="7"/>
  <c r="W64" i="7" s="1"/>
  <c r="L64" i="7" l="1"/>
  <c r="M65" i="7" s="1"/>
  <c r="O65" i="7"/>
  <c r="N65" i="7"/>
  <c r="S65" i="7" l="1"/>
  <c r="V65" i="7"/>
  <c r="U65" i="7" s="1"/>
  <c r="Q65" i="7"/>
  <c r="P65" i="7"/>
  <c r="W65" i="7" s="1"/>
  <c r="L65" i="7" l="1"/>
  <c r="M66" i="7" s="1"/>
  <c r="O66" i="7"/>
  <c r="N66" i="7"/>
  <c r="S66" i="7" l="1"/>
  <c r="V66" i="7"/>
  <c r="U66" i="7" s="1"/>
  <c r="Q66" i="7"/>
  <c r="P66" i="7"/>
  <c r="W66" i="7" s="1"/>
  <c r="L66" i="7" l="1"/>
  <c r="M67" i="7" s="1"/>
  <c r="O67" i="7"/>
  <c r="N67" i="7"/>
  <c r="S67" i="7" l="1"/>
  <c r="V67" i="7"/>
  <c r="U67" i="7" s="1"/>
  <c r="Q67" i="7"/>
  <c r="P67" i="7"/>
  <c r="W67" i="7" s="1"/>
  <c r="L67" i="7" l="1"/>
  <c r="M68" i="7" s="1"/>
  <c r="O68" i="7"/>
  <c r="N68" i="7"/>
  <c r="S68" i="7" l="1"/>
  <c r="V68" i="7"/>
  <c r="U68" i="7" s="1"/>
  <c r="Q68" i="7"/>
  <c r="P68" i="7"/>
  <c r="W68" i="7" s="1"/>
  <c r="L68" i="7" l="1"/>
  <c r="M69" i="7" s="1"/>
  <c r="O69" i="7"/>
  <c r="N69" i="7"/>
  <c r="S69" i="7" l="1"/>
  <c r="V69" i="7"/>
  <c r="U69" i="7" s="1"/>
  <c r="Q69" i="7"/>
  <c r="P69" i="7"/>
  <c r="W69" i="7" s="1"/>
  <c r="L69" i="7" l="1"/>
  <c r="M70" i="7" s="1"/>
  <c r="O70" i="7"/>
  <c r="N70" i="7"/>
  <c r="S70" i="7" l="1"/>
  <c r="V70" i="7"/>
  <c r="U70" i="7" s="1"/>
  <c r="Q70" i="7"/>
  <c r="P70" i="7"/>
  <c r="W70" i="7" s="1"/>
  <c r="L70" i="7" l="1"/>
  <c r="M71" i="7" s="1"/>
  <c r="O71" i="7"/>
  <c r="N71" i="7"/>
  <c r="S71" i="7" l="1"/>
  <c r="V71" i="7"/>
  <c r="U71" i="7" s="1"/>
  <c r="Q71" i="7"/>
  <c r="P71" i="7"/>
  <c r="W71" i="7" s="1"/>
  <c r="L71" i="7" l="1"/>
  <c r="M72" i="7" s="1"/>
  <c r="O72" i="7"/>
  <c r="N72" i="7"/>
  <c r="S72" i="7" l="1"/>
  <c r="V72" i="7"/>
  <c r="U72" i="7" s="1"/>
  <c r="Q72" i="7"/>
  <c r="P72" i="7"/>
  <c r="W72" i="7" s="1"/>
  <c r="L72" i="7" l="1"/>
  <c r="M73" i="7" s="1"/>
  <c r="O73" i="7"/>
  <c r="N73" i="7"/>
  <c r="S73" i="7" l="1"/>
  <c r="V73" i="7"/>
  <c r="U73" i="7" s="1"/>
  <c r="Q73" i="7"/>
  <c r="P73" i="7"/>
  <c r="W73" i="7" s="1"/>
  <c r="L73" i="7" l="1"/>
  <c r="M74" i="7" s="1"/>
  <c r="O74" i="7"/>
  <c r="N74" i="7"/>
  <c r="S74" i="7" l="1"/>
  <c r="V74" i="7"/>
  <c r="U74" i="7" s="1"/>
  <c r="Q74" i="7"/>
  <c r="P74" i="7"/>
  <c r="W74" i="7" s="1"/>
  <c r="L74" i="7" l="1"/>
  <c r="M75" i="7" s="1"/>
  <c r="O75" i="7"/>
  <c r="N75" i="7"/>
  <c r="S75" i="7" l="1"/>
  <c r="V75" i="7"/>
  <c r="U75" i="7" s="1"/>
  <c r="Q75" i="7"/>
  <c r="P75" i="7"/>
  <c r="W75" i="7" s="1"/>
  <c r="L75" i="7" l="1"/>
  <c r="M76" i="7" s="1"/>
  <c r="O76" i="7"/>
  <c r="N76" i="7"/>
  <c r="S76" i="7" l="1"/>
  <c r="V76" i="7"/>
  <c r="U76" i="7" s="1"/>
  <c r="Q76" i="7"/>
  <c r="P76" i="7"/>
  <c r="W76" i="7" s="1"/>
  <c r="L76" i="7" l="1"/>
  <c r="M77" i="7" s="1"/>
  <c r="O77" i="7"/>
  <c r="N77" i="7"/>
  <c r="S77" i="7" l="1"/>
  <c r="V77" i="7"/>
  <c r="U77" i="7" s="1"/>
  <c r="Q77" i="7"/>
  <c r="P77" i="7"/>
  <c r="W77" i="7" s="1"/>
  <c r="L77" i="7" l="1"/>
  <c r="M78" i="7" s="1"/>
  <c r="O78" i="7"/>
  <c r="N78" i="7"/>
  <c r="S78" i="7" l="1"/>
  <c r="V78" i="7"/>
  <c r="U78" i="7" s="1"/>
  <c r="Q78" i="7"/>
  <c r="P78" i="7"/>
  <c r="W78" i="7" s="1"/>
  <c r="L78" i="7" l="1"/>
  <c r="M79" i="7" s="1"/>
  <c r="O79" i="7"/>
  <c r="N79" i="7"/>
  <c r="S79" i="7" l="1"/>
  <c r="V79" i="7"/>
  <c r="U79" i="7" s="1"/>
  <c r="Q79" i="7"/>
  <c r="P79" i="7"/>
  <c r="W79" i="7" s="1"/>
  <c r="L79" i="7" l="1"/>
  <c r="M80" i="7" s="1"/>
  <c r="O80" i="7"/>
  <c r="N80" i="7"/>
  <c r="S80" i="7" l="1"/>
  <c r="V80" i="7"/>
  <c r="U80" i="7" s="1"/>
  <c r="Q80" i="7"/>
  <c r="P80" i="7"/>
  <c r="W80" i="7" s="1"/>
  <c r="L80" i="7" l="1"/>
  <c r="M81" i="7" s="1"/>
  <c r="O81" i="7"/>
  <c r="N81" i="7"/>
  <c r="S81" i="7" l="1"/>
  <c r="V81" i="7"/>
  <c r="U81" i="7" s="1"/>
  <c r="Q81" i="7"/>
  <c r="P81" i="7"/>
  <c r="W81" i="7" s="1"/>
  <c r="L81" i="7" l="1"/>
  <c r="M82" i="7" s="1"/>
  <c r="O82" i="7"/>
  <c r="N82" i="7"/>
  <c r="S82" i="7" l="1"/>
  <c r="V82" i="7"/>
  <c r="U82" i="7" s="1"/>
  <c r="Q82" i="7"/>
  <c r="P82" i="7"/>
  <c r="W82" i="7" s="1"/>
  <c r="L82" i="7" l="1"/>
  <c r="M83" i="7" s="1"/>
  <c r="O83" i="7"/>
  <c r="N83" i="7"/>
  <c r="S83" i="7" l="1"/>
  <c r="V83" i="7"/>
  <c r="U83" i="7" s="1"/>
  <c r="Q83" i="7"/>
  <c r="P83" i="7"/>
  <c r="W83" i="7" s="1"/>
  <c r="L83" i="7" l="1"/>
  <c r="M84" i="7" s="1"/>
  <c r="O84" i="7"/>
  <c r="N84" i="7"/>
  <c r="S84" i="7" l="1"/>
  <c r="V84" i="7"/>
  <c r="U84" i="7" s="1"/>
  <c r="Q84" i="7"/>
  <c r="P84" i="7"/>
  <c r="W84" i="7" s="1"/>
  <c r="L84" i="7" l="1"/>
  <c r="M85" i="7" s="1"/>
  <c r="O85" i="7"/>
  <c r="N85" i="7"/>
  <c r="S85" i="7" l="1"/>
  <c r="V85" i="7"/>
  <c r="U85" i="7" s="1"/>
  <c r="Q85" i="7"/>
  <c r="P85" i="7"/>
  <c r="W85" i="7" s="1"/>
  <c r="L85" i="7" l="1"/>
  <c r="M86" i="7" s="1"/>
  <c r="O86" i="7"/>
  <c r="N86" i="7"/>
  <c r="S86" i="7" l="1"/>
  <c r="V86" i="7"/>
  <c r="U86" i="7" s="1"/>
  <c r="Q86" i="7"/>
  <c r="P86" i="7"/>
  <c r="W86" i="7" s="1"/>
  <c r="L86" i="7" l="1"/>
  <c r="M87" i="7" s="1"/>
  <c r="O87" i="7"/>
  <c r="N87" i="7"/>
  <c r="S87" i="7" l="1"/>
  <c r="V87" i="7"/>
  <c r="U87" i="7" s="1"/>
  <c r="Q87" i="7"/>
  <c r="P87" i="7"/>
  <c r="W87" i="7" s="1"/>
  <c r="L87" i="7" l="1"/>
  <c r="M88" i="7" s="1"/>
  <c r="O88" i="7"/>
  <c r="N88" i="7"/>
  <c r="S88" i="7" l="1"/>
  <c r="V88" i="7"/>
  <c r="U88" i="7" s="1"/>
  <c r="Q88" i="7"/>
  <c r="P88" i="7"/>
  <c r="W88" i="7" s="1"/>
  <c r="L88" i="7" l="1"/>
  <c r="M89" i="7" s="1"/>
  <c r="O89" i="7"/>
  <c r="N89" i="7"/>
  <c r="S89" i="7" l="1"/>
  <c r="V89" i="7"/>
  <c r="U89" i="7" s="1"/>
  <c r="Q89" i="7"/>
  <c r="P89" i="7"/>
  <c r="W89" i="7" s="1"/>
  <c r="L89" i="7" l="1"/>
  <c r="M90" i="7" s="1"/>
  <c r="O90" i="7"/>
  <c r="N90" i="7"/>
  <c r="S90" i="7" l="1"/>
  <c r="V90" i="7"/>
  <c r="U90" i="7" s="1"/>
  <c r="Q90" i="7"/>
  <c r="P90" i="7"/>
  <c r="W90" i="7" s="1"/>
  <c r="L90" i="7" l="1"/>
  <c r="M91" i="7" s="1"/>
  <c r="O91" i="7"/>
  <c r="N91" i="7"/>
  <c r="S91" i="7" l="1"/>
  <c r="V91" i="7"/>
  <c r="U91" i="7" s="1"/>
  <c r="Q91" i="7"/>
  <c r="P91" i="7"/>
  <c r="W91" i="7" s="1"/>
  <c r="L91" i="7" l="1"/>
  <c r="M92" i="7" s="1"/>
  <c r="O92" i="7"/>
  <c r="N92" i="7"/>
  <c r="S92" i="7" l="1"/>
  <c r="V92" i="7"/>
  <c r="U92" i="7" s="1"/>
  <c r="Q92" i="7"/>
  <c r="P92" i="7"/>
  <c r="W92" i="7" s="1"/>
  <c r="L92" i="7" l="1"/>
  <c r="M93" i="7" s="1"/>
  <c r="O93" i="7"/>
  <c r="N93" i="7"/>
  <c r="S93" i="7" l="1"/>
  <c r="V93" i="7"/>
  <c r="U93" i="7" s="1"/>
  <c r="Q93" i="7"/>
  <c r="P93" i="7"/>
  <c r="W93" i="7" s="1"/>
  <c r="L93" i="7" l="1"/>
  <c r="M94" i="7" s="1"/>
  <c r="O94" i="7"/>
  <c r="N94" i="7"/>
  <c r="S94" i="7" l="1"/>
  <c r="V94" i="7"/>
  <c r="U94" i="7" s="1"/>
  <c r="Q94" i="7"/>
  <c r="P94" i="7"/>
  <c r="W94" i="7" s="1"/>
  <c r="L94" i="7" l="1"/>
  <c r="M95" i="7" s="1"/>
  <c r="O95" i="7"/>
  <c r="N95" i="7"/>
  <c r="S95" i="7" l="1"/>
  <c r="V95" i="7"/>
  <c r="U95" i="7" s="1"/>
  <c r="Q95" i="7"/>
  <c r="P95" i="7"/>
  <c r="W95" i="7" s="1"/>
  <c r="L95" i="7" l="1"/>
  <c r="M96" i="7" s="1"/>
  <c r="O96" i="7"/>
  <c r="N96" i="7"/>
  <c r="S96" i="7" l="1"/>
  <c r="V96" i="7"/>
  <c r="U96" i="7" s="1"/>
  <c r="Q96" i="7"/>
  <c r="P96" i="7"/>
  <c r="W96" i="7" s="1"/>
  <c r="L96" i="7" l="1"/>
  <c r="M97" i="7" s="1"/>
  <c r="O97" i="7"/>
  <c r="N97" i="7"/>
  <c r="S97" i="7" l="1"/>
  <c r="V97" i="7"/>
  <c r="U97" i="7" s="1"/>
  <c r="Q97" i="7"/>
  <c r="P97" i="7"/>
  <c r="W97" i="7" s="1"/>
  <c r="L97" i="7" l="1"/>
  <c r="M98" i="7" s="1"/>
  <c r="O98" i="7"/>
  <c r="N98" i="7"/>
  <c r="S98" i="7" l="1"/>
  <c r="V98" i="7"/>
  <c r="U98" i="7" s="1"/>
  <c r="Q98" i="7"/>
  <c r="P98" i="7"/>
  <c r="W98" i="7" s="1"/>
  <c r="L98" i="7" l="1"/>
  <c r="M99" i="7" s="1"/>
  <c r="O99" i="7"/>
  <c r="N99" i="7"/>
  <c r="S99" i="7" l="1"/>
  <c r="V99" i="7"/>
  <c r="U99" i="7" s="1"/>
  <c r="Q99" i="7"/>
  <c r="P99" i="7"/>
  <c r="W99" i="7" s="1"/>
  <c r="L99" i="7" l="1"/>
  <c r="M100" i="7" s="1"/>
  <c r="O100" i="7"/>
  <c r="N100" i="7"/>
  <c r="S100" i="7" l="1"/>
  <c r="V100" i="7"/>
  <c r="U100" i="7" s="1"/>
  <c r="Q100" i="7"/>
  <c r="P100" i="7"/>
  <c r="W100" i="7" s="1"/>
  <c r="L100" i="7" l="1"/>
  <c r="M101" i="7" s="1"/>
  <c r="O101" i="7"/>
  <c r="N101" i="7"/>
  <c r="S101" i="7" l="1"/>
  <c r="V101" i="7"/>
  <c r="U101" i="7" s="1"/>
  <c r="Q101" i="7"/>
  <c r="P101" i="7"/>
  <c r="W101" i="7" s="1"/>
  <c r="L101" i="7" l="1"/>
  <c r="M102" i="7" s="1"/>
  <c r="O102" i="7"/>
  <c r="N102" i="7"/>
  <c r="S102" i="7" l="1"/>
  <c r="V102" i="7"/>
  <c r="U102" i="7" s="1"/>
  <c r="Q102" i="7"/>
  <c r="L102" i="7" s="1"/>
  <c r="P102" i="7"/>
  <c r="W102" i="7" s="1"/>
</calcChain>
</file>

<file path=xl/sharedStrings.xml><?xml version="1.0" encoding="utf-8"?>
<sst xmlns="http://schemas.openxmlformats.org/spreadsheetml/2006/main" count="1972" uniqueCount="823">
  <si>
    <t>AIAA RFP GIVEN VALUES</t>
  </si>
  <si>
    <t>Section #</t>
  </si>
  <si>
    <t>Item</t>
  </si>
  <si>
    <t># Of Item</t>
  </si>
  <si>
    <t>Item Weight (each)</t>
  </si>
  <si>
    <t>Total Weight (lbs)</t>
  </si>
  <si>
    <t xml:space="preserve">3.3.1 </t>
  </si>
  <si>
    <r>
      <rPr>
        <sz val="11"/>
        <color rgb="FF000000"/>
        <rFont val="Aptos Narrow"/>
        <family val="2"/>
        <scheme val="minor"/>
      </rPr>
      <t xml:space="preserve">Avionics/Sensors Weight, </t>
    </r>
    <r>
      <rPr>
        <b/>
        <sz val="11"/>
        <color rgb="FF000000"/>
        <rFont val="Aptos Narrow"/>
        <family val="2"/>
        <scheme val="minor"/>
      </rPr>
      <t>A2A</t>
    </r>
  </si>
  <si>
    <t>3.3.2</t>
  </si>
  <si>
    <r>
      <rPr>
        <sz val="11"/>
        <color rgb="FF000000"/>
        <rFont val="Aptos Narrow"/>
        <family val="2"/>
        <scheme val="minor"/>
      </rPr>
      <t xml:space="preserve">Avionics/Sensors Weight, </t>
    </r>
    <r>
      <rPr>
        <b/>
        <sz val="11"/>
        <color rgb="FF000000"/>
        <rFont val="Aptos Narrow"/>
        <family val="2"/>
        <scheme val="minor"/>
      </rPr>
      <t>STRIKE</t>
    </r>
  </si>
  <si>
    <t>3.3.1</t>
  </si>
  <si>
    <r>
      <rPr>
        <sz val="11"/>
        <color rgb="FF000000"/>
        <rFont val="Aptos Narrow"/>
        <family val="2"/>
        <scheme val="minor"/>
      </rPr>
      <t xml:space="preserve">Ordnance Load, AIM-120C, </t>
    </r>
    <r>
      <rPr>
        <b/>
        <sz val="11"/>
        <color rgb="FF000000"/>
        <rFont val="Aptos Narrow"/>
        <family val="2"/>
        <scheme val="minor"/>
      </rPr>
      <t>A2A</t>
    </r>
  </si>
  <si>
    <r>
      <rPr>
        <sz val="11"/>
        <color rgb="FF000000"/>
        <rFont val="Aptos Narrow"/>
        <family val="2"/>
        <scheme val="minor"/>
      </rPr>
      <t xml:space="preserve">Ordnance Load, MK-83 JDAM, </t>
    </r>
    <r>
      <rPr>
        <b/>
        <sz val="11"/>
        <color rgb="FF000000"/>
        <rFont val="Aptos Narrow"/>
        <family val="2"/>
        <scheme val="minor"/>
      </rPr>
      <t>STRIKE</t>
    </r>
  </si>
  <si>
    <r>
      <rPr>
        <sz val="11"/>
        <color rgb="FF000000"/>
        <rFont val="Aptos Narrow"/>
        <family val="2"/>
        <scheme val="minor"/>
      </rPr>
      <t xml:space="preserve">Ordnance Load, AIM-9X, </t>
    </r>
    <r>
      <rPr>
        <b/>
        <sz val="11"/>
        <color rgb="FF000000"/>
        <rFont val="Aptos Narrow"/>
        <family val="2"/>
        <scheme val="minor"/>
      </rPr>
      <t>A2A</t>
    </r>
  </si>
  <si>
    <r>
      <rPr>
        <sz val="11"/>
        <color rgb="FF000000"/>
        <rFont val="Aptos Narrow"/>
        <family val="2"/>
        <scheme val="minor"/>
      </rPr>
      <t xml:space="preserve">Ordnance Load, AIM-9X, </t>
    </r>
    <r>
      <rPr>
        <b/>
        <sz val="11"/>
        <color rgb="FF000000"/>
        <rFont val="Aptos Narrow"/>
        <family val="2"/>
        <scheme val="minor"/>
      </rPr>
      <t>STRIKE</t>
    </r>
  </si>
  <si>
    <t>BEN</t>
  </si>
  <si>
    <t>Wing Area Sizing</t>
  </si>
  <si>
    <t>Mach</t>
  </si>
  <si>
    <t>Vmax (ft/s)</t>
  </si>
  <si>
    <t>Altitude (ft)</t>
  </si>
  <si>
    <t>Air Density (slug/ft^3)</t>
  </si>
  <si>
    <t>Thrust</t>
  </si>
  <si>
    <t>Weight</t>
  </si>
  <si>
    <t>k</t>
  </si>
  <si>
    <t>CD0</t>
  </si>
  <si>
    <t>S (ft^2)</t>
  </si>
  <si>
    <t>W0</t>
  </si>
  <si>
    <t>Initial Weight</t>
  </si>
  <si>
    <t>Wf</t>
  </si>
  <si>
    <t>Final Weight</t>
  </si>
  <si>
    <t>ρ</t>
  </si>
  <si>
    <t>Air Density</t>
  </si>
  <si>
    <t>Induced drag parameter</t>
  </si>
  <si>
    <t>π</t>
  </si>
  <si>
    <t>Pi</t>
  </si>
  <si>
    <t>A</t>
  </si>
  <si>
    <t>Aspect Ratio</t>
  </si>
  <si>
    <t>e</t>
  </si>
  <si>
    <t>Oswalk Efficiency</t>
  </si>
  <si>
    <t>Cd0</t>
  </si>
  <si>
    <t>Zero Lift Drag Coefficient</t>
  </si>
  <si>
    <t>Emax</t>
  </si>
  <si>
    <t>Maximum Efficiency</t>
  </si>
  <si>
    <t>c</t>
  </si>
  <si>
    <t>Specific Fuel Consumption</t>
  </si>
  <si>
    <t>Parameter</t>
  </si>
  <si>
    <t>Symbol</t>
  </si>
  <si>
    <t>Units</t>
  </si>
  <si>
    <t>Value</t>
  </si>
  <si>
    <t>OUTPUTS</t>
  </si>
  <si>
    <t>GLOBAL</t>
  </si>
  <si>
    <t>Takeoff Weight</t>
  </si>
  <si>
    <t>W_TO</t>
  </si>
  <si>
    <t>lb</t>
  </si>
  <si>
    <t>Wing Weight (lb) – Roskam USN Eq. 5.10</t>
  </si>
  <si>
    <t>Ultimate load factor</t>
  </si>
  <si>
    <t>n_ult</t>
  </si>
  <si>
    <t>-</t>
  </si>
  <si>
    <t>WING INPUTS</t>
  </si>
  <si>
    <t>Horizontal Tail Weight (lb) – Roskam Eq. 5.17</t>
  </si>
  <si>
    <t>Wing area</t>
  </si>
  <si>
    <t>S_w</t>
  </si>
  <si>
    <t>ft^2</t>
  </si>
  <si>
    <t>Aspect ratio</t>
  </si>
  <si>
    <t>Mean t/c</t>
  </si>
  <si>
    <t>(t/c)_m</t>
  </si>
  <si>
    <t>Vertical Tail Weight (lb) – Roskam Eq. 5.18</t>
  </si>
  <si>
    <t>Taper ratio</t>
  </si>
  <si>
    <t>λ_w</t>
  </si>
  <si>
    <t>LE sweep</t>
  </si>
  <si>
    <t>Λ_LE</t>
  </si>
  <si>
    <t>RAD</t>
  </si>
  <si>
    <t>Material factor</t>
  </si>
  <si>
    <t>K_w</t>
  </si>
  <si>
    <t>Fuselage Weight (lb) – Roskam USN Eq. 5.28 (GD method)</t>
  </si>
  <si>
    <t>HORIZONTAL TAIL INPUTS</t>
  </si>
  <si>
    <t>Tail area</t>
  </si>
  <si>
    <t>S_h</t>
  </si>
  <si>
    <t>Structure subtotal (Wing + H + V + Fuselage) (lb)</t>
  </si>
  <si>
    <t>TSFC</t>
  </si>
  <si>
    <t>L/D</t>
  </si>
  <si>
    <t>Wi/Wf</t>
  </si>
  <si>
    <t>V</t>
  </si>
  <si>
    <t>Range</t>
  </si>
  <si>
    <t>Tail span</t>
  </si>
  <si>
    <t>b_h</t>
  </si>
  <si>
    <t>ft</t>
  </si>
  <si>
    <t>Root t/c</t>
  </si>
  <si>
    <t>t_rh</t>
  </si>
  <si>
    <t>Tail MAC</t>
  </si>
  <si>
    <t>c_bar_h</t>
  </si>
  <si>
    <t>in</t>
  </si>
  <si>
    <t>Tail arm (wing 1/4c -&gt; H 1/4c)</t>
  </si>
  <si>
    <t>l_h</t>
  </si>
  <si>
    <t>Taper ratio (H)</t>
  </si>
  <si>
    <t>λ_h</t>
  </si>
  <si>
    <t>VERTICAL TAIL INPUTS</t>
  </si>
  <si>
    <t>Vertical tail area</t>
  </si>
  <si>
    <t>S_v</t>
  </si>
  <si>
    <t>Aspect ratio (V)</t>
  </si>
  <si>
    <t>A_v</t>
  </si>
  <si>
    <t>Taper ratio (V)</t>
  </si>
  <si>
    <t>λ_v</t>
  </si>
  <si>
    <t>z_h / b_v</t>
  </si>
  <si>
    <t>z_h/b_v</t>
  </si>
  <si>
    <r>
      <rPr>
        <sz val="11"/>
        <color rgb="FF000000"/>
        <rFont val="Calibri"/>
        <family val="2"/>
      </rPr>
      <t>(</t>
    </r>
    <r>
      <rPr>
        <b/>
        <sz val="11"/>
        <color rgb="FF000000"/>
        <rFont val="Calibri"/>
        <family val="2"/>
      </rPr>
      <t>FOR V-TAIL MOUNTED ON FUSELAGE, Z_H = 0)</t>
    </r>
  </si>
  <si>
    <t>M_H (Roskam 5.18)</t>
  </si>
  <si>
    <t>M_H</t>
  </si>
  <si>
    <t>Tail arm (V)</t>
  </si>
  <si>
    <t>l_v</t>
  </si>
  <si>
    <t>Rudder area ratio</t>
  </si>
  <si>
    <t>S_r/S_v</t>
  </si>
  <si>
    <t>Quarter-chord sweep (V)</t>
  </si>
  <si>
    <t>Λ_1/4,v</t>
  </si>
  <si>
    <t>deg</t>
  </si>
  <si>
    <t>FUSELAGE INPUTS (USN GD method)</t>
  </si>
  <si>
    <t>q_d Calculation</t>
  </si>
  <si>
    <t>Inlet factor</t>
  </si>
  <si>
    <t>K_inl</t>
  </si>
  <si>
    <t>Density (Sea Level)</t>
  </si>
  <si>
    <t>Dynamic Dive Pressure</t>
  </si>
  <si>
    <t>q_D</t>
  </si>
  <si>
    <t>psf</t>
  </si>
  <si>
    <t>Landing Weight</t>
  </si>
  <si>
    <t>W_L</t>
  </si>
  <si>
    <t>(25% Fuel, 50% Stores)</t>
  </si>
  <si>
    <t>Fuselage length/height</t>
  </si>
  <si>
    <t>l_L/l_H</t>
  </si>
  <si>
    <t>Surface Area of Wing</t>
  </si>
  <si>
    <t>S</t>
  </si>
  <si>
    <t>CL Max Land</t>
  </si>
  <si>
    <t>C_LML</t>
  </si>
  <si>
    <t>Stall Velocity</t>
  </si>
  <si>
    <t>V_S</t>
  </si>
  <si>
    <t>Dynamic Dive Press.</t>
  </si>
  <si>
    <t>q_d</t>
  </si>
  <si>
    <t>STRIKE</t>
  </si>
  <si>
    <t>A2A</t>
  </si>
  <si>
    <t>Clean Cruise</t>
  </si>
  <si>
    <t>Preliminary Weight: Strike</t>
  </si>
  <si>
    <t>Weight (lb)</t>
  </si>
  <si>
    <t>Operating Empty Weight (W_OE)</t>
  </si>
  <si>
    <t>Distance (in)</t>
  </si>
  <si>
    <t>Moment (lb-in)</t>
  </si>
  <si>
    <t>Payload</t>
  </si>
  <si>
    <t>Gear</t>
  </si>
  <si>
    <t>% Fuel</t>
  </si>
  <si>
    <t>FS (in)</t>
  </si>
  <si>
    <t>%MAC</t>
  </si>
  <si>
    <t>W_Fuel (lbs)</t>
  </si>
  <si>
    <t>Empty Weight (W_E)</t>
  </si>
  <si>
    <t>Name</t>
  </si>
  <si>
    <t>W</t>
  </si>
  <si>
    <t>X</t>
  </si>
  <si>
    <t>Y</t>
  </si>
  <si>
    <t>Z</t>
  </si>
  <si>
    <t>Full Payload</t>
  </si>
  <si>
    <t>Up</t>
  </si>
  <si>
    <t>Trapped Fuel and Oil (W_tfo)</t>
  </si>
  <si>
    <t xml:space="preserve">Wing </t>
  </si>
  <si>
    <t>(7600 lbs)</t>
  </si>
  <si>
    <t>Crew Weight (W_CREW)</t>
  </si>
  <si>
    <t>Tail-Horizontal</t>
  </si>
  <si>
    <t>Fuel (W_F)</t>
  </si>
  <si>
    <t>Tail-Vertical</t>
  </si>
  <si>
    <t>No Payload</t>
  </si>
  <si>
    <t>Down</t>
  </si>
  <si>
    <t>W_OE + 60% Fuel</t>
  </si>
  <si>
    <t>Fuselage</t>
  </si>
  <si>
    <t>W_OE + W_F</t>
  </si>
  <si>
    <t>Fuel (Wing Fuel Assumption)</t>
  </si>
  <si>
    <t>Fuel (Wing Fuel Assumption) 100%</t>
  </si>
  <si>
    <t>Payload Weight (W_PL)</t>
  </si>
  <si>
    <t>Payload 0%</t>
  </si>
  <si>
    <t>W_OE + WF + W_PL</t>
  </si>
  <si>
    <t>Totals</t>
  </si>
  <si>
    <t>Xcg</t>
  </si>
  <si>
    <t>Ycg</t>
  </si>
  <si>
    <t>Zcg</t>
  </si>
  <si>
    <t>Preliminary Weight: A2A</t>
  </si>
  <si>
    <t>Ferry Cruise</t>
  </si>
  <si>
    <t>Fuel (Super Hornet External Fuel)</t>
  </si>
  <si>
    <t>Payload 100%</t>
  </si>
  <si>
    <t xml:space="preserve">Payload 100% </t>
  </si>
  <si>
    <t>Weapons Cruise</t>
  </si>
  <si>
    <t>Fuel (Wing Fuel Assumption)  100%</t>
  </si>
  <si>
    <t>Fuel 100%</t>
  </si>
  <si>
    <t>Weapons Clean Burn</t>
  </si>
  <si>
    <t>Fuel (Wing Fuel Assumption)  25%</t>
  </si>
  <si>
    <t>Fuel (Wing Fuel Assumption) 25%</t>
  </si>
  <si>
    <t>Payload 25%</t>
  </si>
  <si>
    <t>Weapons Clean Recovery</t>
  </si>
  <si>
    <t>Take Off Weight</t>
  </si>
  <si>
    <t>Equations</t>
  </si>
  <si>
    <t>Cylinder</t>
  </si>
  <si>
    <t>Cone</t>
  </si>
  <si>
    <t>Thin Plate</t>
  </si>
  <si>
    <t>Ixx</t>
  </si>
  <si>
    <t>(1/12)*m*(3*r^2+h^2)</t>
  </si>
  <si>
    <t>(3/80)*m*(4r^2+h^2)</t>
  </si>
  <si>
    <t>(1/12)*m*b^2</t>
  </si>
  <si>
    <t>Iyy</t>
  </si>
  <si>
    <t>(1/12)*m*a^2</t>
  </si>
  <si>
    <t>Izz</t>
  </si>
  <si>
    <t>(1/2)*m*r^2</t>
  </si>
  <si>
    <t>(3/10)*m*r^2</t>
  </si>
  <si>
    <t>(1/12)*m*(a^2+b^2)</t>
  </si>
  <si>
    <t>Payload 50%</t>
  </si>
  <si>
    <t>L</t>
  </si>
  <si>
    <t>CG</t>
  </si>
  <si>
    <t>(Calculator)</t>
  </si>
  <si>
    <t>Calculator</t>
  </si>
  <si>
    <t>(0.42*Length)</t>
  </si>
  <si>
    <t>.12*L</t>
  </si>
  <si>
    <t>Major Structural</t>
  </si>
  <si>
    <t>Landing Equipment</t>
  </si>
  <si>
    <t>Major Equipment</t>
  </si>
  <si>
    <t>Propulsion</t>
  </si>
  <si>
    <t>Fuel</t>
  </si>
  <si>
    <t>Moment Of Inertia</t>
  </si>
  <si>
    <t>Misc.</t>
  </si>
  <si>
    <t>FULL CONFIG. Strike</t>
  </si>
  <si>
    <t>Direction</t>
  </si>
  <si>
    <t>Moments</t>
  </si>
  <si>
    <t>Radius of Gyration</t>
  </si>
  <si>
    <t>"I" from Ref CS</t>
  </si>
  <si>
    <t>Radius of Gyration Calculator</t>
  </si>
  <si>
    <t>"I" Calculator</t>
  </si>
  <si>
    <r>
      <t>k</t>
    </r>
    <r>
      <rPr>
        <b/>
        <vertAlign val="subscript"/>
        <sz val="10"/>
        <rFont val="Verdana"/>
        <family val="2"/>
      </rPr>
      <t>X</t>
    </r>
  </si>
  <si>
    <r>
      <t>k</t>
    </r>
    <r>
      <rPr>
        <b/>
        <vertAlign val="subscript"/>
        <sz val="10"/>
        <rFont val="Verdana"/>
        <family val="2"/>
      </rPr>
      <t>Y</t>
    </r>
  </si>
  <si>
    <r>
      <t>k</t>
    </r>
    <r>
      <rPr>
        <b/>
        <vertAlign val="subscript"/>
        <sz val="10"/>
        <rFont val="Verdana"/>
        <family val="2"/>
      </rPr>
      <t>Z</t>
    </r>
  </si>
  <si>
    <r>
      <t>I</t>
    </r>
    <r>
      <rPr>
        <b/>
        <vertAlign val="subscript"/>
        <sz val="10"/>
        <rFont val="Verdana"/>
        <family val="2"/>
      </rPr>
      <t>XX</t>
    </r>
  </si>
  <si>
    <r>
      <t>I</t>
    </r>
    <r>
      <rPr>
        <b/>
        <vertAlign val="subscript"/>
        <sz val="10"/>
        <rFont val="Verdana"/>
        <family val="2"/>
      </rPr>
      <t>YY</t>
    </r>
  </si>
  <si>
    <r>
      <t>I</t>
    </r>
    <r>
      <rPr>
        <b/>
        <vertAlign val="subscript"/>
        <sz val="10"/>
        <rFont val="Verdana"/>
        <family val="2"/>
      </rPr>
      <t>ZZ</t>
    </r>
  </si>
  <si>
    <r>
      <t>I</t>
    </r>
    <r>
      <rPr>
        <b/>
        <vertAlign val="subscript"/>
        <sz val="10"/>
        <rFont val="Verdana"/>
        <family val="2"/>
      </rPr>
      <t>XZ</t>
    </r>
  </si>
  <si>
    <t>R</t>
  </si>
  <si>
    <t>r</t>
  </si>
  <si>
    <t>h</t>
  </si>
  <si>
    <t>(Nose Tip As Reference)</t>
  </si>
  <si>
    <t>EMPTY CONFIG.</t>
  </si>
  <si>
    <t>FULL CONFIG. A2A</t>
  </si>
  <si>
    <t>Strike</t>
  </si>
  <si>
    <t>Component</t>
  </si>
  <si>
    <t>Mass</t>
  </si>
  <si>
    <t>Radius (in)</t>
  </si>
  <si>
    <t>Height (in)</t>
  </si>
  <si>
    <t>a</t>
  </si>
  <si>
    <t>b</t>
  </si>
  <si>
    <r>
      <t>lb-in</t>
    </r>
    <r>
      <rPr>
        <vertAlign val="superscript"/>
        <sz val="10"/>
        <rFont val="Verdana"/>
        <family val="2"/>
      </rPr>
      <t>2</t>
    </r>
  </si>
  <si>
    <t>slug-in^2</t>
  </si>
  <si>
    <t>Fuel (Wings)</t>
  </si>
  <si>
    <t>N/A</t>
  </si>
  <si>
    <t>2/3 Thin Plate</t>
  </si>
  <si>
    <t>Wings</t>
  </si>
  <si>
    <t>(4374 lbs)</t>
  </si>
  <si>
    <t>H-Stab</t>
  </si>
  <si>
    <t>V-Stab</t>
  </si>
  <si>
    <t>(0 lbs)</t>
  </si>
  <si>
    <t>Nose Gear</t>
  </si>
  <si>
    <t>Rear Gear</t>
  </si>
  <si>
    <t>Pilot</t>
  </si>
  <si>
    <t>Nose Cone</t>
  </si>
  <si>
    <t>Canopy</t>
  </si>
  <si>
    <t>Cylinder *1/2</t>
  </si>
  <si>
    <t>Seating</t>
  </si>
  <si>
    <t>NOTES FOR DESIGN</t>
  </si>
  <si>
    <t>Thrust Nozzle (Left)</t>
  </si>
  <si>
    <t>Thrust Nozzle (Right)</t>
  </si>
  <si>
    <t>Bring payload 30 inches closes to nose to bring CG forward</t>
  </si>
  <si>
    <t xml:space="preserve">(4374 </t>
  </si>
  <si>
    <t>Engine 1 (Left)</t>
  </si>
  <si>
    <t>Move Wings back 2-3 ft so the %MAC stays low</t>
  </si>
  <si>
    <t>Engine 2 (Right)</t>
  </si>
  <si>
    <t>Payload System 1 (Left)</t>
  </si>
  <si>
    <t>A2A Mission</t>
  </si>
  <si>
    <t>Payload System 2 (Right)</t>
  </si>
  <si>
    <t xml:space="preserve">Aim120C </t>
  </si>
  <si>
    <t>Propulsion Systems (TOTAL)</t>
  </si>
  <si>
    <t>Aim9x</t>
  </si>
  <si>
    <t>Avionics System</t>
  </si>
  <si>
    <t>Total Weight</t>
  </si>
  <si>
    <t>Control Surface System Wings</t>
  </si>
  <si>
    <t>Control Surface System Empennage</t>
  </si>
  <si>
    <t>Flight Equipment (Pilot 1)</t>
  </si>
  <si>
    <t>MK83 JDAM</t>
  </si>
  <si>
    <t>Flight Equipment (Pilot 2)</t>
  </si>
  <si>
    <t>Ejection Seat 1</t>
  </si>
  <si>
    <t>Ejection Seat 2</t>
  </si>
  <si>
    <t>De-Icing/AC System</t>
  </si>
  <si>
    <t>Electrical System</t>
  </si>
  <si>
    <t>Furnishing/Equipment</t>
  </si>
  <si>
    <t>TOTAL</t>
  </si>
  <si>
    <t>MOI</t>
  </si>
  <si>
    <t>Z CG Location</t>
  </si>
  <si>
    <t>IXX</t>
  </si>
  <si>
    <t>IYY</t>
  </si>
  <si>
    <t>IZZ</t>
  </si>
  <si>
    <t>CG Location (From Nose)</t>
  </si>
  <si>
    <t>Minor Component Weight Calc</t>
  </si>
  <si>
    <t>Ult Load Factor</t>
  </si>
  <si>
    <t>W_AU</t>
  </si>
  <si>
    <t>Weapons Take-Off</t>
  </si>
  <si>
    <t>Weapons Landing</t>
  </si>
  <si>
    <t>Control Surface System</t>
  </si>
  <si>
    <t>Needs: Strike</t>
  </si>
  <si>
    <t>X (Frame Station)</t>
  </si>
  <si>
    <t>Y (Butt Line, b/2)</t>
  </si>
  <si>
    <t>Y (Butt Line)</t>
  </si>
  <si>
    <t>Z (Water Line)</t>
  </si>
  <si>
    <t>X:W</t>
  </si>
  <si>
    <t>Y:W, b/2</t>
  </si>
  <si>
    <t>Y:W</t>
  </si>
  <si>
    <t>Z:W</t>
  </si>
  <si>
    <t>X (FS) Estimator</t>
  </si>
  <si>
    <t>Used F-16 for now.</t>
  </si>
  <si>
    <t>Y (BL, b/2) Estimator</t>
  </si>
  <si>
    <t>Z (WL) Estimator</t>
  </si>
  <si>
    <t>Wing</t>
  </si>
  <si>
    <t>Values sourced from CHATGPT</t>
  </si>
  <si>
    <t>H-Tail</t>
  </si>
  <si>
    <t>They physically make sense</t>
  </si>
  <si>
    <t>V-Tail</t>
  </si>
  <si>
    <t>Inputs: Wing (in)</t>
  </si>
  <si>
    <t>𝜆</t>
  </si>
  <si>
    <t>MAC</t>
  </si>
  <si>
    <t>y_MAC</t>
  </si>
  <si>
    <t>FS_LE_MAC</t>
  </si>
  <si>
    <t xml:space="preserve">X (FS) </t>
  </si>
  <si>
    <t>Inputs: Wing</t>
  </si>
  <si>
    <t>Y (BL)</t>
  </si>
  <si>
    <t>Z (WL)</t>
  </si>
  <si>
    <t>Wing Span (b)</t>
  </si>
  <si>
    <t>Engines/Nacelles</t>
  </si>
  <si>
    <t>Root Chord (c)</t>
  </si>
  <si>
    <t>b_semi</t>
  </si>
  <si>
    <t>Dihedral</t>
  </si>
  <si>
    <t>Landing Gear, Nose</t>
  </si>
  <si>
    <t>Tip chord (c_t)</t>
  </si>
  <si>
    <t>Thickness Ratio</t>
  </si>
  <si>
    <t>Landing Gear, Main</t>
  </si>
  <si>
    <t>LE Sweep (𝜆)</t>
  </si>
  <si>
    <t>CG Fraction (Z-Axis)</t>
  </si>
  <si>
    <t>Crew &amp; Payload (A2A)</t>
  </si>
  <si>
    <t>CG Fraction (X-Axis)</t>
  </si>
  <si>
    <t>Apex Station</t>
  </si>
  <si>
    <t>WL Apex</t>
  </si>
  <si>
    <t>Landing Gear</t>
  </si>
  <si>
    <t>Inputs: H-Tail (ft)</t>
  </si>
  <si>
    <t>Inputs: H-Tail</t>
  </si>
  <si>
    <t>(Once all yellow cells have information inputted, the red cells will be correct)</t>
  </si>
  <si>
    <t>Needs: A2A</t>
  </si>
  <si>
    <t>KEY:</t>
  </si>
  <si>
    <t>Relies on red cells</t>
  </si>
  <si>
    <t>Missing information, using F-16C estimate instead (ChatGPT)</t>
  </si>
  <si>
    <t>This will need to be calculated by me</t>
  </si>
  <si>
    <t>CG Fraction</t>
  </si>
  <si>
    <t>This is the NET moment created by the wing.  Table Shown below breaking this down</t>
  </si>
  <si>
    <t>Inputs: V-Tail (ft)</t>
  </si>
  <si>
    <t>Inputs: V-Tail</t>
  </si>
  <si>
    <t>Y:W Break Down</t>
  </si>
  <si>
    <t>Y (BL) (+/-)</t>
  </si>
  <si>
    <t>Moment (+)</t>
  </si>
  <si>
    <t>Moment(-)</t>
  </si>
  <si>
    <t>Sum of Moments</t>
  </si>
  <si>
    <t xml:space="preserve">Root LE Height </t>
  </si>
  <si>
    <t>Fin Height (b_VT)</t>
  </si>
  <si>
    <t>Root Chord (c_VT)</t>
  </si>
  <si>
    <t>Tip Chord (c_TVT</t>
  </si>
  <si>
    <t>Essentially disregard the Y (BL) calcs, they all end up 0 in the end, I just added the CG location on a single side</t>
  </si>
  <si>
    <t>𝜆_VT</t>
  </si>
  <si>
    <t>z_MAC_VT</t>
  </si>
  <si>
    <t>Inputs: Fuselage</t>
  </si>
  <si>
    <t>X (FS)</t>
  </si>
  <si>
    <t>K</t>
  </si>
  <si>
    <t>Clean Config</t>
  </si>
  <si>
    <t>Full Config</t>
  </si>
  <si>
    <t>Worst Case Config</t>
  </si>
  <si>
    <t>Length</t>
  </si>
  <si>
    <t>x_nose</t>
  </si>
  <si>
    <t>Inputs: Engine</t>
  </si>
  <si>
    <t>Numbers are multiplied by 12 to get the answer in inches along each chord</t>
  </si>
  <si>
    <t>WEIGHT ESTIMATIONS USING ROSKAMS 5 CHAPTER 5</t>
  </si>
  <si>
    <t>Variable</t>
  </si>
  <si>
    <t>Horizontal Tail</t>
  </si>
  <si>
    <t>N_Ult</t>
  </si>
  <si>
    <t>(l_f/l_h)</t>
  </si>
  <si>
    <t>S_H</t>
  </si>
  <si>
    <t>AR</t>
  </si>
  <si>
    <t>b_H</t>
  </si>
  <si>
    <t>t_r/t_c</t>
  </si>
  <si>
    <t>tail root thickness</t>
  </si>
  <si>
    <t>q_D Calc</t>
  </si>
  <si>
    <t>Variable Name</t>
  </si>
  <si>
    <t>Taper Ratio</t>
  </si>
  <si>
    <t>MAC_htail</t>
  </si>
  <si>
    <t>Mc</t>
  </si>
  <si>
    <t>Cruise Mach</t>
  </si>
  <si>
    <t>LE Sweep Angle</t>
  </si>
  <si>
    <t>l_H, tail arm</t>
  </si>
  <si>
    <t>Speed of sound @ 30000 ft</t>
  </si>
  <si>
    <t>horiz taper ratio</t>
  </si>
  <si>
    <t>Kv</t>
  </si>
  <si>
    <t>Dive Factor</t>
  </si>
  <si>
    <t>V_D</t>
  </si>
  <si>
    <t>Design Dive Speed</t>
  </si>
  <si>
    <t>rho</t>
  </si>
  <si>
    <t>Density at 30000 ft</t>
  </si>
  <si>
    <t>Variables Solver</t>
  </si>
  <si>
    <t>AR_H</t>
  </si>
  <si>
    <t>t/c_r</t>
  </si>
  <si>
    <t>c_rH</t>
  </si>
  <si>
    <t>Fuel Weight Ratios</t>
  </si>
  <si>
    <t>Landing Gear Weight</t>
  </si>
  <si>
    <t>X_CG Aircraft</t>
  </si>
  <si>
    <t>W_F</t>
  </si>
  <si>
    <t>Weight Calc</t>
  </si>
  <si>
    <t>W_LG</t>
  </si>
  <si>
    <t>Next-Gen Navy Fighter — Preliminary Takeoff Weight Estimator (Method 2.1)</t>
  </si>
  <si>
    <t>Units: c_t in 1/hr, V in kt, R in nm, E in hr. Segment Type must be: range, endurance, or discrete.</t>
  </si>
  <si>
    <t>Edit the yellow cells only. Outputs compute automatically. ε and δ are decimals (e.g., 0.50, 0.06).</t>
  </si>
  <si>
    <t>Summary (read-only)</t>
  </si>
  <si>
    <t>A2A: W₀ (lb)</t>
  </si>
  <si>
    <t>Strike: W₀ (lb)</t>
  </si>
  <si>
    <t>A2A: Wₑ (lb)</t>
  </si>
  <si>
    <t>Strike: Wₑ (lb)</t>
  </si>
  <si>
    <t>A2A: W_f (lb)</t>
  </si>
  <si>
    <t>Strike: W_f (lb)</t>
  </si>
  <si>
    <t>A2A Mission (700 nm out &amp; back, 2-min AB, 30-min reserve)</t>
  </si>
  <si>
    <t>Inputs (A2A)</t>
  </si>
  <si>
    <t>Payload W_PL (lb)</t>
  </si>
  <si>
    <t>Empty-weight fraction ε (decimal)</t>
  </si>
  <si>
    <t>Fuel allowance δ (decimal)</t>
  </si>
  <si>
    <t>Segment</t>
  </si>
  <si>
    <t>Type</t>
  </si>
  <si>
    <t>c_t (1/hr)</t>
  </si>
  <si>
    <t>V (kt)</t>
  </si>
  <si>
    <t>R (nm)</t>
  </si>
  <si>
    <t>E (hr)</t>
  </si>
  <si>
    <t>Exponent</t>
  </si>
  <si>
    <t>Factor W(i+1)/W(i)</t>
  </si>
  <si>
    <t>Warm-up/Taxi</t>
  </si>
  <si>
    <t>discrete</t>
  </si>
  <si>
    <t>Takeoff</t>
  </si>
  <si>
    <t>Climb</t>
  </si>
  <si>
    <t>Outbound Cruise</t>
  </si>
  <si>
    <t>range</t>
  </si>
  <si>
    <t>Combat (AB 2 min)</t>
  </si>
  <si>
    <t>endurance</t>
  </si>
  <si>
    <t>Return Cruise</t>
  </si>
  <si>
    <t>Descent</t>
  </si>
  <si>
    <t>Reserve Loiter (30 min)</t>
  </si>
  <si>
    <t>Outputs (A2A)</t>
  </si>
  <si>
    <t>Π (product of factors)</t>
  </si>
  <si>
    <t>Raw fuel fraction (1−Π)</t>
  </si>
  <si>
    <t>Final φ (add δ)</t>
  </si>
  <si>
    <t>W₀ (lb)</t>
  </si>
  <si>
    <t>Wₑ = ε·W₀ (lb)</t>
  </si>
  <si>
    <t>W_f = φ·W₀ (lb)</t>
  </si>
  <si>
    <t>Strike Mission (650 nm out/back, 50 nm SL ingress &amp; egress, 30-min reserve)</t>
  </si>
  <si>
    <t>Inputs (Strike)</t>
  </si>
  <si>
    <t>Ingress Dash (SL MIL 50 nm)</t>
  </si>
  <si>
    <t>Egress Dash (SL MIL 50 nm)</t>
  </si>
  <si>
    <t>Outputs (Strike)</t>
  </si>
  <si>
    <t>Overall Aircraft Configuration – Wing Layout Tool</t>
  </si>
  <si>
    <t>Global Inputs (orange cells are editable)</t>
  </si>
  <si>
    <t>WING</t>
  </si>
  <si>
    <t>DRIVING NUMBERS</t>
  </si>
  <si>
    <t>Wing Area S</t>
  </si>
  <si>
    <t>Aspect Ratio AR</t>
  </si>
  <si>
    <t>Wing Span b</t>
  </si>
  <si>
    <t>Semi-span (in)</t>
  </si>
  <si>
    <t>Taper Ratio λ</t>
  </si>
  <si>
    <t>Root chord c_r (ft)</t>
  </si>
  <si>
    <t>LE Sweep Λ_LE</t>
  </si>
  <si>
    <t>Root chord c_r (in)</t>
  </si>
  <si>
    <t>Root LE X intercept (XLE_root)</t>
  </si>
  <si>
    <t>Tip chord c_t (in)</t>
  </si>
  <si>
    <t>MAC (in)</t>
  </si>
  <si>
    <t>y_bar (in)</t>
  </si>
  <si>
    <t>m_LE = tan(Λ_LE)</t>
  </si>
  <si>
    <t>LEMAC X (in) = XLE(y_bar)</t>
  </si>
  <si>
    <t>TEMAC X (in)</t>
  </si>
  <si>
    <t>Tip chord c_t (ft)</t>
  </si>
  <si>
    <t>Spanwise Geometry (from centerline to tip)</t>
  </si>
  <si>
    <t>Station</t>
  </si>
  <si>
    <t>y (in)</t>
  </si>
  <si>
    <t>Chord c(y) (in)</t>
  </si>
  <si>
    <t>XLE(y) (in)</t>
  </si>
  <si>
    <t>Xc/4 (in)</t>
  </si>
  <si>
    <t>Xc/2 (in)</t>
  </si>
  <si>
    <t>XTE(y) (in)</t>
  </si>
  <si>
    <t>0% b/2</t>
  </si>
  <si>
    <t>25% b/2</t>
  </si>
  <si>
    <t>50% b/2</t>
  </si>
  <si>
    <t>75% b/2</t>
  </si>
  <si>
    <t>100% b/2</t>
  </si>
  <si>
    <t>Horizontal stabilizer</t>
  </si>
  <si>
    <t>Global Inputs (yellow cells editable) — dimensions measured from Tail Station 0 (TS0)</t>
  </si>
  <si>
    <t>Derived Geometry (H-Stab)</t>
  </si>
  <si>
    <t>Stab Area S_H</t>
  </si>
  <si>
    <t>Aspect Ratio AR_H</t>
  </si>
  <si>
    <t>Stab Span b_H</t>
  </si>
  <si>
    <t>Taper Ratio λ_H</t>
  </si>
  <si>
    <t>Root chord c_r,H (ft)</t>
  </si>
  <si>
    <t>LE Sweep Λ_LE,H</t>
  </si>
  <si>
    <t>Root chord c_r,H (in)</t>
  </si>
  <si>
    <t>Root LE X intercept (XLE_root,H)</t>
  </si>
  <si>
    <t>Tip chord c_t,H (in)</t>
  </si>
  <si>
    <t>Tail Arm l_H (wing 1/4c to H-stab 1/4c)</t>
  </si>
  <si>
    <t>MAC_H (in)</t>
  </si>
  <si>
    <t>Wing Area S (for V_H check)</t>
  </si>
  <si>
    <t>ȳ_c,H (in)</t>
  </si>
  <si>
    <t>Wing MAC (for V_H check)</t>
  </si>
  <si>
    <t>m_LE,H = tan(Λ_LE,H)</t>
  </si>
  <si>
    <t>LEMAC_H X (in) = XLE_H(ȳ_c,H)</t>
  </si>
  <si>
    <t>TEMAC_H X (in)</t>
  </si>
  <si>
    <t>Vh (Hor Tail Volume)</t>
  </si>
  <si>
    <t>HORI GRAPH</t>
  </si>
  <si>
    <t>Spanwise Geometry (Centerline → Tip, H-Stab)</t>
  </si>
  <si>
    <t>XLE_REL</t>
  </si>
  <si>
    <t>XTE_REL</t>
  </si>
  <si>
    <t>Chord c_H(y) (in)</t>
  </si>
  <si>
    <t>XLE_H(y) (in)</t>
  </si>
  <si>
    <t>Xc/4_H (in)</t>
  </si>
  <si>
    <t>Xc/2_H (in)</t>
  </si>
  <si>
    <t>XTE_H(y) (in)</t>
  </si>
  <si>
    <t>0% b_H/2</t>
  </si>
  <si>
    <t>25% b_H/2</t>
  </si>
  <si>
    <t>50% b_H/2</t>
  </si>
  <si>
    <t>75% b_H/2</t>
  </si>
  <si>
    <t>100% b_H/2</t>
  </si>
  <si>
    <t>TAIL ARM OFFSET</t>
  </si>
  <si>
    <t>WING AC (X location) (in)</t>
  </si>
  <si>
    <t>XAC,HT (in)</t>
  </si>
  <si>
    <t>TAIL AC (X location) (in)</t>
  </si>
  <si>
    <t>Tail Arm (lt) (in)</t>
  </si>
  <si>
    <t>Vertical Stabilizer Configuration – Layout Tool (Tail-Referenced, X–Z Planform)</t>
  </si>
  <si>
    <t>Global Inputs (yellow cells editable) — X measured from Tail Station 0 (TS0); Z upward</t>
  </si>
  <si>
    <t>Derived Geometry (Per Fin)</t>
  </si>
  <si>
    <t>Summary (V-Stab)</t>
  </si>
  <si>
    <t>TOTAL Vertical Tail Area S_V,total</t>
  </si>
  <si>
    <t>Per-Fin Area S_V (ft^2)</t>
  </si>
  <si>
    <t>S_V,total (ft^2)</t>
  </si>
  <si>
    <t>Number of Fins N_v</t>
  </si>
  <si>
    <t>Aspect Ratio AR_V</t>
  </si>
  <si>
    <t>Per Fin Area S_V (ft^2)</t>
  </si>
  <si>
    <t>Fin Height b_V (root-to-tip, Z-span)</t>
  </si>
  <si>
    <t>Semi-height (in)</t>
  </si>
  <si>
    <t>MAC_V (in)</t>
  </si>
  <si>
    <t>Taper Ratio λ_V</t>
  </si>
  <si>
    <t>Root chord c_r,V (ft)</t>
  </si>
  <si>
    <t>z_bar,V (in)</t>
  </si>
  <si>
    <t>LE Sweep Λ_LE,V (deg, side view)</t>
  </si>
  <si>
    <t>Root chord c_r,V (in)</t>
  </si>
  <si>
    <t>b_V (ft)</t>
  </si>
  <si>
    <t>Root LE X intercept (XLE_root,V)</t>
  </si>
  <si>
    <t>Tip chord c_t,V (in)</t>
  </si>
  <si>
    <t>AR_V</t>
  </si>
  <si>
    <t>Wing Area S_wing (for V_V check)</t>
  </si>
  <si>
    <t>LEMAC_V X (in)</t>
  </si>
  <si>
    <t>Wing Span b_wing</t>
  </si>
  <si>
    <t>Tail Arm l_V (wing 1/4c to V-stab AC)</t>
  </si>
  <si>
    <t>m_LE,V = tan(Λ_LE,V)</t>
  </si>
  <si>
    <t>Tail Volume Check (Roskam): V_V = (S_V,total * l_V) / (S_wing * b_wing)</t>
  </si>
  <si>
    <t>1/4 chord sweep</t>
  </si>
  <si>
    <t>LEMAC_V X (in) = XLE_V(z_bar)</t>
  </si>
  <si>
    <t>V_V (using total area)</t>
  </si>
  <si>
    <t>TEMAC_V X (in)</t>
  </si>
  <si>
    <t>Spanwise Geometry (Root → Tip, Vertical Stabilizer)</t>
  </si>
  <si>
    <t>Vv (Vert Tail Volume)</t>
  </si>
  <si>
    <t>z (in)</t>
  </si>
  <si>
    <t>Chord c_V(z) (in)</t>
  </si>
  <si>
    <t>XLE_V(z) (in)</t>
  </si>
  <si>
    <t>Xc/4_V (in)</t>
  </si>
  <si>
    <t>Xc/2_V (in)</t>
  </si>
  <si>
    <t>XTE_V(z) (in)</t>
  </si>
  <si>
    <t>0% b_V/2</t>
  </si>
  <si>
    <t>25% b_V/2</t>
  </si>
  <si>
    <t>50% b_V/2</t>
  </si>
  <si>
    <t>75% b_V/2</t>
  </si>
  <si>
    <t>100% b_V/2</t>
  </si>
  <si>
    <t>slug/ft^3</t>
  </si>
  <si>
    <t>v</t>
  </si>
  <si>
    <t>ft/s</t>
  </si>
  <si>
    <t>CL,max</t>
  </si>
  <si>
    <t>T</t>
  </si>
  <si>
    <t>lbf</t>
  </si>
  <si>
    <t>vstall</t>
  </si>
  <si>
    <t>runway</t>
  </si>
  <si>
    <t>dx(ft)</t>
  </si>
  <si>
    <t>x(ft)</t>
  </si>
  <si>
    <t>F_net(x)</t>
  </si>
  <si>
    <t>V^2</t>
  </si>
  <si>
    <t>V (ft/s)</t>
  </si>
  <si>
    <t>q</t>
  </si>
  <si>
    <t>D</t>
  </si>
  <si>
    <t>F_Fric (x)</t>
  </si>
  <si>
    <t>V (kn)</t>
  </si>
  <si>
    <t>y(ft)</t>
  </si>
  <si>
    <t>y dot (ft/s)</t>
  </si>
  <si>
    <t>y ddot (ft/s^2)</t>
  </si>
  <si>
    <t>density</t>
  </si>
  <si>
    <t>v_to</t>
  </si>
  <si>
    <t>a_to</t>
  </si>
  <si>
    <t>ft/s^2</t>
  </si>
  <si>
    <t>a_cat</t>
  </si>
  <si>
    <t>C_DO</t>
  </si>
  <si>
    <t>mu</t>
  </si>
  <si>
    <t>alpha</t>
  </si>
  <si>
    <t>degrees</t>
  </si>
  <si>
    <t>V at 90% C_Lmax</t>
  </si>
  <si>
    <t>lift curve slope</t>
  </si>
  <si>
    <t>rad^-1</t>
  </si>
  <si>
    <t>T_engine</t>
  </si>
  <si>
    <t>F_cat</t>
  </si>
  <si>
    <t>dx</t>
  </si>
  <si>
    <t>gravity</t>
  </si>
  <si>
    <t>C_Lmax</t>
  </si>
  <si>
    <t>Alpha Radian</t>
  </si>
  <si>
    <t>C_L</t>
  </si>
  <si>
    <t>M</t>
  </si>
  <si>
    <t>slug</t>
  </si>
  <si>
    <t>C_D</t>
  </si>
  <si>
    <t>Min Landing</t>
  </si>
  <si>
    <t>AIAA Limit</t>
  </si>
  <si>
    <t>145 knots</t>
  </si>
  <si>
    <t>Outputs</t>
  </si>
  <si>
    <t>knots</t>
  </si>
  <si>
    <t>Min Weight</t>
  </si>
  <si>
    <t>CL</t>
  </si>
  <si>
    <t>Vstall</t>
  </si>
  <si>
    <t>AIAA</t>
  </si>
  <si>
    <t>weight</t>
  </si>
  <si>
    <t>Vapp</t>
  </si>
  <si>
    <t>Max Landing</t>
  </si>
  <si>
    <t>Veng</t>
  </si>
  <si>
    <t>wing area</t>
  </si>
  <si>
    <t>AIAA Landing</t>
  </si>
  <si>
    <t xml:space="preserve">62% of Empty Weight </t>
  </si>
  <si>
    <t>(lbs)</t>
  </si>
  <si>
    <t>Maximum Speed (Guess)</t>
  </si>
  <si>
    <t>Q</t>
  </si>
  <si>
    <t>(kn)</t>
  </si>
  <si>
    <t>Total Cost Of Program (500 Aircraft)</t>
  </si>
  <si>
    <t xml:space="preserve">Total Cost Of Program (1 Aircraft) </t>
  </si>
  <si>
    <t>Quantity of Aircraft Produceed</t>
  </si>
  <si>
    <t> </t>
  </si>
  <si>
    <t>Airframe Engineering</t>
  </si>
  <si>
    <t>$</t>
  </si>
  <si>
    <t xml:space="preserve"> Airframe Engineering </t>
  </si>
  <si>
    <t xml:space="preserve"> $ </t>
  </si>
  <si>
    <t>Sea Level Max Thrust</t>
  </si>
  <si>
    <t>T_SLS</t>
  </si>
  <si>
    <t>(lbf)</t>
  </si>
  <si>
    <t>Development Support</t>
  </si>
  <si>
    <t xml:space="preserve"> Development Support </t>
  </si>
  <si>
    <t>Turbine Inlet Temperature (Guess)</t>
  </si>
  <si>
    <t>T_R</t>
  </si>
  <si>
    <t xml:space="preserve">(R) </t>
  </si>
  <si>
    <t>Flight Test Operations</t>
  </si>
  <si>
    <t xml:space="preserve"> Flight Test Operations </t>
  </si>
  <si>
    <t>Maximum Mach Number (Guess)</t>
  </si>
  <si>
    <t>M_Max</t>
  </si>
  <si>
    <t>Tooling</t>
  </si>
  <si>
    <t xml:space="preserve"> Tooling </t>
  </si>
  <si>
    <t>Manufacturing</t>
  </si>
  <si>
    <t xml:space="preserve"> Manufacturing </t>
  </si>
  <si>
    <t>E</t>
  </si>
  <si>
    <t>Hours</t>
  </si>
  <si>
    <t>Engineering Rate$</t>
  </si>
  <si>
    <t>2025 $</t>
  </si>
  <si>
    <t xml:space="preserve">Quality Control </t>
  </si>
  <si>
    <t xml:space="preserve"> Quality Control  </t>
  </si>
  <si>
    <t>Total Cost Of Materials</t>
  </si>
  <si>
    <t xml:space="preserve"> Total Cost Of Materials </t>
  </si>
  <si>
    <t>Flight Test Operations (Q_D=5)</t>
  </si>
  <si>
    <t>F</t>
  </si>
  <si>
    <t>Engine and Avionics</t>
  </si>
  <si>
    <t xml:space="preserve"> Engine and Avionics </t>
  </si>
  <si>
    <t>Tooling Rate$</t>
  </si>
  <si>
    <t>Test Facilities</t>
  </si>
  <si>
    <t xml:space="preserve"> Test Facilities </t>
  </si>
  <si>
    <t>Manufacturing Labor</t>
  </si>
  <si>
    <t>Manufacturing Rate$</t>
  </si>
  <si>
    <t>Sustaining Engineering</t>
  </si>
  <si>
    <t xml:space="preserve"> Sustaining Engineering </t>
  </si>
  <si>
    <t>Quality Control</t>
  </si>
  <si>
    <t>QC</t>
  </si>
  <si>
    <t>Hours (Cargo)</t>
  </si>
  <si>
    <t>QC Cargo Rate$</t>
  </si>
  <si>
    <t xml:space="preserve">Total Program Cost </t>
  </si>
  <si>
    <t xml:space="preserve"> Total Program Cost  </t>
  </si>
  <si>
    <t>Hours (Other Aircraft)</t>
  </si>
  <si>
    <t>QC Aircraft Rate$</t>
  </si>
  <si>
    <t>Manufacutring Material Equipment</t>
  </si>
  <si>
    <t xml:space="preserve">Engine and Avionics </t>
  </si>
  <si>
    <t>P</t>
  </si>
  <si>
    <t>Price Fuel</t>
  </si>
  <si>
    <t>($/lb)</t>
  </si>
  <si>
    <t xml:space="preserve">Flight Hours Annual </t>
  </si>
  <si>
    <t>(hrs)</t>
  </si>
  <si>
    <t>Maintenance Man Hours</t>
  </si>
  <si>
    <t xml:space="preserve">Hours Per Crew Member </t>
  </si>
  <si>
    <t>1/2 ro v^2 S</t>
  </si>
  <si>
    <t xml:space="preserve">C_L at Cruise </t>
  </si>
  <si>
    <t>Flight Hours Lifetime</t>
  </si>
  <si>
    <t xml:space="preserve">C_D at Cruise </t>
  </si>
  <si>
    <t xml:space="preserve"> Hours Per Crew Member</t>
  </si>
  <si>
    <t>lb/lbf*hr</t>
  </si>
  <si>
    <t xml:space="preserve">Fuel Flow </t>
  </si>
  <si>
    <t>lb/hr</t>
  </si>
  <si>
    <t>Crew Cost (225$/hr) Year</t>
  </si>
  <si>
    <t>Fuel Cost (500hr)</t>
  </si>
  <si>
    <t>Crew Cost (225$/hr) Lifetime</t>
  </si>
  <si>
    <t>Fuel Cost (12500hr)</t>
  </si>
  <si>
    <t>Taper Ratio, V</t>
  </si>
  <si>
    <t>Taper Ratio, W</t>
  </si>
  <si>
    <t>Zv (in)/(ft)</t>
  </si>
  <si>
    <t>b (ft)</t>
  </si>
  <si>
    <t>2Zv/b</t>
  </si>
  <si>
    <r>
      <t xml:space="preserve">LE Sweep, </t>
    </r>
    <r>
      <rPr>
        <sz val="11"/>
        <color rgb="FF000000"/>
        <rFont val="Calibri"/>
        <family val="2"/>
      </rPr>
      <t>Λ</t>
    </r>
  </si>
  <si>
    <r>
      <t xml:space="preserve">1/4 chord sweep, </t>
    </r>
    <r>
      <rPr>
        <sz val="11"/>
        <color rgb="FF000000"/>
        <rFont val="Calibri"/>
        <family val="2"/>
      </rPr>
      <t>Λ</t>
    </r>
    <r>
      <rPr>
        <sz val="11"/>
        <color rgb="FF000000"/>
        <rFont val="Aptos Narrow"/>
        <family val="2"/>
      </rPr>
      <t xml:space="preserve"> c/4</t>
    </r>
  </si>
  <si>
    <t>Aspect Ratio,W</t>
  </si>
  <si>
    <r>
      <t xml:space="preserve">Angle of attack, </t>
    </r>
    <r>
      <rPr>
        <sz val="11"/>
        <color rgb="FF000000"/>
        <rFont val="Calibri"/>
        <family val="2"/>
      </rPr>
      <t>α</t>
    </r>
  </si>
  <si>
    <t>Wing Area, S (ft^2)</t>
  </si>
  <si>
    <t>Exposed wing area (S,exp (ft^2))</t>
  </si>
  <si>
    <t>Estimate</t>
  </si>
  <si>
    <t>bv (ft)</t>
  </si>
  <si>
    <t>Fuselage avereage depth in the region of vert tail, 2r1 (ft)</t>
  </si>
  <si>
    <t>Estimate range 3-6.5 ft</t>
  </si>
  <si>
    <t>Horizontail Tail Area (St (ft))</t>
  </si>
  <si>
    <t>Vertical Tail Area (Sv (ft))</t>
  </si>
  <si>
    <t>Aspect Ratio Vert Tail, Av</t>
  </si>
  <si>
    <t>Velocity (M)</t>
  </si>
  <si>
    <t>Velocity (u0)</t>
  </si>
  <si>
    <r>
      <t xml:space="preserve">density sea level, </t>
    </r>
    <r>
      <rPr>
        <sz val="11"/>
        <color rgb="FF000000"/>
        <rFont val="Calibri"/>
        <family val="2"/>
      </rPr>
      <t>ρ</t>
    </r>
    <r>
      <rPr>
        <sz val="11"/>
        <color rgb="FF000000"/>
        <rFont val="Aptos Narrow"/>
        <family val="2"/>
      </rPr>
      <t>0</t>
    </r>
  </si>
  <si>
    <r>
      <t xml:space="preserve">density cruise altitude, </t>
    </r>
    <r>
      <rPr>
        <sz val="11"/>
        <color rgb="FF000000"/>
        <rFont val="Calibri"/>
        <family val="2"/>
      </rPr>
      <t>ρ</t>
    </r>
  </si>
  <si>
    <t>σβα</t>
  </si>
  <si>
    <t>Estimate from Pamadi (pg 451)</t>
  </si>
  <si>
    <t>σβГ</t>
  </si>
  <si>
    <t>Estimate from Pamadi (pg 452)</t>
  </si>
  <si>
    <r>
      <t>σβ</t>
    </r>
    <r>
      <rPr>
        <sz val="11"/>
        <color rgb="FF000000"/>
        <rFont val="Aptos Narrow"/>
        <family val="2"/>
      </rPr>
      <t>,WB</t>
    </r>
  </si>
  <si>
    <t>Estimate from Pamadi (pg 453)</t>
  </si>
  <si>
    <t>σβ</t>
  </si>
  <si>
    <t>Fuselage length (lf (ft))</t>
  </si>
  <si>
    <t>Max diameter (bf,max (ft))</t>
  </si>
  <si>
    <t>Fineness ratio (lf/bf,max)</t>
  </si>
  <si>
    <t>k2-k1</t>
  </si>
  <si>
    <t>Estimate from Pamadi (pg 183)</t>
  </si>
  <si>
    <t>Max cross sectional area of fuselage (Sb,max (ft^2))</t>
  </si>
  <si>
    <t>bf, max/b</t>
  </si>
  <si>
    <t>Lift-curve slope, nose (CLα,N)</t>
  </si>
  <si>
    <t>[2*(k2-k1)*Sb,max]/S</t>
  </si>
  <si>
    <t>Lift-curve slope, exposed wing (CLα,e)</t>
  </si>
  <si>
    <t>Estimate range 0.03-0.06</t>
  </si>
  <si>
    <t>KN</t>
  </si>
  <si>
    <t>KN = (CLα,N/CLα,e)*(S/S,exp)</t>
  </si>
  <si>
    <t>KW(B)</t>
  </si>
  <si>
    <t>Eqn from Pamadi (pg 198)</t>
  </si>
  <si>
    <t>KB(W)</t>
  </si>
  <si>
    <t>CLα,WB (a0)</t>
  </si>
  <si>
    <t>(KN +KW(B) + KB(W))*CLα,e*(S,exp/S)</t>
  </si>
  <si>
    <t>Pamadi pg 196</t>
  </si>
  <si>
    <t>bv/2r1</t>
  </si>
  <si>
    <t>AV(B)/AV</t>
  </si>
  <si>
    <t>Estimate from Pamadi (pg 294)</t>
  </si>
  <si>
    <t>zv/bv</t>
  </si>
  <si>
    <t>AV(HB)/AV(B)</t>
  </si>
  <si>
    <t>St/Sv</t>
  </si>
  <si>
    <t>KH</t>
  </si>
  <si>
    <t>Estimate from Pamadi (pg 295)</t>
  </si>
  <si>
    <t>Av,eff</t>
  </si>
  <si>
    <t>av</t>
  </si>
  <si>
    <t>β</t>
  </si>
  <si>
    <t>Stability Derivatives</t>
  </si>
  <si>
    <t>Cγβ</t>
  </si>
  <si>
    <t>Equation from Pamadi (pg 450)</t>
  </si>
  <si>
    <r>
      <t>C</t>
    </r>
    <r>
      <rPr>
        <sz val="11"/>
        <color rgb="FF000000"/>
        <rFont val="Calibri"/>
        <family val="2"/>
      </rPr>
      <t>γ</t>
    </r>
    <r>
      <rPr>
        <sz val="11"/>
        <color rgb="FF000000"/>
        <rFont val="Aptos Narrow"/>
        <family val="2"/>
      </rPr>
      <t>p</t>
    </r>
  </si>
  <si>
    <t>Pamadi pg 434</t>
  </si>
  <si>
    <r>
      <t>C</t>
    </r>
    <r>
      <rPr>
        <sz val="11"/>
        <color rgb="FF000000"/>
        <rFont val="Calibri"/>
        <family val="2"/>
      </rPr>
      <t>γr</t>
    </r>
  </si>
  <si>
    <t>Clβ</t>
  </si>
  <si>
    <t>Equation from Pamadi (pg 452)</t>
  </si>
  <si>
    <t>Clp</t>
  </si>
  <si>
    <t>Pamadi pg 440</t>
  </si>
  <si>
    <t>Clr</t>
  </si>
  <si>
    <t>Cnβ</t>
  </si>
  <si>
    <t>Cnp</t>
  </si>
  <si>
    <t>Cnr</t>
  </si>
  <si>
    <t>(β*Clp)/k</t>
  </si>
  <si>
    <t>Estimate from Pamadi (pg 436)</t>
  </si>
  <si>
    <t>k/β</t>
  </si>
  <si>
    <t>(Clp)W</t>
  </si>
  <si>
    <t>Equation from Pamadi (pg 440)</t>
  </si>
  <si>
    <t>z</t>
  </si>
  <si>
    <t>Equation from Pamadi (pg 441)</t>
  </si>
  <si>
    <t>(Clp)V</t>
  </si>
  <si>
    <t>aw1</t>
  </si>
  <si>
    <t>aw2</t>
  </si>
  <si>
    <t>λ1</t>
  </si>
  <si>
    <t>a1</t>
  </si>
  <si>
    <t>a3</t>
  </si>
  <si>
    <t>a2</t>
  </si>
  <si>
    <t>a4</t>
  </si>
  <si>
    <t>(Cγp/CL)M=0</t>
  </si>
  <si>
    <t>Estimate from Pamadi (pg 435)</t>
  </si>
  <si>
    <t>(Cnp/CL)M=0</t>
  </si>
  <si>
    <t>Pamadi pg 443</t>
  </si>
  <si>
    <t>(Cγp/CL)</t>
  </si>
  <si>
    <t>B</t>
  </si>
  <si>
    <t>ξ</t>
  </si>
  <si>
    <t>Pamadi pg 421</t>
  </si>
  <si>
    <t>Dimensionalizing</t>
  </si>
  <si>
    <t>N</t>
  </si>
  <si>
    <r>
      <t>(1/2)*</t>
    </r>
    <r>
      <rPr>
        <sz val="11"/>
        <color rgb="FF000000"/>
        <rFont val="Calibri"/>
        <family val="2"/>
      </rPr>
      <t>ρ</t>
    </r>
    <r>
      <rPr>
        <sz val="11"/>
        <color rgb="FF000000"/>
        <rFont val="Aptos Narrow"/>
        <family val="2"/>
      </rPr>
      <t>0*u0*S*Cγβ</t>
    </r>
  </si>
  <si>
    <r>
      <t>(1/2)*ρ0*u0*b*S*Cl</t>
    </r>
    <r>
      <rPr>
        <sz val="11"/>
        <color rgb="FF000000"/>
        <rFont val="Calibri"/>
        <family val="2"/>
      </rPr>
      <t>β</t>
    </r>
  </si>
  <si>
    <r>
      <t>(1/2)*ρ0*u0*b*S*Cn</t>
    </r>
    <r>
      <rPr>
        <sz val="11"/>
        <color rgb="FF000000"/>
        <rFont val="Calibri"/>
        <family val="2"/>
      </rPr>
      <t>β</t>
    </r>
  </si>
  <si>
    <t>p</t>
  </si>
  <si>
    <t>(1/4)*ρ0*u0*S*Cγp</t>
  </si>
  <si>
    <t>(1/4)*ρ0*u0*b^2*S*Clp</t>
  </si>
  <si>
    <t>(1/4)*ρ0*u0*b^2*S*Cnp</t>
  </si>
  <si>
    <t>(1/4)*ρ0*u0*S*Cγr</t>
  </si>
  <si>
    <t>(1/4)*ρ0*u0*b^2*S*Clr</t>
  </si>
  <si>
    <t>(1/4)*ρ0*u0*b^2*S*Cnr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</si>
</sst>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1"/>
      <color rgb="FF000000"/>
      <name val="Calibri"/>
      <family val="2"/>
    </font>
    <font>
      <b/>
      <sz val="18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theme="1" tint="0.499984740745262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i/>
      <sz val="11"/>
      <color rgb="FF55555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1F1F1F"/>
      <name val="Google Sans"/>
      <charset val="1"/>
    </font>
    <font>
      <sz val="11"/>
      <color rgb="FF242424"/>
      <name val="Consolas"/>
      <family val="3"/>
    </font>
    <font>
      <sz val="11"/>
      <color rgb="FF000000"/>
      <name val="Aptos Narrow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name val="Verdana"/>
      <family val="2"/>
    </font>
    <font>
      <b/>
      <vertAlign val="subscript"/>
      <sz val="10"/>
      <name val="Verdana"/>
      <family val="2"/>
    </font>
    <font>
      <sz val="10"/>
      <name val="Verdana"/>
      <family val="2"/>
    </font>
    <font>
      <vertAlign val="superscript"/>
      <sz val="10"/>
      <name val="Verdana"/>
      <family val="2"/>
    </font>
    <font>
      <b/>
      <sz val="11"/>
      <color rgb="FFFA7D00"/>
      <name val="Calibri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064A2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0000"/>
        <bgColor rgb="FF000000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0" fillId="0" borderId="0" xfId="0" applyNumberFormat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11" fontId="10" fillId="0" borderId="0" xfId="0" applyNumberFormat="1" applyFont="1"/>
    <xf numFmtId="0" fontId="8" fillId="0" borderId="0" xfId="0" applyFont="1"/>
    <xf numFmtId="0" fontId="0" fillId="3" borderId="0" xfId="0" applyFill="1"/>
    <xf numFmtId="0" fontId="11" fillId="3" borderId="0" xfId="0" applyFont="1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0" xfId="0" applyFill="1"/>
    <xf numFmtId="0" fontId="0" fillId="6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4" borderId="5" xfId="0" applyFill="1" applyBorder="1"/>
    <xf numFmtId="0" fontId="0" fillId="6" borderId="0" xfId="0" applyFill="1"/>
    <xf numFmtId="0" fontId="0" fillId="5" borderId="6" xfId="0" applyFill="1" applyBorder="1"/>
    <xf numFmtId="0" fontId="0" fillId="0" borderId="4" xfId="0" applyBorder="1"/>
    <xf numFmtId="0" fontId="0" fillId="4" borderId="2" xfId="0" applyFill="1" applyBorder="1"/>
    <xf numFmtId="0" fontId="12" fillId="4" borderId="1" xfId="0" applyFont="1" applyFill="1" applyBorder="1"/>
    <xf numFmtId="0" fontId="12" fillId="4" borderId="7" xfId="0" applyFont="1" applyFill="1" applyBorder="1"/>
    <xf numFmtId="0" fontId="0" fillId="4" borderId="3" xfId="0" applyFill="1" applyBorder="1"/>
    <xf numFmtId="0" fontId="0" fillId="5" borderId="2" xfId="0" applyFill="1" applyBorder="1"/>
    <xf numFmtId="0" fontId="0" fillId="0" borderId="8" xfId="0" applyBorder="1"/>
    <xf numFmtId="0" fontId="0" fillId="0" borderId="9" xfId="0" applyBorder="1"/>
    <xf numFmtId="0" fontId="0" fillId="7" borderId="1" xfId="0" applyFill="1" applyBorder="1"/>
    <xf numFmtId="0" fontId="0" fillId="7" borderId="4" xfId="0" applyFill="1" applyBorder="1"/>
    <xf numFmtId="0" fontId="0" fillId="0" borderId="10" xfId="0" applyBorder="1"/>
    <xf numFmtId="0" fontId="0" fillId="4" borderId="11" xfId="0" applyFill="1" applyBorder="1"/>
    <xf numFmtId="0" fontId="12" fillId="4" borderId="12" xfId="0" applyFont="1" applyFill="1" applyBorder="1"/>
    <xf numFmtId="0" fontId="0" fillId="4" borderId="4" xfId="0" applyFill="1" applyBorder="1"/>
    <xf numFmtId="0" fontId="12" fillId="4" borderId="8" xfId="0" applyFont="1" applyFill="1" applyBorder="1"/>
    <xf numFmtId="0" fontId="0" fillId="4" borderId="10" xfId="0" applyFill="1" applyBorder="1"/>
    <xf numFmtId="0" fontId="0" fillId="0" borderId="2" xfId="0" applyBorder="1"/>
    <xf numFmtId="0" fontId="0" fillId="0" borderId="3" xfId="0" applyBorder="1"/>
    <xf numFmtId="0" fontId="12" fillId="4" borderId="2" xfId="0" applyFont="1" applyFill="1" applyBorder="1"/>
    <xf numFmtId="0" fontId="0" fillId="5" borderId="8" xfId="0" applyFill="1" applyBorder="1"/>
    <xf numFmtId="0" fontId="0" fillId="5" borderId="10" xfId="0" applyFill="1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7" borderId="0" xfId="0" applyFill="1"/>
    <xf numFmtId="0" fontId="0" fillId="4" borderId="0" xfId="0" applyFill="1"/>
    <xf numFmtId="0" fontId="0" fillId="7" borderId="3" xfId="0" applyFill="1" applyBorder="1"/>
    <xf numFmtId="0" fontId="0" fillId="4" borderId="6" xfId="0" applyFill="1" applyBorder="1"/>
    <xf numFmtId="0" fontId="13" fillId="0" borderId="0" xfId="0" applyFont="1"/>
    <xf numFmtId="0" fontId="0" fillId="3" borderId="4" xfId="0" applyFill="1" applyBorder="1"/>
    <xf numFmtId="0" fontId="0" fillId="0" borderId="13" xfId="0" applyBorder="1"/>
    <xf numFmtId="0" fontId="0" fillId="3" borderId="14" xfId="0" applyFill="1" applyBorder="1"/>
    <xf numFmtId="0" fontId="0" fillId="3" borderId="11" xfId="0" applyFill="1" applyBorder="1"/>
    <xf numFmtId="0" fontId="0" fillId="0" borderId="14" xfId="0" applyBorder="1"/>
    <xf numFmtId="0" fontId="1" fillId="0" borderId="2" xfId="0" applyFont="1" applyBorder="1"/>
    <xf numFmtId="0" fontId="0" fillId="0" borderId="5" xfId="0" applyBorder="1"/>
    <xf numFmtId="0" fontId="5" fillId="0" borderId="4" xfId="0" applyFont="1" applyBorder="1"/>
    <xf numFmtId="0" fontId="14" fillId="5" borderId="1" xfId="0" applyFont="1" applyFill="1" applyBorder="1"/>
    <xf numFmtId="0" fontId="14" fillId="4" borderId="11" xfId="0" applyFont="1" applyFill="1" applyBorder="1"/>
    <xf numFmtId="0" fontId="14" fillId="4" borderId="4" xfId="0" applyFont="1" applyFill="1" applyBorder="1"/>
    <xf numFmtId="0" fontId="0" fillId="8" borderId="14" xfId="0" applyFill="1" applyBorder="1"/>
    <xf numFmtId="0" fontId="0" fillId="8" borderId="11" xfId="0" applyFill="1" applyBorder="1"/>
    <xf numFmtId="0" fontId="0" fillId="8" borderId="0" xfId="0" applyFill="1"/>
    <xf numFmtId="0" fontId="14" fillId="4" borderId="1" xfId="0" applyFont="1" applyFill="1" applyBorder="1"/>
    <xf numFmtId="0" fontId="4" fillId="0" borderId="2" xfId="0" applyFont="1" applyBorder="1"/>
    <xf numFmtId="0" fontId="14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0" fillId="6" borderId="14" xfId="0" applyFill="1" applyBorder="1"/>
    <xf numFmtId="0" fontId="0" fillId="6" borderId="4" xfId="0" applyFill="1" applyBorder="1"/>
    <xf numFmtId="0" fontId="1" fillId="0" borderId="8" xfId="0" applyFont="1" applyBorder="1"/>
    <xf numFmtId="0" fontId="5" fillId="0" borderId="2" xfId="0" applyFont="1" applyBorder="1"/>
    <xf numFmtId="0" fontId="13" fillId="10" borderId="16" xfId="0" applyFont="1" applyFill="1" applyBorder="1"/>
    <xf numFmtId="0" fontId="13" fillId="0" borderId="0" xfId="0" applyFont="1" applyAlignment="1">
      <alignment wrapText="1"/>
    </xf>
    <xf numFmtId="0" fontId="13" fillId="10" borderId="15" xfId="0" applyFont="1" applyFill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7" borderId="11" xfId="0" applyFill="1" applyBorder="1"/>
    <xf numFmtId="0" fontId="0" fillId="13" borderId="4" xfId="0" applyFill="1" applyBorder="1"/>
    <xf numFmtId="0" fontId="0" fillId="0" borderId="15" xfId="0" applyBorder="1"/>
    <xf numFmtId="0" fontId="0" fillId="15" borderId="15" xfId="0" applyFill="1" applyBorder="1"/>
    <xf numFmtId="0" fontId="0" fillId="14" borderId="15" xfId="0" applyFill="1" applyBorder="1"/>
    <xf numFmtId="0" fontId="0" fillId="0" borderId="21" xfId="0" applyBorder="1"/>
    <xf numFmtId="0" fontId="16" fillId="0" borderId="0" xfId="0" applyFont="1"/>
    <xf numFmtId="0" fontId="17" fillId="0" borderId="0" xfId="0" applyFont="1"/>
    <xf numFmtId="0" fontId="18" fillId="7" borderId="15" xfId="0" applyFont="1" applyFill="1" applyBorder="1"/>
    <xf numFmtId="0" fontId="0" fillId="0" borderId="22" xfId="0" applyBorder="1"/>
    <xf numFmtId="0" fontId="0" fillId="17" borderId="15" xfId="0" applyFill="1" applyBorder="1"/>
    <xf numFmtId="0" fontId="0" fillId="0" borderId="15" xfId="0" applyBorder="1" applyAlignment="1">
      <alignment horizontal="center"/>
    </xf>
    <xf numFmtId="0" fontId="0" fillId="18" borderId="15" xfId="0" applyFill="1" applyBorder="1"/>
    <xf numFmtId="164" fontId="0" fillId="0" borderId="15" xfId="0" applyNumberFormat="1" applyBorder="1"/>
    <xf numFmtId="0" fontId="0" fillId="4" borderId="15" xfId="0" applyFill="1" applyBorder="1"/>
    <xf numFmtId="2" fontId="0" fillId="18" borderId="15" xfId="0" applyNumberFormat="1" applyFill="1" applyBorder="1"/>
    <xf numFmtId="0" fontId="0" fillId="13" borderId="3" xfId="0" applyFill="1" applyBorder="1"/>
    <xf numFmtId="0" fontId="0" fillId="13" borderId="10" xfId="0" applyFill="1" applyBorder="1"/>
    <xf numFmtId="0" fontId="0" fillId="13" borderId="1" xfId="0" applyFill="1" applyBorder="1"/>
    <xf numFmtId="0" fontId="0" fillId="13" borderId="0" xfId="0" applyFill="1"/>
    <xf numFmtId="0" fontId="0" fillId="13" borderId="9" xfId="0" applyFill="1" applyBorder="1"/>
    <xf numFmtId="0" fontId="0" fillId="13" borderId="2" xfId="0" applyFill="1" applyBorder="1"/>
    <xf numFmtId="0" fontId="0" fillId="13" borderId="5" xfId="0" applyFill="1" applyBorder="1"/>
    <xf numFmtId="0" fontId="0" fillId="13" borderId="8" xfId="0" applyFill="1" applyBorder="1"/>
    <xf numFmtId="0" fontId="0" fillId="13" borderId="7" xfId="0" applyFill="1" applyBorder="1"/>
    <xf numFmtId="0" fontId="19" fillId="0" borderId="8" xfId="0" applyFont="1" applyBorder="1"/>
    <xf numFmtId="0" fontId="0" fillId="4" borderId="8" xfId="0" applyFill="1" applyBorder="1"/>
    <xf numFmtId="0" fontId="20" fillId="0" borderId="1" xfId="0" applyFont="1" applyBorder="1"/>
    <xf numFmtId="0" fontId="21" fillId="0" borderId="0" xfId="0" applyFont="1"/>
    <xf numFmtId="3" fontId="21" fillId="0" borderId="0" xfId="0" applyNumberFormat="1" applyFont="1"/>
    <xf numFmtId="3" fontId="0" fillId="0" borderId="0" xfId="0" applyNumberFormat="1"/>
    <xf numFmtId="0" fontId="21" fillId="19" borderId="15" xfId="0" applyFont="1" applyFill="1" applyBorder="1"/>
    <xf numFmtId="0" fontId="21" fillId="19" borderId="16" xfId="0" applyFont="1" applyFill="1" applyBorder="1"/>
    <xf numFmtId="4" fontId="21" fillId="19" borderId="16" xfId="0" applyNumberFormat="1" applyFont="1" applyFill="1" applyBorder="1"/>
    <xf numFmtId="0" fontId="21" fillId="19" borderId="17" xfId="0" applyFont="1" applyFill="1" applyBorder="1"/>
    <xf numFmtId="0" fontId="21" fillId="19" borderId="18" xfId="0" applyFont="1" applyFill="1" applyBorder="1"/>
    <xf numFmtId="4" fontId="21" fillId="19" borderId="18" xfId="0" applyNumberFormat="1" applyFont="1" applyFill="1" applyBorder="1"/>
    <xf numFmtId="3" fontId="21" fillId="19" borderId="18" xfId="0" applyNumberFormat="1" applyFont="1" applyFill="1" applyBorder="1"/>
    <xf numFmtId="0" fontId="21" fillId="20" borderId="15" xfId="0" applyFont="1" applyFill="1" applyBorder="1"/>
    <xf numFmtId="0" fontId="21" fillId="20" borderId="16" xfId="0" applyFont="1" applyFill="1" applyBorder="1"/>
    <xf numFmtId="0" fontId="21" fillId="0" borderId="16" xfId="0" applyFont="1" applyBorder="1"/>
    <xf numFmtId="4" fontId="21" fillId="20" borderId="16" xfId="0" applyNumberFormat="1" applyFont="1" applyFill="1" applyBorder="1"/>
    <xf numFmtId="0" fontId="21" fillId="21" borderId="16" xfId="0" applyFont="1" applyFill="1" applyBorder="1"/>
    <xf numFmtId="0" fontId="21" fillId="20" borderId="17" xfId="0" applyFont="1" applyFill="1" applyBorder="1"/>
    <xf numFmtId="0" fontId="21" fillId="20" borderId="18" xfId="0" applyFont="1" applyFill="1" applyBorder="1"/>
    <xf numFmtId="4" fontId="21" fillId="20" borderId="18" xfId="0" applyNumberFormat="1" applyFont="1" applyFill="1" applyBorder="1"/>
    <xf numFmtId="0" fontId="21" fillId="21" borderId="18" xfId="0" applyFont="1" applyFill="1" applyBorder="1"/>
    <xf numFmtId="0" fontId="21" fillId="0" borderId="18" xfId="0" applyFont="1" applyBorder="1"/>
    <xf numFmtId="0" fontId="21" fillId="22" borderId="15" xfId="0" applyFont="1" applyFill="1" applyBorder="1"/>
    <xf numFmtId="0" fontId="21" fillId="22" borderId="16" xfId="0" applyFont="1" applyFill="1" applyBorder="1"/>
    <xf numFmtId="0" fontId="21" fillId="23" borderId="15" xfId="0" applyFont="1" applyFill="1" applyBorder="1"/>
    <xf numFmtId="0" fontId="21" fillId="23" borderId="16" xfId="0" applyFont="1" applyFill="1" applyBorder="1"/>
    <xf numFmtId="0" fontId="21" fillId="22" borderId="17" xfId="0" applyFont="1" applyFill="1" applyBorder="1"/>
    <xf numFmtId="0" fontId="21" fillId="22" borderId="18" xfId="0" applyFont="1" applyFill="1" applyBorder="1"/>
    <xf numFmtId="0" fontId="21" fillId="23" borderId="17" xfId="0" applyFont="1" applyFill="1" applyBorder="1"/>
    <xf numFmtId="0" fontId="21" fillId="23" borderId="18" xfId="0" applyFont="1" applyFill="1" applyBorder="1"/>
    <xf numFmtId="0" fontId="21" fillId="0" borderId="17" xfId="0" applyFont="1" applyBorder="1"/>
    <xf numFmtId="4" fontId="21" fillId="0" borderId="18" xfId="0" applyNumberFormat="1" applyFont="1" applyBorder="1"/>
    <xf numFmtId="4" fontId="21" fillId="22" borderId="18" xfId="0" applyNumberFormat="1" applyFont="1" applyFill="1" applyBorder="1"/>
    <xf numFmtId="4" fontId="21" fillId="23" borderId="18" xfId="0" applyNumberFormat="1" applyFont="1" applyFill="1" applyBorder="1"/>
    <xf numFmtId="0" fontId="4" fillId="0" borderId="8" xfId="0" applyFont="1" applyBorder="1"/>
    <xf numFmtId="0" fontId="1" fillId="7" borderId="15" xfId="0" applyFont="1" applyFill="1" applyBorder="1"/>
    <xf numFmtId="0" fontId="1" fillId="0" borderId="15" xfId="0" applyFont="1" applyBorder="1"/>
    <xf numFmtId="0" fontId="1" fillId="16" borderId="15" xfId="0" applyFont="1" applyFill="1" applyBorder="1" applyAlignment="1">
      <alignment horizontal="center"/>
    </xf>
    <xf numFmtId="0" fontId="1" fillId="17" borderId="15" xfId="0" applyFont="1" applyFill="1" applyBorder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22" fillId="0" borderId="0" xfId="0" applyFont="1"/>
    <xf numFmtId="0" fontId="0" fillId="31" borderId="0" xfId="0" applyFill="1"/>
    <xf numFmtId="0" fontId="0" fillId="11" borderId="0" xfId="0" applyFill="1"/>
    <xf numFmtId="0" fontId="0" fillId="0" borderId="23" xfId="0" applyBorder="1"/>
    <xf numFmtId="0" fontId="24" fillId="0" borderId="0" xfId="0" applyFont="1"/>
    <xf numFmtId="0" fontId="25" fillId="0" borderId="0" xfId="0" applyFont="1"/>
    <xf numFmtId="0" fontId="7" fillId="0" borderId="23" xfId="0" applyFont="1" applyBorder="1"/>
    <xf numFmtId="0" fontId="7" fillId="0" borderId="16" xfId="0" applyFont="1" applyBorder="1"/>
    <xf numFmtId="0" fontId="9" fillId="0" borderId="1" xfId="0" applyFont="1" applyBorder="1"/>
    <xf numFmtId="0" fontId="9" fillId="7" borderId="0" xfId="0" applyFont="1" applyFill="1"/>
    <xf numFmtId="0" fontId="9" fillId="0" borderId="0" xfId="0" quotePrefix="1" applyFont="1"/>
    <xf numFmtId="0" fontId="9" fillId="6" borderId="0" xfId="0" applyFont="1" applyFill="1"/>
    <xf numFmtId="0" fontId="9" fillId="13" borderId="0" xfId="0" applyFont="1" applyFill="1"/>
    <xf numFmtId="0" fontId="9" fillId="4" borderId="0" xfId="0" applyFont="1" applyFill="1"/>
    <xf numFmtId="0" fontId="9" fillId="0" borderId="8" xfId="0" applyFont="1" applyBorder="1"/>
    <xf numFmtId="0" fontId="9" fillId="0" borderId="10" xfId="0" applyFont="1" applyBorder="1"/>
    <xf numFmtId="0" fontId="9" fillId="0" borderId="4" xfId="0" applyFont="1" applyBorder="1"/>
    <xf numFmtId="0" fontId="9" fillId="0" borderId="9" xfId="0" applyFont="1" applyBorder="1"/>
    <xf numFmtId="0" fontId="9" fillId="13" borderId="4" xfId="0" applyFont="1" applyFill="1" applyBorder="1"/>
    <xf numFmtId="0" fontId="9" fillId="0" borderId="2" xfId="0" applyFont="1" applyBorder="1"/>
    <xf numFmtId="0" fontId="9" fillId="0" borderId="12" xfId="0" applyFont="1" applyBorder="1"/>
    <xf numFmtId="0" fontId="9" fillId="0" borderId="5" xfId="0" applyFont="1" applyBorder="1"/>
    <xf numFmtId="0" fontId="9" fillId="4" borderId="1" xfId="0" applyFont="1" applyFill="1" applyBorder="1"/>
    <xf numFmtId="0" fontId="4" fillId="4" borderId="3" xfId="0" applyFont="1" applyFill="1" applyBorder="1"/>
    <xf numFmtId="0" fontId="9" fillId="0" borderId="0" xfId="0" applyFont="1" applyAlignment="1">
      <alignment wrapText="1"/>
    </xf>
    <xf numFmtId="0" fontId="9" fillId="9" borderId="0" xfId="0" applyFont="1" applyFill="1" applyAlignment="1">
      <alignment wrapText="1"/>
    </xf>
    <xf numFmtId="0" fontId="7" fillId="4" borderId="0" xfId="0" applyFont="1" applyFill="1"/>
    <xf numFmtId="0" fontId="9" fillId="0" borderId="17" xfId="0" applyFont="1" applyBorder="1" applyAlignment="1">
      <alignment wrapText="1"/>
    </xf>
    <xf numFmtId="0" fontId="9" fillId="0" borderId="18" xfId="0" applyFont="1" applyBorder="1"/>
    <xf numFmtId="0" fontId="9" fillId="4" borderId="18" xfId="0" applyFont="1" applyFill="1" applyBorder="1"/>
    <xf numFmtId="0" fontId="9" fillId="10" borderId="15" xfId="0" applyFont="1" applyFill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quotePrefix="1" applyFont="1" applyBorder="1"/>
    <xf numFmtId="0" fontId="9" fillId="0" borderId="19" xfId="0" applyFont="1" applyBorder="1"/>
    <xf numFmtId="0" fontId="9" fillId="0" borderId="20" xfId="0" applyFont="1" applyBorder="1"/>
    <xf numFmtId="0" fontId="13" fillId="14" borderId="15" xfId="0" applyFont="1" applyFill="1" applyBorder="1" applyAlignment="1">
      <alignment horizontal="center"/>
    </xf>
    <xf numFmtId="0" fontId="13" fillId="14" borderId="17" xfId="0" applyFont="1" applyFill="1" applyBorder="1" applyAlignment="1">
      <alignment horizontal="center"/>
    </xf>
    <xf numFmtId="0" fontId="26" fillId="0" borderId="0" xfId="0" applyFont="1"/>
    <xf numFmtId="0" fontId="9" fillId="7" borderId="18" xfId="0" applyFont="1" applyFill="1" applyBorder="1"/>
    <xf numFmtId="0" fontId="23" fillId="7" borderId="18" xfId="0" applyFont="1" applyFill="1" applyBorder="1"/>
    <xf numFmtId="165" fontId="9" fillId="0" borderId="18" xfId="0" applyNumberFormat="1" applyFont="1" applyBorder="1"/>
    <xf numFmtId="0" fontId="27" fillId="0" borderId="17" xfId="0" applyFont="1" applyBorder="1"/>
    <xf numFmtId="0" fontId="27" fillId="0" borderId="18" xfId="0" applyFont="1" applyBorder="1"/>
    <xf numFmtId="0" fontId="29" fillId="0" borderId="18" xfId="0" applyFont="1" applyBorder="1"/>
    <xf numFmtId="0" fontId="27" fillId="0" borderId="24" xfId="0" applyFont="1" applyBorder="1"/>
    <xf numFmtId="0" fontId="27" fillId="0" borderId="25" xfId="0" applyFont="1" applyBorder="1"/>
    <xf numFmtId="0" fontId="27" fillId="0" borderId="16" xfId="0" applyFont="1" applyBorder="1"/>
    <xf numFmtId="0" fontId="29" fillId="0" borderId="19" xfId="0" applyFont="1" applyBorder="1"/>
    <xf numFmtId="0" fontId="29" fillId="0" borderId="20" xfId="0" applyFont="1" applyBorder="1"/>
    <xf numFmtId="0" fontId="9" fillId="30" borderId="1" xfId="0" applyFont="1" applyFill="1" applyBorder="1"/>
    <xf numFmtId="0" fontId="9" fillId="32" borderId="1" xfId="0" applyFont="1" applyFill="1" applyBorder="1"/>
    <xf numFmtId="0" fontId="0" fillId="30" borderId="1" xfId="0" applyFill="1" applyBorder="1"/>
    <xf numFmtId="0" fontId="0" fillId="32" borderId="1" xfId="0" applyFill="1" applyBorder="1"/>
    <xf numFmtId="0" fontId="0" fillId="31" borderId="1" xfId="0" applyFill="1" applyBorder="1"/>
    <xf numFmtId="0" fontId="9" fillId="30" borderId="3" xfId="0" applyFont="1" applyFill="1" applyBorder="1"/>
    <xf numFmtId="0" fontId="0" fillId="30" borderId="3" xfId="0" applyFill="1" applyBorder="1"/>
    <xf numFmtId="0" fontId="29" fillId="3" borderId="1" xfId="0" applyFont="1" applyFill="1" applyBorder="1"/>
    <xf numFmtId="0" fontId="31" fillId="3" borderId="1" xfId="0" applyFont="1" applyFill="1" applyBorder="1"/>
    <xf numFmtId="0" fontId="0" fillId="3" borderId="1" xfId="0" applyFill="1" applyBorder="1"/>
    <xf numFmtId="0" fontId="9" fillId="30" borderId="2" xfId="0" applyFont="1" applyFill="1" applyBorder="1"/>
    <xf numFmtId="0" fontId="0" fillId="30" borderId="2" xfId="0" applyFill="1" applyBorder="1"/>
    <xf numFmtId="0" fontId="0" fillId="33" borderId="0" xfId="0" applyFill="1"/>
    <xf numFmtId="0" fontId="32" fillId="32" borderId="0" xfId="0" applyFont="1" applyFill="1"/>
    <xf numFmtId="0" fontId="21" fillId="23" borderId="26" xfId="0" applyFont="1" applyFill="1" applyBorder="1"/>
    <xf numFmtId="0" fontId="21" fillId="0" borderId="27" xfId="0" applyFont="1" applyBorder="1"/>
    <xf numFmtId="0" fontId="21" fillId="23" borderId="27" xfId="0" applyFont="1" applyFill="1" applyBorder="1"/>
    <xf numFmtId="0" fontId="21" fillId="34" borderId="27" xfId="0" applyFont="1" applyFill="1" applyBorder="1"/>
    <xf numFmtId="0" fontId="9" fillId="0" borderId="31" xfId="0" applyFont="1" applyBorder="1"/>
    <xf numFmtId="11" fontId="21" fillId="0" borderId="0" xfId="0" applyNumberFormat="1" applyFont="1"/>
    <xf numFmtId="0" fontId="21" fillId="0" borderId="32" xfId="0" applyFont="1" applyBorder="1"/>
    <xf numFmtId="0" fontId="21" fillId="35" borderId="0" xfId="0" applyFont="1" applyFill="1"/>
    <xf numFmtId="0" fontId="21" fillId="36" borderId="26" xfId="0" applyFont="1" applyFill="1" applyBorder="1"/>
    <xf numFmtId="0" fontId="9" fillId="0" borderId="33" xfId="0" applyFont="1" applyBorder="1"/>
    <xf numFmtId="0" fontId="21" fillId="0" borderId="22" xfId="0" applyFont="1" applyBorder="1"/>
    <xf numFmtId="11" fontId="21" fillId="0" borderId="22" xfId="0" applyNumberFormat="1" applyFont="1" applyBorder="1"/>
    <xf numFmtId="0" fontId="21" fillId="0" borderId="34" xfId="0" applyFont="1" applyBorder="1"/>
    <xf numFmtId="0" fontId="21" fillId="37" borderId="35" xfId="0" applyFont="1" applyFill="1" applyBorder="1"/>
    <xf numFmtId="0" fontId="9" fillId="36" borderId="26" xfId="0" applyFont="1" applyFill="1" applyBorder="1"/>
    <xf numFmtId="0" fontId="21" fillId="36" borderId="36" xfId="0" applyFont="1" applyFill="1" applyBorder="1"/>
    <xf numFmtId="0" fontId="21" fillId="0" borderId="36" xfId="0" applyFont="1" applyBorder="1"/>
    <xf numFmtId="0" fontId="9" fillId="36" borderId="27" xfId="0" applyFont="1" applyFill="1" applyBorder="1"/>
    <xf numFmtId="0" fontId="21" fillId="36" borderId="37" xfId="0" applyFont="1" applyFill="1" applyBorder="1"/>
    <xf numFmtId="0" fontId="21" fillId="0" borderId="37" xfId="0" applyFont="1" applyBorder="1"/>
    <xf numFmtId="11" fontId="21" fillId="36" borderId="37" xfId="0" applyNumberFormat="1" applyFont="1" applyFill="1" applyBorder="1"/>
    <xf numFmtId="0" fontId="9" fillId="35" borderId="27" xfId="0" applyFont="1" applyFill="1" applyBorder="1"/>
    <xf numFmtId="0" fontId="21" fillId="35" borderId="37" xfId="0" applyFont="1" applyFill="1" applyBorder="1"/>
    <xf numFmtId="0" fontId="21" fillId="37" borderId="38" xfId="0" applyFont="1" applyFill="1" applyBorder="1"/>
    <xf numFmtId="0" fontId="21" fillId="38" borderId="26" xfId="0" applyFont="1" applyFill="1" applyBorder="1"/>
    <xf numFmtId="0" fontId="21" fillId="37" borderId="36" xfId="0" applyFont="1" applyFill="1" applyBorder="1"/>
    <xf numFmtId="0" fontId="21" fillId="35" borderId="27" xfId="0" applyFont="1" applyFill="1" applyBorder="1"/>
    <xf numFmtId="0" fontId="21" fillId="37" borderId="27" xfId="0" applyFont="1" applyFill="1" applyBorder="1"/>
    <xf numFmtId="0" fontId="21" fillId="37" borderId="37" xfId="0" applyFont="1" applyFill="1" applyBorder="1"/>
    <xf numFmtId="0" fontId="9" fillId="37" borderId="0" xfId="0" applyFont="1" applyFill="1"/>
    <xf numFmtId="0" fontId="33" fillId="38" borderId="27" xfId="0" applyFont="1" applyFill="1" applyBorder="1"/>
    <xf numFmtId="0" fontId="21" fillId="0" borderId="39" xfId="0" applyFont="1" applyBorder="1"/>
    <xf numFmtId="0" fontId="21" fillId="0" borderId="33" xfId="0" applyFont="1" applyBorder="1"/>
    <xf numFmtId="0" fontId="21" fillId="0" borderId="43" xfId="0" applyFont="1" applyBorder="1"/>
    <xf numFmtId="0" fontId="21" fillId="0" borderId="31" xfId="0" applyFont="1" applyBorder="1"/>
    <xf numFmtId="0" fontId="21" fillId="0" borderId="40" xfId="0" applyFont="1" applyBorder="1"/>
    <xf numFmtId="0" fontId="21" fillId="0" borderId="44" xfId="0" applyFont="1" applyBorder="1"/>
    <xf numFmtId="0" fontId="0" fillId="11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21" fillId="24" borderId="24" xfId="0" applyFont="1" applyFill="1" applyBorder="1"/>
    <xf numFmtId="0" fontId="21" fillId="24" borderId="25" xfId="0" applyFont="1" applyFill="1" applyBorder="1"/>
    <xf numFmtId="0" fontId="21" fillId="24" borderId="16" xfId="0" applyFont="1" applyFill="1" applyBorder="1"/>
    <xf numFmtId="0" fontId="9" fillId="0" borderId="28" xfId="0" applyFont="1" applyBorder="1"/>
    <xf numFmtId="0" fontId="9" fillId="0" borderId="29" xfId="0" applyFont="1" applyBorder="1"/>
    <xf numFmtId="0" fontId="9" fillId="0" borderId="30" xfId="0" applyFont="1" applyBorder="1"/>
    <xf numFmtId="0" fontId="21" fillId="0" borderId="28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22" xfId="0" applyFont="1" applyBorder="1"/>
    <xf numFmtId="0" fontId="21" fillId="0" borderId="33" xfId="0" applyFont="1" applyBorder="1"/>
    <xf numFmtId="0" fontId="21" fillId="0" borderId="41" xfId="0" applyFont="1" applyBorder="1"/>
    <xf numFmtId="0" fontId="21" fillId="0" borderId="0" xfId="0" applyFont="1"/>
    <xf numFmtId="0" fontId="21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'Wing_Area_Sizing_(BEN)'!$I$2</c:f>
              <c:strCache>
                <c:ptCount val="1"/>
                <c:pt idx="0">
                  <c:v>Altitude (ft)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'Wing_Area_Sizing_(BEN)'!$G$3:$G$8</c:f>
              <c:numCache>
                <c:formatCode>General</c:formatCode>
                <c:ptCount val="6"/>
                <c:pt idx="0">
                  <c:v>2049</c:v>
                </c:pt>
                <c:pt idx="1">
                  <c:v>1818</c:v>
                </c:pt>
                <c:pt idx="2">
                  <c:v>1650</c:v>
                </c:pt>
                <c:pt idx="3">
                  <c:v>1476</c:v>
                </c:pt>
                <c:pt idx="4">
                  <c:v>1137</c:v>
                </c:pt>
                <c:pt idx="5">
                  <c:v>903</c:v>
                </c:pt>
              </c:numCache>
            </c:numRef>
          </c:xVal>
          <c:yVal>
            <c:numRef>
              <c:f>'Wing_Area_Sizing_(BEN)'!$I$3:$I$8</c:f>
              <c:numCache>
                <c:formatCode>#,##0</c:formatCode>
                <c:ptCount val="6"/>
                <c:pt idx="0">
                  <c:v>45000</c:v>
                </c:pt>
                <c:pt idx="1">
                  <c:v>40000</c:v>
                </c:pt>
                <c:pt idx="2">
                  <c:v>36000</c:v>
                </c:pt>
                <c:pt idx="3">
                  <c:v>30000</c:v>
                </c:pt>
                <c:pt idx="4">
                  <c:v>15000</c:v>
                </c:pt>
                <c:pt idx="5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05-4F66-890D-7ACD15BD9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083335"/>
        <c:axId val="1394085383"/>
      </c:scatterChart>
      <c:valAx>
        <c:axId val="1394083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85383"/>
        <c:crosses val="autoZero"/>
        <c:crossBetween val="midCat"/>
      </c:valAx>
      <c:valAx>
        <c:axId val="1394085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83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56602881190456"/>
          <c:y val="0.88715223097112861"/>
          <c:w val="0.214201006124234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WING LAYOUT (TOP VIEW)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WING LE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WingLayout!$B$19:$B$23</c:f>
              <c:numCache>
                <c:formatCode>General</c:formatCode>
                <c:ptCount val="5"/>
                <c:pt idx="0">
                  <c:v>0</c:v>
                </c:pt>
                <c:pt idx="1">
                  <c:v>67.5</c:v>
                </c:pt>
                <c:pt idx="2">
                  <c:v>135</c:v>
                </c:pt>
                <c:pt idx="3">
                  <c:v>202.5</c:v>
                </c:pt>
                <c:pt idx="4">
                  <c:v>270</c:v>
                </c:pt>
              </c:numCache>
            </c:numRef>
          </c:xVal>
          <c:yVal>
            <c:numRef>
              <c:f>WingLayout!$D$19:$D$23</c:f>
              <c:numCache>
                <c:formatCode>General</c:formatCode>
                <c:ptCount val="5"/>
                <c:pt idx="0">
                  <c:v>315</c:v>
                </c:pt>
                <c:pt idx="1">
                  <c:v>339.56799081296867</c:v>
                </c:pt>
                <c:pt idx="2">
                  <c:v>364.13598162593735</c:v>
                </c:pt>
                <c:pt idx="3">
                  <c:v>388.70397243890596</c:v>
                </c:pt>
                <c:pt idx="4">
                  <c:v>413.27196325187464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A7-4444-8A0D-EDBCB0A90F74}"/>
            </c:ext>
          </c:extLst>
        </c:ser>
        <c:ser>
          <c:idx val="0"/>
          <c:order val="1"/>
          <c:tx>
            <c:v>WING TE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WingLayout!$B$19:$B$23</c:f>
              <c:numCache>
                <c:formatCode>General</c:formatCode>
                <c:ptCount val="5"/>
                <c:pt idx="0">
                  <c:v>0</c:v>
                </c:pt>
                <c:pt idx="1">
                  <c:v>67.5</c:v>
                </c:pt>
                <c:pt idx="2">
                  <c:v>135</c:v>
                </c:pt>
                <c:pt idx="3">
                  <c:v>202.5</c:v>
                </c:pt>
                <c:pt idx="4">
                  <c:v>270</c:v>
                </c:pt>
              </c:numCache>
            </c:numRef>
          </c:xVal>
          <c:yVal>
            <c:numRef>
              <c:f>WingLayout!$G$19:$G$23</c:f>
              <c:numCache>
                <c:formatCode>0.000</c:formatCode>
                <c:ptCount val="5"/>
                <c:pt idx="0">
                  <c:v>477.48888888888888</c:v>
                </c:pt>
                <c:pt idx="1">
                  <c:v>481.74576859074648</c:v>
                </c:pt>
                <c:pt idx="2">
                  <c:v>486.00264829260402</c:v>
                </c:pt>
                <c:pt idx="3">
                  <c:v>490.25952799446151</c:v>
                </c:pt>
                <c:pt idx="4">
                  <c:v>494.51640769631911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7-4444-8A0D-EDBCB0A90F74}"/>
            </c:ext>
          </c:extLst>
        </c:ser>
        <c:ser>
          <c:idx val="2"/>
          <c:order val="2"/>
          <c:tx>
            <c:v>HOR STAB LE</c:v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WingLayout!$B$43:$B$47</c:f>
              <c:numCache>
                <c:formatCode>General</c:formatCode>
                <c:ptCount val="5"/>
                <c:pt idx="0">
                  <c:v>0</c:v>
                </c:pt>
                <c:pt idx="1">
                  <c:v>28.5</c:v>
                </c:pt>
                <c:pt idx="2">
                  <c:v>57</c:v>
                </c:pt>
                <c:pt idx="3">
                  <c:v>85.5</c:v>
                </c:pt>
                <c:pt idx="4">
                  <c:v>114</c:v>
                </c:pt>
              </c:numCache>
            </c:numRef>
          </c:xVal>
          <c:yVal>
            <c:numRef>
              <c:f>WingLayout!$J$42:$J$46</c:f>
              <c:numCache>
                <c:formatCode>General</c:formatCode>
                <c:ptCount val="5"/>
                <c:pt idx="0">
                  <c:v>561.13480199363289</c:v>
                </c:pt>
                <c:pt idx="1">
                  <c:v>576.93260996003687</c:v>
                </c:pt>
                <c:pt idx="2">
                  <c:v>592.73041792644074</c:v>
                </c:pt>
                <c:pt idx="3">
                  <c:v>608.5282258928446</c:v>
                </c:pt>
                <c:pt idx="4">
                  <c:v>624.32603385924858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A7-4444-8A0D-EDBCB0A90F74}"/>
            </c:ext>
          </c:extLst>
        </c:ser>
        <c:ser>
          <c:idx val="3"/>
          <c:order val="3"/>
          <c:tx>
            <c:v>HOR STAB TE</c:v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numRef>
              <c:f>WingLayout!$B$43:$B$47</c:f>
              <c:numCache>
                <c:formatCode>General</c:formatCode>
                <c:ptCount val="5"/>
                <c:pt idx="0">
                  <c:v>0</c:v>
                </c:pt>
                <c:pt idx="1">
                  <c:v>28.5</c:v>
                </c:pt>
                <c:pt idx="2">
                  <c:v>57</c:v>
                </c:pt>
                <c:pt idx="3">
                  <c:v>85.5</c:v>
                </c:pt>
                <c:pt idx="4">
                  <c:v>114</c:v>
                </c:pt>
              </c:numCache>
            </c:numRef>
          </c:xVal>
          <c:yVal>
            <c:numRef>
              <c:f>WingLayout!$K$42:$K$46</c:f>
              <c:numCache>
                <c:formatCode>General</c:formatCode>
                <c:ptCount val="5"/>
                <c:pt idx="0">
                  <c:v>653.76638094100133</c:v>
                </c:pt>
                <c:pt idx="1">
                  <c:v>657.98524153898416</c:v>
                </c:pt>
                <c:pt idx="2">
                  <c:v>662.20410213696709</c:v>
                </c:pt>
                <c:pt idx="3">
                  <c:v>666.42296273494992</c:v>
                </c:pt>
                <c:pt idx="4">
                  <c:v>670.64182333293274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A7-4444-8A0D-EDBCB0A90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604872"/>
        <c:axId val="1169666055"/>
      </c:scatterChart>
      <c:valAx>
        <c:axId val="1261604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b/2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66055"/>
        <c:crosses val="autoZero"/>
        <c:crossBetween val="midCat"/>
      </c:valAx>
      <c:valAx>
        <c:axId val="1169666055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04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WingLayout!$D$74:$D$78</c:f>
              <c:numCache>
                <c:formatCode>General</c:formatCode>
                <c:ptCount val="5"/>
                <c:pt idx="0">
                  <c:v>515.30999999999995</c:v>
                </c:pt>
                <c:pt idx="1">
                  <c:v>540.1627275309736</c:v>
                </c:pt>
                <c:pt idx="2">
                  <c:v>565.01545506194725</c:v>
                </c:pt>
                <c:pt idx="3">
                  <c:v>589.8681825929209</c:v>
                </c:pt>
                <c:pt idx="4">
                  <c:v>614.72091012389467</c:v>
                </c:pt>
              </c:numCache>
            </c:numRef>
          </c:xVal>
          <c:yVal>
            <c:numRef>
              <c:f>WingLayout!$C$81:$C$85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36</c:v>
                </c:pt>
                <c:pt idx="3">
                  <c:v>54</c:v>
                </c:pt>
                <c:pt idx="4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12-4759-94F8-58984EBF46E7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WingLayout!$G$74:$G$78</c:f>
              <c:numCache>
                <c:formatCode>General</c:formatCode>
                <c:ptCount val="5"/>
                <c:pt idx="0">
                  <c:v>565.30999999999995</c:v>
                </c:pt>
                <c:pt idx="1">
                  <c:v>583.9127275309736</c:v>
                </c:pt>
                <c:pt idx="2">
                  <c:v>602.51545506194725</c:v>
                </c:pt>
                <c:pt idx="3">
                  <c:v>621.1181825929209</c:v>
                </c:pt>
                <c:pt idx="4">
                  <c:v>639.72091012389467</c:v>
                </c:pt>
              </c:numCache>
            </c:numRef>
          </c:xVal>
          <c:yVal>
            <c:numRef>
              <c:f>WingLayout!$B$74:$B$78</c:f>
              <c:numCache>
                <c:formatCode>General</c:formatCode>
                <c:ptCount val="5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12-4759-94F8-58984EBF4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377287"/>
        <c:axId val="1511021063"/>
      </c:scatterChart>
      <c:valAx>
        <c:axId val="1209377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21063"/>
        <c:crosses val="autoZero"/>
        <c:crossBetween val="midCat"/>
      </c:valAx>
      <c:valAx>
        <c:axId val="151102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77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4</xdr:row>
      <xdr:rowOff>133350</xdr:rowOff>
    </xdr:from>
    <xdr:to>
      <xdr:col>17</xdr:col>
      <xdr:colOff>542925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555AE-6CEA-620A-A50E-C30ABF81F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428625</xdr:colOff>
      <xdr:row>0</xdr:row>
      <xdr:rowOff>171450</xdr:rowOff>
    </xdr:from>
    <xdr:to>
      <xdr:col>30</xdr:col>
      <xdr:colOff>76200</xdr:colOff>
      <xdr:row>10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50931-346A-C400-D3C4-AFFED4294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0" y="171450"/>
          <a:ext cx="8820150" cy="1981200"/>
        </a:xfrm>
        <a:prstGeom prst="rect">
          <a:avLst/>
        </a:prstGeom>
      </xdr:spPr>
    </xdr:pic>
    <xdr:clientData/>
  </xdr:twoCellAnchor>
  <xdr:twoCellAnchor editAs="oneCell">
    <xdr:from>
      <xdr:col>33</xdr:col>
      <xdr:colOff>180975</xdr:colOff>
      <xdr:row>11</xdr:row>
      <xdr:rowOff>19050</xdr:rowOff>
    </xdr:from>
    <xdr:to>
      <xdr:col>38</xdr:col>
      <xdr:colOff>209550</xdr:colOff>
      <xdr:row>23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754B06-860E-A951-92B5-3AFA7F4E7BFA}"/>
            </a:ext>
            <a:ext uri="{147F2762-F138-4A5C-976F-8EAC2B608ADB}">
              <a16:predDERef xmlns:a16="http://schemas.microsoft.com/office/drawing/2014/main" pred="{6E650931-346A-C400-D3C4-AFFED4294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0500" y="2114550"/>
          <a:ext cx="4562475" cy="2486025"/>
        </a:xfrm>
        <a:prstGeom prst="rect">
          <a:avLst/>
        </a:prstGeom>
      </xdr:spPr>
    </xdr:pic>
    <xdr:clientData/>
  </xdr:twoCellAnchor>
  <xdr:twoCellAnchor editAs="oneCell">
    <xdr:from>
      <xdr:col>24</xdr:col>
      <xdr:colOff>552450</xdr:colOff>
      <xdr:row>19</xdr:row>
      <xdr:rowOff>123825</xdr:rowOff>
    </xdr:from>
    <xdr:to>
      <xdr:col>31</xdr:col>
      <xdr:colOff>600075</xdr:colOff>
      <xdr:row>25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34A288-29ED-121B-22C6-10B6B50F7AFE}"/>
            </a:ext>
            <a:ext uri="{147F2762-F138-4A5C-976F-8EAC2B608ADB}">
              <a16:predDERef xmlns:a16="http://schemas.microsoft.com/office/drawing/2014/main" pred="{CB754B06-860E-A951-92B5-3AFA7F4E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92675" y="3743325"/>
          <a:ext cx="4572000" cy="12192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32</xdr:col>
      <xdr:colOff>190500</xdr:colOff>
      <xdr:row>31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AF2D2A-B16C-99F9-CED9-211232D6D5F5}"/>
            </a:ext>
            <a:ext uri="{147F2762-F138-4A5C-976F-8EAC2B608ADB}">
              <a16:predDERef xmlns:a16="http://schemas.microsoft.com/office/drawing/2014/main" pred="{0D34A288-29ED-121B-22C6-10B6B50F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73550" y="4953000"/>
          <a:ext cx="4572000" cy="1038225"/>
        </a:xfrm>
        <a:prstGeom prst="rect">
          <a:avLst/>
        </a:prstGeom>
      </xdr:spPr>
    </xdr:pic>
    <xdr:clientData/>
  </xdr:twoCellAnchor>
  <xdr:twoCellAnchor editAs="oneCell">
    <xdr:from>
      <xdr:col>24</xdr:col>
      <xdr:colOff>600075</xdr:colOff>
      <xdr:row>33</xdr:row>
      <xdr:rowOff>104775</xdr:rowOff>
    </xdr:from>
    <xdr:to>
      <xdr:col>32</xdr:col>
      <xdr:colOff>38100</xdr:colOff>
      <xdr:row>37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61488F-6E8A-C310-13BF-BCA6A611CE95}"/>
            </a:ext>
            <a:ext uri="{147F2762-F138-4A5C-976F-8EAC2B608ADB}">
              <a16:predDERef xmlns:a16="http://schemas.microsoft.com/office/drawing/2014/main" pred="{AAAF2D2A-B16C-99F9-CED9-211232D6D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40300" y="6391275"/>
          <a:ext cx="4572000" cy="857250"/>
        </a:xfrm>
        <a:prstGeom prst="rect">
          <a:avLst/>
        </a:prstGeom>
      </xdr:spPr>
    </xdr:pic>
    <xdr:clientData/>
  </xdr:twoCellAnchor>
  <xdr:twoCellAnchor editAs="oneCell">
    <xdr:from>
      <xdr:col>32</xdr:col>
      <xdr:colOff>504825</xdr:colOff>
      <xdr:row>59</xdr:row>
      <xdr:rowOff>133350</xdr:rowOff>
    </xdr:from>
    <xdr:to>
      <xdr:col>43</xdr:col>
      <xdr:colOff>447675</xdr:colOff>
      <xdr:row>88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B40801-22A2-033C-A54D-595C00590503}"/>
            </a:ext>
            <a:ext uri="{147F2762-F138-4A5C-976F-8EAC2B608ADB}">
              <a16:predDERef xmlns:a16="http://schemas.microsoft.com/office/drawing/2014/main" pred="{2C61488F-6E8A-C310-13BF-BCA6A611C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64750" y="11449050"/>
          <a:ext cx="8134350" cy="58388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19</xdr:col>
      <xdr:colOff>304800</xdr:colOff>
      <xdr:row>20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5FD45B-2849-A7B9-46FD-C9DA3A17AB2D}"/>
            </a:ext>
            <a:ext uri="{147F2762-F138-4A5C-976F-8EAC2B608ADB}">
              <a16:predDERef xmlns:a16="http://schemas.microsoft.com/office/drawing/2014/main" pred="{32B40801-22A2-033C-A54D-595C00590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34975" y="3086100"/>
          <a:ext cx="2238375" cy="666750"/>
        </a:xfrm>
        <a:prstGeom prst="rect">
          <a:avLst/>
        </a:prstGeom>
      </xdr:spPr>
    </xdr:pic>
    <xdr:clientData/>
  </xdr:twoCellAnchor>
  <xdr:twoCellAnchor editAs="oneCell">
    <xdr:from>
      <xdr:col>80</xdr:col>
      <xdr:colOff>476250</xdr:colOff>
      <xdr:row>148</xdr:row>
      <xdr:rowOff>180975</xdr:rowOff>
    </xdr:from>
    <xdr:to>
      <xdr:col>91</xdr:col>
      <xdr:colOff>85725</xdr:colOff>
      <xdr:row>189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5C5981-8329-D764-EA1E-984DC11A76BF}"/>
            </a:ext>
            <a:ext uri="{147F2762-F138-4A5C-976F-8EAC2B608ADB}">
              <a16:predDERef xmlns:a16="http://schemas.microsoft.com/office/drawing/2014/main" pred="{FF5FD45B-2849-A7B9-46FD-C9DA3A17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484000" y="27374850"/>
          <a:ext cx="6591300" cy="7515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276225</xdr:colOff>
      <xdr:row>74</xdr:row>
      <xdr:rowOff>38100</xdr:rowOff>
    </xdr:from>
    <xdr:to>
      <xdr:col>24</xdr:col>
      <xdr:colOff>114300</xdr:colOff>
      <xdr:row>88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AE81B-B7A6-A05E-5A2A-64F260D9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2875" y="14830425"/>
          <a:ext cx="2886075" cy="27622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104775</xdr:rowOff>
    </xdr:from>
    <xdr:to>
      <xdr:col>25</xdr:col>
      <xdr:colOff>304800</xdr:colOff>
      <xdr:row>57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B0AF52-A5D1-B4A9-E16B-847C4B290A4E}"/>
            </a:ext>
            <a:ext uri="{147F2762-F138-4A5C-976F-8EAC2B608ADB}">
              <a16:predDERef xmlns:a16="http://schemas.microsoft.com/office/drawing/2014/main" pred="{CECF00FC-A3D6-BC5B-A698-F6EAC224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01800" y="9210675"/>
          <a:ext cx="4572000" cy="241935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59</xdr:row>
      <xdr:rowOff>57150</xdr:rowOff>
    </xdr:from>
    <xdr:to>
      <xdr:col>12</xdr:col>
      <xdr:colOff>561975</xdr:colOff>
      <xdr:row>64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3FE749-6A72-3895-F769-6D1A1816FCD1}"/>
            </a:ext>
            <a:ext uri="{147F2762-F138-4A5C-976F-8EAC2B608ADB}">
              <a16:predDERef xmlns:a16="http://schemas.microsoft.com/office/drawing/2014/main" pred="{45B0AF52-A5D1-B4A9-E16B-847C4B290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0225" y="11991975"/>
          <a:ext cx="4572000" cy="1028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3</xdr:row>
      <xdr:rowOff>19050</xdr:rowOff>
    </xdr:from>
    <xdr:to>
      <xdr:col>9</xdr:col>
      <xdr:colOff>285750</xdr:colOff>
      <xdr:row>19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EF03E-44C7-E348-5471-06C3858F2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590550"/>
          <a:ext cx="4572000" cy="3067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1</xdr:row>
      <xdr:rowOff>161925</xdr:rowOff>
    </xdr:from>
    <xdr:to>
      <xdr:col>13</xdr:col>
      <xdr:colOff>590550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3B8D5-F0FC-5350-EBD2-381D2212678A}"/>
            </a:ext>
            <a:ext uri="{147F2762-F138-4A5C-976F-8EAC2B608ADB}">
              <a16:predDERef xmlns:a16="http://schemas.microsoft.com/office/drawing/2014/main" pred="{F28232D8-6F79-5D1E-96BD-213EE36E9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75</xdr:row>
      <xdr:rowOff>133350</xdr:rowOff>
    </xdr:from>
    <xdr:to>
      <xdr:col>12</xdr:col>
      <xdr:colOff>603250</xdr:colOff>
      <xdr:row>90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1BC3-F698-B9EE-E89C-1563F33C5668}"/>
            </a:ext>
            <a:ext uri="{147F2762-F138-4A5C-976F-8EAC2B608ADB}">
              <a16:predDERef xmlns:a16="http://schemas.microsoft.com/office/drawing/2014/main" pred="{1F93B8D5-F0FC-5350-EBD2-381D2212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dsuedu-my.sharepoint.com/personal/wpeterson9822_sdsu_edu/Documents/AE%20460A/AIAA_Weight_Estimator.xlsx" TargetMode="External"/><Relationship Id="rId1" Type="http://schemas.openxmlformats.org/officeDocument/2006/relationships/externalLinkPath" Target="AIAA_Weight_Estim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ai7_Gm9MH0-1aQKPn6GUk5mBSOctWPBItGBa2TQI5rG66UTsdo0NQabVsxempt8w" itemId="01R2L52CQEE5JTZV5OJNB2CXU2LTOE45PD">
      <xxl21:absoluteUrl r:id="rId2"/>
    </xxl21:alternateUrls>
    <sheetNames>
      <sheetName val="Estimator"/>
      <sheetName val="TM-8 Structures Team"/>
      <sheetName val="Wing Area Sizing"/>
      <sheetName val="Wing Loading Calculator"/>
    </sheetNames>
    <sheetDataSet>
      <sheetData sheetId="0">
        <row r="7">
          <cell r="B7">
            <v>24807.58862372482</v>
          </cell>
          <cell r="E7">
            <v>25876.178509525438</v>
          </cell>
        </row>
        <row r="8">
          <cell r="B8">
            <v>19307.58862372482</v>
          </cell>
          <cell r="E8">
            <v>18276.178509525438</v>
          </cell>
        </row>
        <row r="14">
          <cell r="B14">
            <v>5500</v>
          </cell>
        </row>
        <row r="39">
          <cell r="B39">
            <v>7600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I9" sqref="I9"/>
    </sheetView>
  </sheetViews>
  <sheetFormatPr defaultRowHeight="14.5"/>
  <cols>
    <col min="1" max="1" width="19.453125" customWidth="1"/>
    <col min="2" max="2" width="27.453125" customWidth="1"/>
    <col min="3" max="3" width="19.81640625" customWidth="1"/>
    <col min="4" max="4" width="19" customWidth="1"/>
    <col min="5" max="5" width="15.26953125" customWidth="1"/>
    <col min="9" max="9" width="31.54296875" customWidth="1"/>
  </cols>
  <sheetData>
    <row r="1" spans="1:12" ht="21">
      <c r="A1" s="2" t="s">
        <v>0</v>
      </c>
      <c r="B1" s="3"/>
      <c r="C1" s="3"/>
    </row>
    <row r="2" spans="1:12" ht="21">
      <c r="A2" s="3"/>
      <c r="B2" s="3"/>
      <c r="C2" s="3"/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H3" t="s">
        <v>1</v>
      </c>
      <c r="I3" t="s">
        <v>2</v>
      </c>
      <c r="J3" t="s">
        <v>3</v>
      </c>
      <c r="K3" t="s">
        <v>4</v>
      </c>
      <c r="L3" t="s">
        <v>5</v>
      </c>
    </row>
    <row r="4" spans="1:12">
      <c r="A4" t="s">
        <v>6</v>
      </c>
      <c r="B4" s="4" t="s">
        <v>7</v>
      </c>
      <c r="C4">
        <v>1</v>
      </c>
      <c r="D4">
        <v>2500</v>
      </c>
      <c r="E4">
        <f>D4*C4</f>
        <v>2500</v>
      </c>
      <c r="H4" t="s">
        <v>8</v>
      </c>
      <c r="I4" s="4" t="s">
        <v>9</v>
      </c>
      <c r="J4">
        <v>1</v>
      </c>
      <c r="K4">
        <v>2500</v>
      </c>
      <c r="L4">
        <f t="shared" ref="L4:L6" si="0">K4*J4</f>
        <v>2500</v>
      </c>
    </row>
    <row r="5" spans="1:12">
      <c r="A5" t="s">
        <v>10</v>
      </c>
      <c r="B5" s="4" t="s">
        <v>11</v>
      </c>
      <c r="C5">
        <v>6</v>
      </c>
      <c r="D5">
        <v>348</v>
      </c>
      <c r="E5">
        <f>D5*C5</f>
        <v>2088</v>
      </c>
      <c r="H5" t="s">
        <v>8</v>
      </c>
      <c r="I5" s="4" t="s">
        <v>12</v>
      </c>
      <c r="J5">
        <v>4</v>
      </c>
      <c r="K5">
        <v>1000</v>
      </c>
      <c r="L5">
        <f t="shared" si="0"/>
        <v>4000</v>
      </c>
    </row>
    <row r="6" spans="1:12">
      <c r="A6" t="s">
        <v>10</v>
      </c>
      <c r="B6" s="4" t="s">
        <v>13</v>
      </c>
      <c r="C6">
        <v>2</v>
      </c>
      <c r="D6">
        <v>186</v>
      </c>
      <c r="E6">
        <f>D6*C6</f>
        <v>372</v>
      </c>
      <c r="H6" t="s">
        <v>8</v>
      </c>
      <c r="I6" s="4" t="s">
        <v>14</v>
      </c>
      <c r="J6">
        <v>2</v>
      </c>
      <c r="K6">
        <v>186</v>
      </c>
      <c r="L6">
        <f t="shared" si="0"/>
        <v>372</v>
      </c>
    </row>
    <row r="7" spans="1:12">
      <c r="B7" s="4"/>
    </row>
    <row r="8" spans="1:12">
      <c r="B8" s="4"/>
    </row>
    <row r="9" spans="1:12">
      <c r="B9" s="5"/>
      <c r="C9" s="1"/>
      <c r="D9" s="1"/>
      <c r="E9" s="1"/>
    </row>
    <row r="10" spans="1:12">
      <c r="A10" s="1"/>
    </row>
    <row r="11" spans="1:12">
      <c r="A11" s="5"/>
    </row>
    <row r="12" spans="1:12" ht="23.5">
      <c r="A12" s="12"/>
    </row>
    <row r="13" spans="1:12">
      <c r="A13" s="1"/>
    </row>
    <row r="15" spans="1:12">
      <c r="C15" s="7"/>
    </row>
    <row r="16" spans="1:12">
      <c r="C16" s="7"/>
    </row>
    <row r="17" spans="1:3">
      <c r="A17" s="6"/>
    </row>
    <row r="22" spans="1:3">
      <c r="C22" s="10"/>
    </row>
    <row r="24" spans="1:3">
      <c r="C2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A748-48F9-4C4E-980E-7169CB6D0074}">
  <dimension ref="A1:P13"/>
  <sheetViews>
    <sheetView workbookViewId="0">
      <selection activeCell="E11" sqref="E11"/>
    </sheetView>
  </sheetViews>
  <sheetFormatPr defaultRowHeight="14.5"/>
  <cols>
    <col min="2" max="2" width="23.7265625" customWidth="1"/>
    <col min="3" max="3" width="12.1796875" customWidth="1"/>
    <col min="7" max="7" width="10.453125" bestFit="1" customWidth="1"/>
    <col min="9" max="9" width="9.7265625" bestFit="1" customWidth="1"/>
    <col min="10" max="10" width="18.1796875" bestFit="1" customWidth="1"/>
  </cols>
  <sheetData>
    <row r="1" spans="1:16" ht="23.5">
      <c r="A1" s="9" t="s">
        <v>15</v>
      </c>
    </row>
    <row r="2" spans="1:16">
      <c r="A2" s="1" t="s">
        <v>16</v>
      </c>
      <c r="F2" s="196" t="s">
        <v>17</v>
      </c>
      <c r="G2" t="s">
        <v>18</v>
      </c>
      <c r="I2" t="s">
        <v>19</v>
      </c>
      <c r="J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>
      <c r="F3" s="196">
        <v>2.12</v>
      </c>
      <c r="G3">
        <v>2049</v>
      </c>
      <c r="I3" s="116">
        <v>45000</v>
      </c>
      <c r="J3" s="7">
        <v>4.6200000000000001E-4</v>
      </c>
      <c r="L3">
        <v>35400</v>
      </c>
      <c r="M3">
        <v>33429</v>
      </c>
      <c r="N3">
        <v>0.06</v>
      </c>
      <c r="O3">
        <v>0.11312999999999999</v>
      </c>
      <c r="P3">
        <v>600</v>
      </c>
    </row>
    <row r="4" spans="1:16">
      <c r="A4" t="s">
        <v>26</v>
      </c>
      <c r="B4" t="s">
        <v>27</v>
      </c>
      <c r="C4" s="7">
        <v>230000</v>
      </c>
      <c r="F4" s="196">
        <v>1.88</v>
      </c>
      <c r="G4">
        <v>1818</v>
      </c>
      <c r="I4" s="116">
        <v>40000</v>
      </c>
      <c r="J4" s="7">
        <v>5.8699999999999996E-4</v>
      </c>
    </row>
    <row r="5" spans="1:16">
      <c r="A5" t="s">
        <v>28</v>
      </c>
      <c r="B5" t="s">
        <v>29</v>
      </c>
      <c r="C5" s="7">
        <v>115000</v>
      </c>
      <c r="F5" s="196">
        <v>1.7</v>
      </c>
      <c r="G5">
        <v>1650</v>
      </c>
      <c r="I5" s="116">
        <v>36000</v>
      </c>
      <c r="J5" s="7">
        <v>7.1299999999999998E-4</v>
      </c>
    </row>
    <row r="6" spans="1:16">
      <c r="A6" s="6" t="s">
        <v>30</v>
      </c>
      <c r="B6" t="s">
        <v>31</v>
      </c>
      <c r="C6">
        <v>0.432</v>
      </c>
      <c r="F6" s="196">
        <v>1.49</v>
      </c>
      <c r="G6">
        <v>1476</v>
      </c>
      <c r="I6" s="116">
        <v>30000</v>
      </c>
      <c r="J6" s="7">
        <v>8.9099999999999997E-4</v>
      </c>
    </row>
    <row r="7" spans="1:16">
      <c r="A7" t="s">
        <v>23</v>
      </c>
      <c r="B7" t="s">
        <v>32</v>
      </c>
      <c r="C7">
        <f>1/(C8*C9*C10)</f>
        <v>9.5781228548040567E-2</v>
      </c>
      <c r="F7" s="196">
        <v>1.08</v>
      </c>
      <c r="G7">
        <v>1137</v>
      </c>
      <c r="I7" s="116">
        <v>15000</v>
      </c>
      <c r="J7" s="7">
        <v>1.4959999999999999E-3</v>
      </c>
    </row>
    <row r="8" spans="1:16">
      <c r="A8" t="s">
        <v>33</v>
      </c>
      <c r="B8" t="s">
        <v>34</v>
      </c>
      <c r="C8">
        <v>3.1415899999999999</v>
      </c>
      <c r="F8" s="196">
        <v>0.81</v>
      </c>
      <c r="G8">
        <v>903</v>
      </c>
      <c r="I8">
        <v>0</v>
      </c>
      <c r="J8" s="7">
        <v>2.3770000000000002E-3</v>
      </c>
    </row>
    <row r="9" spans="1:16">
      <c r="A9" t="s">
        <v>35</v>
      </c>
      <c r="B9" t="s">
        <v>36</v>
      </c>
      <c r="C9">
        <f>WingLayout!F6</f>
        <v>4.4310722100656452</v>
      </c>
    </row>
    <row r="10" spans="1:16">
      <c r="A10" t="s">
        <v>37</v>
      </c>
      <c r="B10" t="s">
        <v>38</v>
      </c>
      <c r="C10">
        <v>0.75</v>
      </c>
    </row>
    <row r="11" spans="1:16">
      <c r="A11" t="s">
        <v>39</v>
      </c>
      <c r="B11" t="s">
        <v>40</v>
      </c>
      <c r="C11" s="10">
        <v>2.64E-2</v>
      </c>
    </row>
    <row r="12" spans="1:16">
      <c r="A12" t="s">
        <v>41</v>
      </c>
      <c r="B12" t="s">
        <v>42</v>
      </c>
      <c r="C12">
        <f>(0.5*SQRT(1/(C7*C11)))</f>
        <v>9.9432381033673618</v>
      </c>
    </row>
    <row r="13" spans="1:16">
      <c r="A13" t="s">
        <v>43</v>
      </c>
      <c r="B13" t="s">
        <v>44</v>
      </c>
      <c r="C13" s="11">
        <f>0.000023 * 9.81</f>
        <v>2.2563000000000002E-4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CE68-2A2B-459A-B027-F44423F4442F}">
  <dimension ref="A1:CV274"/>
  <sheetViews>
    <sheetView topLeftCell="BR143" workbookViewId="0">
      <selection activeCell="BU204" sqref="BU204"/>
    </sheetView>
  </sheetViews>
  <sheetFormatPr defaultRowHeight="15" customHeight="1"/>
  <cols>
    <col min="1" max="1" width="22" customWidth="1"/>
    <col min="3" max="3" width="13.26953125" customWidth="1"/>
    <col min="4" max="4" width="15.7265625" customWidth="1"/>
    <col min="6" max="6" width="9.81640625" customWidth="1"/>
    <col min="10" max="10" width="31" customWidth="1"/>
    <col min="11" max="11" width="12.54296875" customWidth="1"/>
    <col min="12" max="12" width="10.26953125" customWidth="1"/>
    <col min="17" max="17" width="10.7265625" customWidth="1"/>
    <col min="20" max="20" width="11.453125" customWidth="1"/>
    <col min="22" max="22" width="25.54296875" customWidth="1"/>
    <col min="23" max="23" width="14.453125" customWidth="1"/>
    <col min="25" max="25" width="11.26953125" customWidth="1"/>
    <col min="27" max="27" width="10.81640625" customWidth="1"/>
    <col min="34" max="34" width="31.453125" customWidth="1"/>
    <col min="46" max="46" width="31.26953125" customWidth="1"/>
    <col min="47" max="47" width="10.81640625" customWidth="1"/>
    <col min="50" max="50" width="13.26953125" customWidth="1"/>
    <col min="52" max="52" width="12.54296875" customWidth="1"/>
    <col min="58" max="58" width="30.7265625" customWidth="1"/>
    <col min="70" max="70" width="33.26953125" customWidth="1"/>
    <col min="73" max="73" width="10.26953125" customWidth="1"/>
    <col min="74" max="74" width="10.7265625" customWidth="1"/>
    <col min="80" max="80" width="28.1796875" customWidth="1"/>
    <col min="83" max="83" width="12.7265625" customWidth="1"/>
    <col min="85" max="85" width="9.7265625" customWidth="1"/>
    <col min="97" max="97" width="10.7265625" customWidth="1"/>
    <col min="98" max="98" width="10.26953125" customWidth="1"/>
    <col min="99" max="99" width="10.1796875" customWidth="1"/>
    <col min="100" max="100" width="10.81640625" customWidth="1"/>
  </cols>
  <sheetData>
    <row r="1" spans="1:21" ht="14.5">
      <c r="A1" s="164" t="s">
        <v>45</v>
      </c>
      <c r="B1" s="165" t="s">
        <v>46</v>
      </c>
      <c r="C1" s="165" t="s">
        <v>47</v>
      </c>
      <c r="D1" s="165" t="s">
        <v>48</v>
      </c>
      <c r="E1" s="10"/>
      <c r="F1" s="10"/>
      <c r="G1" s="10" t="s">
        <v>49</v>
      </c>
      <c r="H1" s="10"/>
      <c r="I1" s="10"/>
      <c r="J1" s="10"/>
      <c r="K1" s="10"/>
      <c r="L1" s="10"/>
      <c r="M1" s="10"/>
      <c r="N1" s="10"/>
      <c r="O1" s="10"/>
      <c r="P1" s="10"/>
    </row>
    <row r="2" spans="1:21" ht="14.5">
      <c r="A2" s="166" t="s">
        <v>50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1" ht="14.5">
      <c r="A3" s="10" t="s">
        <v>51</v>
      </c>
      <c r="B3" s="10" t="s">
        <v>52</v>
      </c>
      <c r="C3" s="10" t="s">
        <v>53</v>
      </c>
      <c r="D3" s="167">
        <f>'IGNORE THIS PAGE'!F11</f>
        <v>50012.357019050876</v>
      </c>
      <c r="E3" s="10"/>
      <c r="F3" s="10"/>
      <c r="G3" s="10" t="s">
        <v>54</v>
      </c>
      <c r="H3" s="10"/>
      <c r="I3" s="10"/>
      <c r="J3" s="10"/>
      <c r="K3" s="10"/>
      <c r="L3" s="10"/>
      <c r="M3" s="10"/>
      <c r="N3" s="10"/>
      <c r="O3" s="10"/>
      <c r="P3" s="10"/>
    </row>
    <row r="4" spans="1:21" ht="14.5">
      <c r="A4" s="10" t="s">
        <v>55</v>
      </c>
      <c r="B4" s="10" t="s">
        <v>56</v>
      </c>
      <c r="C4" s="168" t="s">
        <v>57</v>
      </c>
      <c r="D4" s="169">
        <v>9</v>
      </c>
      <c r="E4" s="10"/>
      <c r="F4" s="10"/>
      <c r="G4" s="10">
        <f>19.29*((((D12*D4*D3)/(D9))*(((TAN(D11))-((2*(1-D10))/(D8*(1+D10))))^2+1)*10^-6))^(0.464)*((1+D10)*D8)^(0.7)*D7^0.58</f>
        <v>5200.2920834065089</v>
      </c>
      <c r="H4" s="10"/>
      <c r="I4" s="10"/>
      <c r="J4" s="10"/>
      <c r="K4" s="10"/>
      <c r="L4" s="10"/>
      <c r="M4" s="10"/>
      <c r="N4" s="10"/>
      <c r="O4" s="10"/>
      <c r="P4" s="10"/>
    </row>
    <row r="5" spans="1:21" ht="14.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21" ht="14.5">
      <c r="A6" s="10" t="s">
        <v>58</v>
      </c>
      <c r="B6" s="10"/>
      <c r="C6" s="10"/>
      <c r="D6" s="10"/>
      <c r="E6" s="10"/>
      <c r="F6" s="10"/>
      <c r="G6" s="10" t="s">
        <v>59</v>
      </c>
      <c r="H6" s="10"/>
      <c r="I6" s="10"/>
      <c r="J6" s="10"/>
      <c r="K6" s="10"/>
      <c r="L6" s="10"/>
      <c r="M6" s="10"/>
      <c r="N6" s="10"/>
      <c r="O6" s="10"/>
      <c r="P6" s="10"/>
    </row>
    <row r="7" spans="1:21" ht="14.5">
      <c r="A7" s="10" t="s">
        <v>60</v>
      </c>
      <c r="B7" s="10" t="s">
        <v>61</v>
      </c>
      <c r="C7" s="10" t="s">
        <v>62</v>
      </c>
      <c r="D7" s="170">
        <f>WingLayout!C6</f>
        <v>457</v>
      </c>
      <c r="E7" s="10"/>
      <c r="F7" s="10"/>
      <c r="G7" s="10">
        <f>0.0034*((D3*D4)^(0.813)*D15^(0.584)*(D16/(WingLayout!F32*0.1))^(0.033)*(D18/WingLayout!C35)^(0.28))^0.915</f>
        <v>558.65129444400509</v>
      </c>
      <c r="H7" s="10"/>
      <c r="I7" s="10"/>
      <c r="J7" s="10"/>
      <c r="K7" s="10"/>
      <c r="L7" s="10"/>
      <c r="M7" s="10"/>
      <c r="N7" s="10"/>
      <c r="O7" s="10"/>
      <c r="P7" s="10"/>
    </row>
    <row r="8" spans="1:21" ht="14.5">
      <c r="A8" s="10" t="s">
        <v>63</v>
      </c>
      <c r="B8" s="10" t="s">
        <v>35</v>
      </c>
      <c r="C8" s="168" t="s">
        <v>57</v>
      </c>
      <c r="D8" s="170">
        <f>WingLayout!F6</f>
        <v>4.4310722100656452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21" ht="14.5">
      <c r="A9" s="10" t="s">
        <v>64</v>
      </c>
      <c r="B9" s="10" t="s">
        <v>65</v>
      </c>
      <c r="C9" s="168" t="s">
        <v>57</v>
      </c>
      <c r="D9" s="171">
        <v>0.1</v>
      </c>
      <c r="E9" s="10"/>
      <c r="F9" s="10"/>
      <c r="G9" s="10" t="s">
        <v>66</v>
      </c>
      <c r="H9" s="10"/>
      <c r="I9" s="10"/>
      <c r="J9" s="10"/>
      <c r="K9" s="10"/>
      <c r="L9" s="10"/>
      <c r="M9" s="10"/>
      <c r="N9" s="10"/>
      <c r="O9" s="10"/>
      <c r="P9" s="10"/>
    </row>
    <row r="10" spans="1:21" ht="14.5">
      <c r="A10" s="10" t="s">
        <v>67</v>
      </c>
      <c r="B10" s="10" t="s">
        <v>68</v>
      </c>
      <c r="C10" s="168" t="s">
        <v>57</v>
      </c>
      <c r="D10" s="170">
        <f>WingLayout!C8</f>
        <v>0.5</v>
      </c>
      <c r="E10" s="10"/>
      <c r="F10" s="10"/>
      <c r="G10" s="10">
        <f>0.19*((1+D26)^0.5)*((D3*D4)^0.363)*(D23^1.089)*(D27^0.601)*((D28)^-0.726)*((1+D29)^0.217)*(D24^0.337)*((1+D25)^0.363)*(COS(RADIANS(D30))^-0.484)*1.014</f>
        <v>1476.4888072545855</v>
      </c>
      <c r="H10" s="10"/>
      <c r="I10" s="10"/>
      <c r="J10" s="10"/>
      <c r="K10" s="10"/>
      <c r="M10" s="10"/>
      <c r="N10" s="10"/>
      <c r="O10" s="10"/>
      <c r="P10" s="10"/>
    </row>
    <row r="11" spans="1:21" ht="14.5">
      <c r="A11" s="10" t="s">
        <v>69</v>
      </c>
      <c r="B11" s="10" t="s">
        <v>70</v>
      </c>
      <c r="C11" s="10" t="s">
        <v>71</v>
      </c>
      <c r="D11" s="170">
        <f>WingLayout!C9*(PI()/180)</f>
        <v>0.3490658503988659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21" ht="14.5">
      <c r="A12" s="10" t="s">
        <v>72</v>
      </c>
      <c r="B12" s="10" t="s">
        <v>73</v>
      </c>
      <c r="C12" s="168" t="s">
        <v>57</v>
      </c>
      <c r="D12" s="171">
        <v>1</v>
      </c>
      <c r="E12" s="10"/>
      <c r="F12" s="10"/>
      <c r="G12" s="10" t="s">
        <v>74</v>
      </c>
      <c r="H12" s="10"/>
      <c r="I12" s="10"/>
      <c r="J12" s="10"/>
      <c r="K12" s="10"/>
      <c r="L12" s="10"/>
      <c r="M12" s="10"/>
      <c r="N12" s="10"/>
      <c r="O12" s="10"/>
      <c r="P12" s="10"/>
    </row>
    <row r="13" spans="1:21" ht="14.5">
      <c r="A13" s="10"/>
      <c r="B13" s="10"/>
      <c r="C13" s="10"/>
      <c r="D13" s="10"/>
      <c r="E13" s="10"/>
      <c r="F13" s="10"/>
      <c r="G13" s="10" t="e">
        <v>#DIV/0!</v>
      </c>
      <c r="H13" s="10"/>
      <c r="I13" s="10"/>
      <c r="J13" s="10"/>
      <c r="K13" s="10"/>
      <c r="L13" s="10"/>
      <c r="M13" s="10"/>
      <c r="N13" s="10"/>
      <c r="O13" s="10"/>
      <c r="P13" s="10"/>
    </row>
    <row r="14" spans="1:21" ht="14.5">
      <c r="A14" s="10" t="s">
        <v>75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21" ht="14.5">
      <c r="A15" s="10" t="s">
        <v>76</v>
      </c>
      <c r="B15" s="10" t="s">
        <v>77</v>
      </c>
      <c r="C15" s="10" t="s">
        <v>62</v>
      </c>
      <c r="D15" s="170">
        <f>WingLayout!C30</f>
        <v>110</v>
      </c>
      <c r="E15" s="10"/>
      <c r="F15" s="10"/>
      <c r="G15" s="10" t="s">
        <v>78</v>
      </c>
      <c r="H15" s="10"/>
      <c r="I15" s="10"/>
      <c r="J15" s="10"/>
      <c r="K15" s="10"/>
      <c r="L15" s="10"/>
      <c r="M15" s="10"/>
      <c r="N15" s="10"/>
      <c r="O15" s="10"/>
      <c r="P15" s="10"/>
      <c r="Q15" t="s">
        <v>79</v>
      </c>
      <c r="R15" t="s">
        <v>80</v>
      </c>
      <c r="S15" t="s">
        <v>81</v>
      </c>
      <c r="T15" t="s">
        <v>82</v>
      </c>
      <c r="U15" t="s">
        <v>83</v>
      </c>
    </row>
    <row r="16" spans="1:21" ht="14.5">
      <c r="A16" s="10" t="s">
        <v>84</v>
      </c>
      <c r="B16" s="10" t="s">
        <v>85</v>
      </c>
      <c r="C16" s="10" t="s">
        <v>86</v>
      </c>
      <c r="D16" s="170">
        <f>WingLayout!C31</f>
        <v>19</v>
      </c>
      <c r="E16" s="10"/>
      <c r="F16" s="10"/>
      <c r="G16" s="10">
        <f>G4+G7+G10</f>
        <v>7235.4321851050991</v>
      </c>
      <c r="H16" s="10"/>
      <c r="I16" s="10"/>
      <c r="J16" s="10"/>
      <c r="K16" s="10"/>
      <c r="L16" s="10"/>
      <c r="M16" s="10"/>
      <c r="N16" s="10"/>
      <c r="O16" s="10"/>
      <c r="P16" s="10"/>
      <c r="Q16">
        <v>0.8</v>
      </c>
      <c r="R16">
        <v>7.7</v>
      </c>
      <c r="S16">
        <f>1/0.73</f>
        <v>1.3698630136986301</v>
      </c>
      <c r="T16">
        <v>530</v>
      </c>
      <c r="U16">
        <f>(T16/Q16)*(R16)*LN(S16)</f>
        <v>1605.4181871135206</v>
      </c>
    </row>
    <row r="17" spans="1:16" ht="14.5">
      <c r="A17" s="10" t="s">
        <v>87</v>
      </c>
      <c r="B17" s="10" t="s">
        <v>88</v>
      </c>
      <c r="C17" s="168" t="s">
        <v>57</v>
      </c>
      <c r="D17" s="171">
        <v>0.1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14.5">
      <c r="A18" s="10" t="s">
        <v>89</v>
      </c>
      <c r="B18" s="10" t="s">
        <v>90</v>
      </c>
      <c r="C18" s="10" t="s">
        <v>91</v>
      </c>
      <c r="D18" s="170">
        <f>WingLayout!F35</f>
        <v>72.046783625730995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14.5">
      <c r="A19" s="10" t="s">
        <v>92</v>
      </c>
      <c r="B19" s="10" t="s">
        <v>93</v>
      </c>
      <c r="C19" s="10" t="s">
        <v>91</v>
      </c>
      <c r="D19" s="170">
        <f>WingLayout!C35</f>
        <v>216.96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14.5">
      <c r="A20" s="10" t="s">
        <v>94</v>
      </c>
      <c r="B20" s="10" t="s">
        <v>95</v>
      </c>
      <c r="C20" s="168" t="s">
        <v>57</v>
      </c>
      <c r="D20" s="170">
        <f>WingLayout!C32</f>
        <v>0.5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14.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14.5">
      <c r="A22" s="10" t="s">
        <v>96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14.5">
      <c r="A23" s="10" t="s">
        <v>97</v>
      </c>
      <c r="B23" s="10" t="s">
        <v>98</v>
      </c>
      <c r="C23" s="10" t="s">
        <v>62</v>
      </c>
      <c r="D23" s="170">
        <f>WingLayout!$C$61</f>
        <v>100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14.5">
      <c r="A24" s="10" t="s">
        <v>99</v>
      </c>
      <c r="B24" s="10" t="s">
        <v>100</v>
      </c>
      <c r="C24" s="168" t="s">
        <v>57</v>
      </c>
      <c r="D24" s="170">
        <f>WingLayout!$F$62</f>
        <v>5.12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14.5">
      <c r="A25" s="10" t="s">
        <v>101</v>
      </c>
      <c r="B25" s="10" t="s">
        <v>102</v>
      </c>
      <c r="C25" s="168" t="s">
        <v>57</v>
      </c>
      <c r="D25" s="170">
        <f>WingLayout!$C$64</f>
        <v>0.5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14.5">
      <c r="A26" s="10" t="s">
        <v>103</v>
      </c>
      <c r="B26" s="10" t="s">
        <v>104</v>
      </c>
      <c r="C26" s="168" t="s">
        <v>57</v>
      </c>
      <c r="D26" s="170">
        <v>0</v>
      </c>
      <c r="E26" s="10" t="s">
        <v>105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4.5">
      <c r="A27" s="10" t="s">
        <v>106</v>
      </c>
      <c r="B27" s="10" t="s">
        <v>107</v>
      </c>
      <c r="C27" s="168" t="s">
        <v>57</v>
      </c>
      <c r="D27" s="169">
        <v>1.6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4.5">
      <c r="A28" s="10" t="s">
        <v>108</v>
      </c>
      <c r="B28" s="10" t="s">
        <v>109</v>
      </c>
      <c r="C28" s="10" t="s">
        <v>86</v>
      </c>
      <c r="D28" s="170">
        <f>WingLayout!C69</f>
        <v>15.75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4.5">
      <c r="A29" s="10" t="s">
        <v>110</v>
      </c>
      <c r="B29" s="10" t="s">
        <v>111</v>
      </c>
      <c r="C29" s="168" t="s">
        <v>57</v>
      </c>
      <c r="D29" s="171">
        <v>0.3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14.5">
      <c r="A30" s="10" t="s">
        <v>112</v>
      </c>
      <c r="B30" s="10" t="s">
        <v>113</v>
      </c>
      <c r="C30" s="10" t="s">
        <v>114</v>
      </c>
      <c r="D30" s="170">
        <f>WingLayout!C70</f>
        <v>45.08519309259971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14.5">
      <c r="A31" s="10"/>
      <c r="B31" s="10"/>
      <c r="C31" s="10"/>
      <c r="D31" s="10"/>
      <c r="E31" s="10"/>
      <c r="F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14.5">
      <c r="A32" s="10" t="s">
        <v>115</v>
      </c>
      <c r="B32" s="10"/>
      <c r="C32" s="10"/>
      <c r="D32" s="10"/>
      <c r="E32" s="10"/>
      <c r="F32" s="10"/>
      <c r="G32" s="172" t="s">
        <v>116</v>
      </c>
      <c r="H32" s="173"/>
      <c r="I32" s="10"/>
      <c r="J32" s="174" t="s">
        <v>48</v>
      </c>
      <c r="K32" s="10"/>
      <c r="L32" s="10"/>
      <c r="M32" s="10"/>
      <c r="N32" s="10"/>
      <c r="O32" s="10"/>
      <c r="P32" s="10"/>
    </row>
    <row r="33" spans="1:36" ht="14.5">
      <c r="A33" s="10" t="s">
        <v>117</v>
      </c>
      <c r="B33" s="10" t="s">
        <v>118</v>
      </c>
      <c r="C33" s="168" t="s">
        <v>57</v>
      </c>
      <c r="D33" s="10">
        <v>1.25</v>
      </c>
      <c r="E33" s="10"/>
      <c r="F33" s="10"/>
      <c r="G33" s="172" t="s">
        <v>119</v>
      </c>
      <c r="H33" s="175"/>
      <c r="I33" s="111" t="s">
        <v>30</v>
      </c>
      <c r="J33" s="176">
        <v>2.3770000000000002E-3</v>
      </c>
      <c r="K33" s="10"/>
      <c r="L33" s="10"/>
      <c r="M33" s="10"/>
      <c r="N33" s="10"/>
      <c r="O33" s="10"/>
      <c r="P33" s="10"/>
    </row>
    <row r="34" spans="1:36" ht="14.5">
      <c r="A34" s="10" t="s">
        <v>120</v>
      </c>
      <c r="B34" s="10" t="s">
        <v>121</v>
      </c>
      <c r="C34" t="s">
        <v>122</v>
      </c>
      <c r="D34" s="10">
        <f>J38</f>
        <v>55.060819238295579</v>
      </c>
      <c r="E34" s="10"/>
      <c r="F34" s="10"/>
      <c r="G34" s="172" t="s">
        <v>123</v>
      </c>
      <c r="H34" s="175"/>
      <c r="I34" s="177" t="s">
        <v>124</v>
      </c>
      <c r="J34" s="176">
        <f>'Mission Weight'!B39*0.5 + 'Mission Weight'!E7+'Mission Weight'!E8*0.25</f>
        <v>34245.223136906796</v>
      </c>
      <c r="K34" s="10" t="s">
        <v>125</v>
      </c>
      <c r="L34" s="10"/>
      <c r="M34" s="10"/>
      <c r="N34" s="10"/>
      <c r="O34" s="10"/>
      <c r="P34" s="10"/>
    </row>
    <row r="35" spans="1:36" ht="14.5">
      <c r="A35" s="10" t="s">
        <v>126</v>
      </c>
      <c r="B35" s="10" t="s">
        <v>127</v>
      </c>
      <c r="C35" s="10"/>
      <c r="D35" s="10">
        <v>10</v>
      </c>
      <c r="E35" s="10"/>
      <c r="F35" s="10"/>
      <c r="G35" s="172" t="s">
        <v>128</v>
      </c>
      <c r="H35" s="175"/>
      <c r="I35" s="178" t="s">
        <v>129</v>
      </c>
      <c r="J35" s="176">
        <f>WingLayout!C6</f>
        <v>457</v>
      </c>
      <c r="K35" s="10"/>
      <c r="L35" s="10"/>
      <c r="M35" s="10"/>
      <c r="N35" s="10"/>
      <c r="O35" s="10"/>
      <c r="P35" s="10"/>
    </row>
    <row r="36" spans="1:36" ht="14.5">
      <c r="A36" s="10"/>
      <c r="B36" s="10"/>
      <c r="C36" s="10"/>
      <c r="D36" s="10"/>
      <c r="E36" s="10"/>
      <c r="F36" s="10"/>
      <c r="G36" s="172" t="s">
        <v>130</v>
      </c>
      <c r="H36" s="175"/>
      <c r="I36" s="179" t="s">
        <v>131</v>
      </c>
      <c r="J36" s="180">
        <v>2.2999999999999998</v>
      </c>
      <c r="K36" s="10"/>
      <c r="L36" s="10"/>
      <c r="M36" s="10"/>
      <c r="N36" s="10"/>
      <c r="O36" s="10"/>
      <c r="P36" s="10"/>
    </row>
    <row r="37" spans="1:36" ht="14.5">
      <c r="B37" s="10"/>
      <c r="E37" s="10"/>
      <c r="F37" s="10"/>
      <c r="G37" s="172" t="s">
        <v>132</v>
      </c>
      <c r="H37" s="175"/>
      <c r="I37" s="166" t="s">
        <v>133</v>
      </c>
      <c r="J37" s="36">
        <f>SQRT((2*J34)/(J33*J35*J36))</f>
        <v>165.56875728623464</v>
      </c>
      <c r="K37" s="10"/>
      <c r="L37" s="10"/>
      <c r="M37" s="10"/>
      <c r="N37" s="10"/>
      <c r="O37" s="10"/>
      <c r="P37" s="10"/>
    </row>
    <row r="38" spans="1:36" ht="14.5">
      <c r="G38" s="42" t="s">
        <v>134</v>
      </c>
      <c r="H38" s="47"/>
      <c r="I38" s="49" t="s">
        <v>135</v>
      </c>
      <c r="J38" s="15">
        <f>(0.5)*(J33)*(J37*1.3)^2</f>
        <v>55.060819238295579</v>
      </c>
    </row>
    <row r="39" spans="1:36" ht="21">
      <c r="A39" s="5"/>
      <c r="H39" s="1"/>
      <c r="T39" s="2"/>
    </row>
    <row r="43" spans="1:36" ht="14.5">
      <c r="M43" s="5"/>
    </row>
    <row r="47" spans="1:36" ht="14.5">
      <c r="B47" s="1">
        <v>4.0999999999999996</v>
      </c>
      <c r="H47" s="1">
        <v>4.2</v>
      </c>
      <c r="M47" s="1" t="s">
        <v>136</v>
      </c>
      <c r="T47" s="1">
        <v>4.2</v>
      </c>
      <c r="Y47" t="s">
        <v>137</v>
      </c>
      <c r="AH47" s="1">
        <v>4.3</v>
      </c>
    </row>
    <row r="48" spans="1:36" ht="14.5">
      <c r="M48" s="5" t="s">
        <v>138</v>
      </c>
      <c r="Y48" s="5" t="s">
        <v>138</v>
      </c>
      <c r="AJ48" s="1"/>
    </row>
    <row r="49" spans="2:39" ht="14.5">
      <c r="B49" s="1" t="s">
        <v>139</v>
      </c>
      <c r="F49" t="s">
        <v>140</v>
      </c>
    </row>
    <row r="50" spans="2:39" ht="14.5">
      <c r="B50" s="42" t="s">
        <v>141</v>
      </c>
      <c r="C50" s="47"/>
      <c r="D50" s="47"/>
      <c r="E50" s="56"/>
      <c r="F50" s="102">
        <f>F51+F52+F53</f>
        <v>26236.178509525438</v>
      </c>
      <c r="H50" s="26"/>
      <c r="I50" s="33"/>
      <c r="J50" s="33"/>
      <c r="K50" s="33"/>
      <c r="L50" s="15" t="s">
        <v>140</v>
      </c>
      <c r="M50" s="33"/>
      <c r="N50" s="33" t="s">
        <v>142</v>
      </c>
      <c r="O50" s="33"/>
      <c r="P50" s="32"/>
      <c r="Q50" s="33" t="s">
        <v>143</v>
      </c>
      <c r="R50" s="36"/>
      <c r="T50" s="26"/>
      <c r="U50" s="33"/>
      <c r="V50" s="33"/>
      <c r="W50" s="33"/>
      <c r="X50" s="15" t="s">
        <v>140</v>
      </c>
      <c r="Y50" s="33"/>
      <c r="Z50" s="33" t="s">
        <v>142</v>
      </c>
      <c r="AA50" s="33"/>
      <c r="AB50" s="32"/>
      <c r="AC50" s="33" t="s">
        <v>143</v>
      </c>
      <c r="AD50" s="36"/>
      <c r="AH50" s="42" t="s">
        <v>144</v>
      </c>
      <c r="AI50" s="42" t="s">
        <v>145</v>
      </c>
      <c r="AJ50" s="32" t="s">
        <v>146</v>
      </c>
      <c r="AK50" s="32" t="s">
        <v>147</v>
      </c>
      <c r="AL50" s="32" t="s">
        <v>148</v>
      </c>
      <c r="AM50" s="26" t="s">
        <v>149</v>
      </c>
    </row>
    <row r="51" spans="2:39" ht="14.5">
      <c r="C51" s="49" t="s">
        <v>150</v>
      </c>
      <c r="D51" s="57"/>
      <c r="E51" s="58"/>
      <c r="F51" s="102">
        <f>'Mission Weight'!E7</f>
        <v>25876.178509525438</v>
      </c>
      <c r="H51" s="60" t="s">
        <v>2</v>
      </c>
      <c r="I51" s="57"/>
      <c r="J51" s="57" t="s">
        <v>151</v>
      </c>
      <c r="K51" s="50"/>
      <c r="L51" s="57" t="s">
        <v>152</v>
      </c>
      <c r="M51" s="42" t="s">
        <v>153</v>
      </c>
      <c r="N51" s="32" t="s">
        <v>154</v>
      </c>
      <c r="O51" s="42" t="s">
        <v>155</v>
      </c>
      <c r="P51" s="32" t="s">
        <v>153</v>
      </c>
      <c r="Q51" s="32" t="s">
        <v>154</v>
      </c>
      <c r="R51" s="26" t="s">
        <v>155</v>
      </c>
      <c r="T51" s="60" t="s">
        <v>2</v>
      </c>
      <c r="U51" s="57"/>
      <c r="V51" s="57" t="s">
        <v>151</v>
      </c>
      <c r="W51" s="50"/>
      <c r="X51" s="57" t="s">
        <v>152</v>
      </c>
      <c r="Y51" s="42" t="s">
        <v>153</v>
      </c>
      <c r="Z51" s="32" t="s">
        <v>154</v>
      </c>
      <c r="AA51" s="42" t="s">
        <v>155</v>
      </c>
      <c r="AB51" s="32" t="s">
        <v>153</v>
      </c>
      <c r="AC51" s="32" t="s">
        <v>154</v>
      </c>
      <c r="AD51" s="26" t="s">
        <v>155</v>
      </c>
      <c r="AH51" s="60" t="s">
        <v>156</v>
      </c>
      <c r="AI51" t="s">
        <v>157</v>
      </c>
      <c r="AJ51" s="32">
        <v>1</v>
      </c>
      <c r="AK51" s="32">
        <f>((L52*M52)+(L53*M53)+(L54*M54)+(L55*M55)+(L57*M57)+(AM51*M56))/(SUM(L52+L53+L54+L55+L57+AM51))</f>
        <v>401.98384053709947</v>
      </c>
      <c r="AL51" s="32">
        <f>100*((AK51-WingLayout!F14)/WingLayout!F11)</f>
        <v>34.267548515527984</v>
      </c>
      <c r="AM51" s="26">
        <f>F54*0.01</f>
        <v>182.7617850952544</v>
      </c>
    </row>
    <row r="52" spans="2:39" ht="14.5">
      <c r="C52" s="49" t="s">
        <v>158</v>
      </c>
      <c r="D52" s="57"/>
      <c r="E52" s="58"/>
      <c r="F52" s="181">
        <v>120</v>
      </c>
      <c r="H52" s="26"/>
      <c r="I52" t="s">
        <v>159</v>
      </c>
      <c r="K52" s="91"/>
      <c r="L52" s="105">
        <f>G4</f>
        <v>5200.2920834065089</v>
      </c>
      <c r="M52" s="108">
        <f>WingLayout!F14+(0.4)*(WingLayout!F11)</f>
        <v>409.2285268773764</v>
      </c>
      <c r="N52" s="104">
        <f>L52*Q52</f>
        <v>0</v>
      </c>
      <c r="O52" s="105">
        <v>0</v>
      </c>
      <c r="P52" s="109">
        <f t="shared" ref="P52:P57" si="0">L52*M52</f>
        <v>2128107.8686245284</v>
      </c>
      <c r="Q52" s="109">
        <v>0</v>
      </c>
      <c r="R52" s="87">
        <f>L52*O52</f>
        <v>0</v>
      </c>
      <c r="T52" s="26"/>
      <c r="U52" t="s">
        <v>159</v>
      </c>
      <c r="W52" s="91"/>
      <c r="X52" s="105">
        <f t="shared" ref="X52:Y55" si="1">L52</f>
        <v>5200.2920834065089</v>
      </c>
      <c r="Y52" s="108">
        <f t="shared" si="1"/>
        <v>409.2285268773764</v>
      </c>
      <c r="Z52" s="104">
        <f>X52*AC52</f>
        <v>0</v>
      </c>
      <c r="AA52" s="105">
        <v>0</v>
      </c>
      <c r="AB52" s="109">
        <f t="shared" ref="AB52:AB57" si="2">X52*Y52</f>
        <v>2128107.8686245284</v>
      </c>
      <c r="AC52" s="109">
        <v>0</v>
      </c>
      <c r="AD52" s="87">
        <f>X52*AA52</f>
        <v>0</v>
      </c>
      <c r="AH52" s="60" t="s">
        <v>160</v>
      </c>
      <c r="AJ52" s="32">
        <v>60</v>
      </c>
      <c r="AK52" s="32">
        <f>((L52*M52)+(L53*M53)+(L54*M54)+(L55*M55)+(L57*M57)+(AM52*M56))/(SUM(L52+L53+L54+L55+L57+AM52))</f>
        <v>405.59557041790237</v>
      </c>
      <c r="AL52" s="32">
        <f>100*((AK52-WingLayout!F14)/WingLayout!F11)</f>
        <v>37.12537635572253</v>
      </c>
      <c r="AM52" s="26">
        <f>F54*0.6</f>
        <v>10965.707105715263</v>
      </c>
    </row>
    <row r="53" spans="2:39" ht="14.5">
      <c r="C53" s="49" t="s">
        <v>161</v>
      </c>
      <c r="D53" s="57"/>
      <c r="E53" s="58"/>
      <c r="F53" s="102">
        <v>240</v>
      </c>
      <c r="H53" s="26"/>
      <c r="I53" s="33" t="s">
        <v>162</v>
      </c>
      <c r="J53" s="33"/>
      <c r="K53" s="36"/>
      <c r="L53" s="106">
        <f>G7</f>
        <v>558.65129444400509</v>
      </c>
      <c r="M53" s="109">
        <f>((WingLayout!B50+WingLayout!C35)-(0.25*(WingLayout!F35))+(0.4*WingLayout!F35))</f>
        <v>618.03850738419908</v>
      </c>
      <c r="N53" s="104">
        <f t="shared" ref="N53:N57" si="3">L53*Q53</f>
        <v>0</v>
      </c>
      <c r="O53" s="106">
        <v>0</v>
      </c>
      <c r="P53" s="109">
        <f t="shared" si="0"/>
        <v>345268.01216642361</v>
      </c>
      <c r="Q53" s="109">
        <v>0</v>
      </c>
      <c r="R53" s="87">
        <f t="shared" ref="R53:R57" si="4">L53*O53</f>
        <v>0</v>
      </c>
      <c r="T53" s="26"/>
      <c r="U53" s="33" t="s">
        <v>162</v>
      </c>
      <c r="V53" s="33"/>
      <c r="W53" s="36"/>
      <c r="X53" s="106">
        <f t="shared" si="1"/>
        <v>558.65129444400509</v>
      </c>
      <c r="Y53" s="109">
        <f t="shared" si="1"/>
        <v>618.03850738419908</v>
      </c>
      <c r="Z53" s="104">
        <f t="shared" ref="Z53:Z57" si="5">X53*AC53</f>
        <v>0</v>
      </c>
      <c r="AA53" s="106">
        <v>0</v>
      </c>
      <c r="AB53" s="109">
        <f t="shared" si="2"/>
        <v>345268.01216642361</v>
      </c>
      <c r="AC53" s="109">
        <v>0</v>
      </c>
      <c r="AD53" s="87">
        <f t="shared" ref="AD53:AD57" si="6">X53*AA53</f>
        <v>0</v>
      </c>
      <c r="AH53" s="60"/>
      <c r="AJ53" s="32">
        <v>100</v>
      </c>
      <c r="AK53" s="32">
        <f>((L52*M52)+(L53*M53)+(L54*M54)+(L55*M55)+(L57*M57)+(AM53*M56))/(SUM(L52+L53+L54+L55+L57+AM53))</f>
        <v>406.51329217836991</v>
      </c>
      <c r="AL53" s="32">
        <f>100*((AK53-WingLayout!F14)/WingLayout!F11)</f>
        <v>37.851535532397577</v>
      </c>
      <c r="AM53" s="26">
        <f>F54</f>
        <v>18276.178509525438</v>
      </c>
    </row>
    <row r="54" spans="2:39" ht="14.5">
      <c r="B54" s="32" t="s">
        <v>163</v>
      </c>
      <c r="E54" s="58"/>
      <c r="F54" s="102">
        <f>'Mission Weight'!E8</f>
        <v>18276.178509525438</v>
      </c>
      <c r="H54" s="26"/>
      <c r="I54" s="33" t="s">
        <v>164</v>
      </c>
      <c r="J54" s="33"/>
      <c r="K54" s="36"/>
      <c r="L54" s="106">
        <f>G10</f>
        <v>1476.4888072545855</v>
      </c>
      <c r="M54" s="109">
        <f>((WingLayout!B50+(WingLayout!C69*12))-(0.25*WingLayout!F67))+(0.4*WingLayout!F67)</f>
        <v>585.1048231736728</v>
      </c>
      <c r="N54" s="104">
        <f t="shared" si="3"/>
        <v>0</v>
      </c>
      <c r="O54" s="106">
        <f>0.5*(WingLayout!C63*12)</f>
        <v>96</v>
      </c>
      <c r="P54" s="109">
        <f t="shared" si="0"/>
        <v>863900.72248660133</v>
      </c>
      <c r="Q54" s="109">
        <v>0</v>
      </c>
      <c r="R54" s="87">
        <f t="shared" si="4"/>
        <v>141742.92549644021</v>
      </c>
      <c r="T54" s="26"/>
      <c r="U54" s="33" t="s">
        <v>164</v>
      </c>
      <c r="V54" s="33"/>
      <c r="W54" s="36"/>
      <c r="X54" s="106">
        <f t="shared" si="1"/>
        <v>1476.4888072545855</v>
      </c>
      <c r="Y54" s="109">
        <f t="shared" si="1"/>
        <v>585.1048231736728</v>
      </c>
      <c r="Z54" s="104">
        <f t="shared" si="5"/>
        <v>0</v>
      </c>
      <c r="AA54" s="106">
        <f>0.5*(WingLayout!C63*12)</f>
        <v>96</v>
      </c>
      <c r="AB54" s="109">
        <f t="shared" si="2"/>
        <v>863900.72248660133</v>
      </c>
      <c r="AC54" s="109">
        <v>0</v>
      </c>
      <c r="AD54" s="87">
        <f t="shared" si="6"/>
        <v>141742.92549644021</v>
      </c>
      <c r="AH54" s="26" t="s">
        <v>165</v>
      </c>
      <c r="AI54" s="33" t="s">
        <v>166</v>
      </c>
      <c r="AJ54" s="32">
        <v>1</v>
      </c>
      <c r="AK54" s="32">
        <f>((L52*M52)+(L53*M53)+(L54*M54)+(L55*M55)+(F57*M57)+(AM54*M56))/(SUM(L52+L53+L54+L55+F57+AM54))</f>
        <v>402.3652240931562</v>
      </c>
      <c r="AL54" s="32">
        <f>100*((AK54-WingLayout!F14)/WingLayout!F11)</f>
        <v>34.569323172067094</v>
      </c>
      <c r="AM54" s="26">
        <f>AM51</f>
        <v>182.7617850952544</v>
      </c>
    </row>
    <row r="55" spans="2:39" ht="14.5">
      <c r="B55" s="32" t="s">
        <v>167</v>
      </c>
      <c r="C55" s="33"/>
      <c r="D55" s="33"/>
      <c r="E55" s="58"/>
      <c r="F55" s="102">
        <f>F50+(F54*0.6)</f>
        <v>37201.885615240702</v>
      </c>
      <c r="H55" s="26"/>
      <c r="I55" s="33" t="s">
        <v>168</v>
      </c>
      <c r="J55" s="33"/>
      <c r="K55" s="36"/>
      <c r="L55" s="106">
        <f>11.03*(D33)^(1.23)*(D34/100)^(0.245)*(D3/1000)^(0.98)*(D35)^(0.61)*(D7/100)^0.245</f>
        <v>3428.1240401576438</v>
      </c>
      <c r="M55" s="112">
        <f>WingLayout!F14-(0.65*WingLayout!F11)</f>
        <v>276.5292676181171</v>
      </c>
      <c r="N55" s="104">
        <f t="shared" si="3"/>
        <v>0</v>
      </c>
      <c r="O55" s="106">
        <v>0</v>
      </c>
      <c r="P55" s="109">
        <f t="shared" si="0"/>
        <v>947976.63012885395</v>
      </c>
      <c r="Q55" s="109">
        <v>0</v>
      </c>
      <c r="R55" s="87">
        <f t="shared" si="4"/>
        <v>0</v>
      </c>
      <c r="T55" s="26"/>
      <c r="U55" s="33" t="s">
        <v>168</v>
      </c>
      <c r="V55" s="33"/>
      <c r="W55" s="36"/>
      <c r="X55" s="106">
        <f t="shared" si="1"/>
        <v>3428.1240401576438</v>
      </c>
      <c r="Y55" s="112">
        <f t="shared" si="1"/>
        <v>276.5292676181171</v>
      </c>
      <c r="Z55" s="104">
        <f t="shared" si="5"/>
        <v>0</v>
      </c>
      <c r="AA55" s="106">
        <v>0</v>
      </c>
      <c r="AB55" s="109">
        <f t="shared" si="2"/>
        <v>947976.63012885395</v>
      </c>
      <c r="AC55" s="109">
        <v>0</v>
      </c>
      <c r="AD55" s="87">
        <f t="shared" si="6"/>
        <v>0</v>
      </c>
      <c r="AH55" s="60"/>
      <c r="AJ55" s="32">
        <v>60</v>
      </c>
      <c r="AK55" s="32">
        <f>((L52*M52)+(L53*M53)+(L54*M54)+(L55*M55)+(F57*M57)+(AM55*M56))/(SUM(L52+L53+L54+L55+F57+AM55))</f>
        <v>404.8971599070386</v>
      </c>
      <c r="AL55" s="32">
        <f>100*((AK55-WingLayout!F14)/WingLayout!F11)</f>
        <v>36.572750033239274</v>
      </c>
      <c r="AM55" s="26">
        <f>AM52</f>
        <v>10965.707105715263</v>
      </c>
    </row>
    <row r="56" spans="2:39" ht="14.5">
      <c r="B56" s="32" t="s">
        <v>169</v>
      </c>
      <c r="C56" s="33"/>
      <c r="D56" s="33"/>
      <c r="E56" s="58"/>
      <c r="F56" s="102">
        <f>F50+F54</f>
        <v>44512.357019050876</v>
      </c>
      <c r="H56" s="26"/>
      <c r="I56" s="33" t="s">
        <v>170</v>
      </c>
      <c r="J56" s="33"/>
      <c r="K56" s="36"/>
      <c r="L56" s="106">
        <f>F54</f>
        <v>18276.178509525438</v>
      </c>
      <c r="M56" s="109">
        <f>WingLayout!F14+0.4*WingLayout!F11</f>
        <v>409.2285268773764</v>
      </c>
      <c r="N56" s="104">
        <f t="shared" si="3"/>
        <v>0</v>
      </c>
      <c r="O56" s="103">
        <v>0</v>
      </c>
      <c r="P56" s="109">
        <f t="shared" si="0"/>
        <v>7479133.6084010601</v>
      </c>
      <c r="Q56" s="109">
        <v>0</v>
      </c>
      <c r="R56" s="87">
        <f t="shared" si="4"/>
        <v>0</v>
      </c>
      <c r="T56" s="26"/>
      <c r="U56" s="33" t="s">
        <v>171</v>
      </c>
      <c r="V56" s="33"/>
      <c r="W56" s="36"/>
      <c r="X56" s="106">
        <f>F68</f>
        <v>19307.58862372482</v>
      </c>
      <c r="Y56" s="109">
        <f>M56</f>
        <v>409.2285268773764</v>
      </c>
      <c r="Z56" s="104">
        <f t="shared" si="5"/>
        <v>0</v>
      </c>
      <c r="AA56" s="103">
        <v>0</v>
      </c>
      <c r="AB56" s="109">
        <f t="shared" si="2"/>
        <v>7901216.0500412993</v>
      </c>
      <c r="AC56" s="109">
        <v>0</v>
      </c>
      <c r="AD56" s="87">
        <f t="shared" si="6"/>
        <v>0</v>
      </c>
      <c r="AH56" s="48"/>
      <c r="AI56" s="57"/>
      <c r="AJ56" s="42">
        <v>100</v>
      </c>
      <c r="AK56" s="42">
        <f>((L52*M52)+(L53*M53)+(L54*M54)+(L55*M55)+(F57*M57)+(AM56*M56))/(SUM(L52+L53+L54+L55+F57+AM56))</f>
        <v>405.76373254654709</v>
      </c>
      <c r="AL56" s="42">
        <f>100*((AK56-WingLayout!F14)/WingLayout!F11)</f>
        <v>37.258436808405229</v>
      </c>
      <c r="AM56" s="15">
        <f>AM53</f>
        <v>18276.178509525438</v>
      </c>
    </row>
    <row r="57" spans="2:39" ht="14.5">
      <c r="B57" s="42" t="s">
        <v>172</v>
      </c>
      <c r="C57" s="47"/>
      <c r="D57" s="47"/>
      <c r="E57" s="58"/>
      <c r="F57" s="102">
        <f>'Mission Weight'!B39</f>
        <v>7600</v>
      </c>
      <c r="H57" s="15"/>
      <c r="I57" s="47" t="s">
        <v>173</v>
      </c>
      <c r="J57" s="47"/>
      <c r="K57" s="47"/>
      <c r="L57" s="107">
        <v>0</v>
      </c>
      <c r="M57" s="107">
        <f>WingLayout!F14+(0.35*WingLayout!F11)</f>
        <v>402.90951453169737</v>
      </c>
      <c r="N57" s="104">
        <f t="shared" si="3"/>
        <v>0</v>
      </c>
      <c r="O57" s="110">
        <v>0</v>
      </c>
      <c r="P57" s="109">
        <f t="shared" si="0"/>
        <v>0</v>
      </c>
      <c r="Q57" s="109">
        <v>0</v>
      </c>
      <c r="R57" s="87">
        <f t="shared" si="4"/>
        <v>0</v>
      </c>
      <c r="T57" s="15"/>
      <c r="U57" s="47" t="s">
        <v>173</v>
      </c>
      <c r="V57" s="47"/>
      <c r="W57" s="47"/>
      <c r="X57" s="107">
        <v>0</v>
      </c>
      <c r="Y57" s="107">
        <f>M57</f>
        <v>402.90951453169737</v>
      </c>
      <c r="Z57" s="104">
        <f t="shared" si="5"/>
        <v>0</v>
      </c>
      <c r="AA57" s="110">
        <v>0</v>
      </c>
      <c r="AB57" s="109">
        <f t="shared" si="2"/>
        <v>0</v>
      </c>
      <c r="AC57" s="109">
        <v>0</v>
      </c>
      <c r="AD57" s="87">
        <f t="shared" si="6"/>
        <v>0</v>
      </c>
    </row>
    <row r="58" spans="2:39" ht="14.5">
      <c r="B58" s="62" t="s">
        <v>174</v>
      </c>
      <c r="E58" s="58"/>
      <c r="F58" s="103">
        <f>F50+F54+F57</f>
        <v>52112.357019050876</v>
      </c>
    </row>
    <row r="59" spans="2:39" ht="14.5">
      <c r="B59" s="33"/>
      <c r="C59" s="33"/>
      <c r="D59" s="33"/>
      <c r="E59" s="33"/>
      <c r="F59" s="33"/>
      <c r="K59" s="15" t="s">
        <v>175</v>
      </c>
      <c r="L59" s="47">
        <f>SUM(L52:L57)</f>
        <v>28939.734734788181</v>
      </c>
      <c r="M59" s="42"/>
      <c r="N59" s="47"/>
      <c r="O59" s="43"/>
      <c r="P59" s="47">
        <f>SUM(P52:P57)</f>
        <v>11764386.841807468</v>
      </c>
      <c r="Q59" s="42">
        <f>SUM(Q52:Q57)</f>
        <v>0</v>
      </c>
      <c r="R59" s="15">
        <f>SUM(R52:R57)</f>
        <v>141742.92549644021</v>
      </c>
      <c r="W59" s="15" t="s">
        <v>175</v>
      </c>
      <c r="X59" s="47">
        <f>SUM(X52:X57)</f>
        <v>29971.144848987562</v>
      </c>
      <c r="Y59" s="42"/>
      <c r="Z59" s="47"/>
      <c r="AA59" s="43"/>
      <c r="AB59" s="47">
        <f>SUM(AB52:AB57)</f>
        <v>12186469.283447707</v>
      </c>
      <c r="AC59" s="42">
        <f>SUM(AC52:AC57)</f>
        <v>0</v>
      </c>
      <c r="AD59" s="15">
        <f>SUM(AD52:AD57)</f>
        <v>141742.92549644021</v>
      </c>
    </row>
    <row r="62" spans="2:39" ht="14.5">
      <c r="M62" s="32" t="s">
        <v>176</v>
      </c>
      <c r="N62" s="32" t="s">
        <v>177</v>
      </c>
      <c r="O62" s="26" t="s">
        <v>178</v>
      </c>
      <c r="Y62" s="32" t="s">
        <v>176</v>
      </c>
      <c r="Z62" s="32" t="s">
        <v>177</v>
      </c>
      <c r="AA62" s="26" t="s">
        <v>178</v>
      </c>
    </row>
    <row r="63" spans="2:39" ht="14.5">
      <c r="B63" s="5" t="s">
        <v>179</v>
      </c>
      <c r="F63" t="s">
        <v>140</v>
      </c>
      <c r="L63" s="15" t="s">
        <v>91</v>
      </c>
      <c r="M63" s="47">
        <f>P59/L59</f>
        <v>406.51329217836991</v>
      </c>
      <c r="N63" s="42">
        <f>Q59/L59</f>
        <v>0</v>
      </c>
      <c r="O63" s="15">
        <f>R59/L59</f>
        <v>4.8978654018570662</v>
      </c>
      <c r="X63" s="15" t="s">
        <v>91</v>
      </c>
      <c r="Y63" s="47">
        <f>AB59/X59</f>
        <v>406.60673273745067</v>
      </c>
      <c r="Z63" s="42">
        <f>AC59/X59</f>
        <v>0</v>
      </c>
      <c r="AA63" s="15">
        <f>AD59/X59</f>
        <v>4.7293130179252509</v>
      </c>
    </row>
    <row r="64" spans="2:39" ht="14.5">
      <c r="B64" s="42" t="s">
        <v>141</v>
      </c>
      <c r="C64" s="47"/>
      <c r="D64" s="47"/>
      <c r="E64" s="56"/>
      <c r="F64" s="102">
        <f>F65+F66+F67</f>
        <v>25167.58862372482</v>
      </c>
      <c r="L64" s="49" t="s">
        <v>148</v>
      </c>
      <c r="M64" s="49">
        <f>100*((M63-WingLayout!F14)/WingLayout!F11)</f>
        <v>37.851535532397577</v>
      </c>
      <c r="N64" s="49"/>
      <c r="O64" s="48"/>
      <c r="X64" s="49" t="s">
        <v>148</v>
      </c>
      <c r="Y64" s="49">
        <f xml:space="preserve"> 100*((Y63-WingLayout!F14)/WingLayout!F11)</f>
        <v>37.925471579653959</v>
      </c>
      <c r="Z64" s="49"/>
      <c r="AA64" s="48"/>
    </row>
    <row r="65" spans="2:30" ht="14.5">
      <c r="C65" s="49" t="s">
        <v>150</v>
      </c>
      <c r="D65" s="57"/>
      <c r="E65" s="58"/>
      <c r="F65" s="102">
        <f>'Mission Weight'!B7</f>
        <v>24807.58862372482</v>
      </c>
    </row>
    <row r="66" spans="2:30" ht="14.5">
      <c r="C66" s="49" t="s">
        <v>158</v>
      </c>
      <c r="D66" s="57"/>
      <c r="E66" s="58"/>
      <c r="F66" s="181">
        <v>120</v>
      </c>
      <c r="M66" s="1"/>
      <c r="Y66" s="1"/>
    </row>
    <row r="67" spans="2:30" ht="14.5">
      <c r="C67" s="49" t="s">
        <v>161</v>
      </c>
      <c r="D67" s="57"/>
      <c r="E67" s="58"/>
      <c r="F67" s="102">
        <v>240</v>
      </c>
      <c r="M67" s="5" t="s">
        <v>180</v>
      </c>
      <c r="Y67" s="5" t="s">
        <v>180</v>
      </c>
    </row>
    <row r="68" spans="2:30" ht="14.5">
      <c r="B68" s="32" t="s">
        <v>163</v>
      </c>
      <c r="E68" s="58"/>
      <c r="F68" s="102">
        <f>'Mission Weight'!B8</f>
        <v>19307.58862372482</v>
      </c>
    </row>
    <row r="69" spans="2:30" ht="14.5">
      <c r="B69" s="32" t="s">
        <v>167</v>
      </c>
      <c r="C69" s="33"/>
      <c r="D69" s="33"/>
      <c r="E69" s="58"/>
      <c r="F69" s="102">
        <f>F64+(F68*0.6)</f>
        <v>36752.14179795971</v>
      </c>
      <c r="H69" s="26"/>
      <c r="I69" s="33"/>
      <c r="J69" s="33"/>
      <c r="K69" s="33"/>
      <c r="L69" s="15" t="s">
        <v>140</v>
      </c>
      <c r="M69" s="33"/>
      <c r="N69" s="33" t="s">
        <v>142</v>
      </c>
      <c r="O69" s="33"/>
      <c r="P69" s="32"/>
      <c r="Q69" s="33" t="s">
        <v>143</v>
      </c>
      <c r="R69" s="36"/>
      <c r="T69" s="26"/>
      <c r="U69" s="33"/>
      <c r="V69" s="33"/>
      <c r="W69" s="33"/>
      <c r="X69" s="15" t="s">
        <v>140</v>
      </c>
      <c r="Y69" s="33"/>
      <c r="Z69" s="33" t="s">
        <v>142</v>
      </c>
      <c r="AA69" s="33"/>
      <c r="AB69" s="32"/>
      <c r="AC69" s="33" t="s">
        <v>143</v>
      </c>
      <c r="AD69" s="36"/>
    </row>
    <row r="70" spans="2:30" ht="14.5">
      <c r="B70" s="32" t="s">
        <v>169</v>
      </c>
      <c r="C70" s="33"/>
      <c r="D70" s="33"/>
      <c r="E70" s="58"/>
      <c r="F70" s="102">
        <f>F64+F68</f>
        <v>44475.177247449639</v>
      </c>
      <c r="H70" s="60" t="s">
        <v>2</v>
      </c>
      <c r="I70" s="57"/>
      <c r="J70" s="57" t="s">
        <v>151</v>
      </c>
      <c r="K70" s="50"/>
      <c r="L70" s="57" t="s">
        <v>152</v>
      </c>
      <c r="M70" s="42" t="s">
        <v>153</v>
      </c>
      <c r="N70" s="32" t="s">
        <v>154</v>
      </c>
      <c r="O70" s="42" t="s">
        <v>155</v>
      </c>
      <c r="P70" s="32" t="s">
        <v>153</v>
      </c>
      <c r="Q70" s="32" t="s">
        <v>154</v>
      </c>
      <c r="R70" s="26" t="s">
        <v>155</v>
      </c>
      <c r="T70" s="60" t="s">
        <v>2</v>
      </c>
      <c r="U70" s="57"/>
      <c r="V70" s="57" t="s">
        <v>151</v>
      </c>
      <c r="W70" s="50"/>
      <c r="X70" s="57" t="s">
        <v>152</v>
      </c>
      <c r="Y70" s="42" t="s">
        <v>153</v>
      </c>
      <c r="Z70" s="32" t="s">
        <v>154</v>
      </c>
      <c r="AA70" s="42" t="s">
        <v>155</v>
      </c>
      <c r="AB70" s="32" t="s">
        <v>153</v>
      </c>
      <c r="AC70" s="32" t="s">
        <v>154</v>
      </c>
      <c r="AD70" s="26" t="s">
        <v>155</v>
      </c>
    </row>
    <row r="71" spans="2:30" ht="14.5">
      <c r="B71" s="42" t="s">
        <v>172</v>
      </c>
      <c r="C71" s="47"/>
      <c r="D71" s="47"/>
      <c r="E71" s="58"/>
      <c r="F71" s="102">
        <f>'Mission Weight'!B14</f>
        <v>5500</v>
      </c>
      <c r="H71" s="26"/>
      <c r="I71" t="s">
        <v>159</v>
      </c>
      <c r="K71" s="91"/>
      <c r="L71" s="105">
        <f>G4</f>
        <v>5200.2920834065089</v>
      </c>
      <c r="M71" s="108">
        <f>WingLayout!F14+(0.4)*(WingLayout!F11)</f>
        <v>409.2285268773764</v>
      </c>
      <c r="N71" s="104">
        <f>L71*Q71</f>
        <v>0</v>
      </c>
      <c r="O71" s="105">
        <v>0</v>
      </c>
      <c r="P71" s="109">
        <f>L71*M71</f>
        <v>2128107.8686245284</v>
      </c>
      <c r="Q71" s="109">
        <v>0</v>
      </c>
      <c r="R71" s="87">
        <f>L71*O71</f>
        <v>0</v>
      </c>
      <c r="T71" s="26"/>
      <c r="U71" t="s">
        <v>159</v>
      </c>
      <c r="W71" s="91"/>
      <c r="X71" s="105">
        <f>L71</f>
        <v>5200.2920834065089</v>
      </c>
      <c r="Y71" s="108">
        <f t="shared" ref="Y71:Y76" si="7">Y52</f>
        <v>409.2285268773764</v>
      </c>
      <c r="Z71" s="104">
        <f>X71*AC71</f>
        <v>0</v>
      </c>
      <c r="AA71" s="105">
        <v>0</v>
      </c>
      <c r="AB71" s="109">
        <f>X71*Y71</f>
        <v>2128107.8686245284</v>
      </c>
      <c r="AC71" s="109">
        <v>0</v>
      </c>
      <c r="AD71" s="87">
        <f>X71*AA71</f>
        <v>0</v>
      </c>
    </row>
    <row r="72" spans="2:30" ht="14.5">
      <c r="B72" s="49" t="s">
        <v>174</v>
      </c>
      <c r="C72" s="57"/>
      <c r="D72" s="57"/>
      <c r="E72" s="59"/>
      <c r="F72" s="102">
        <f>F64+F68+F71</f>
        <v>49975.177247449639</v>
      </c>
      <c r="H72" s="26"/>
      <c r="I72" s="33" t="s">
        <v>162</v>
      </c>
      <c r="J72" s="33"/>
      <c r="K72" s="36"/>
      <c r="L72" s="106">
        <f>G7</f>
        <v>558.65129444400509</v>
      </c>
      <c r="M72" s="109">
        <f>((WingLayout!B50+WingLayout!C35)-(0.25*(WingLayout!F35))+(0.4*WingLayout!F35))</f>
        <v>618.03850738419908</v>
      </c>
      <c r="N72" s="104">
        <f t="shared" ref="N72:N76" si="8">L72*Q72</f>
        <v>0</v>
      </c>
      <c r="O72" s="106">
        <v>0</v>
      </c>
      <c r="P72" s="109">
        <f>L72*M72</f>
        <v>345268.01216642361</v>
      </c>
      <c r="Q72" s="109">
        <v>0</v>
      </c>
      <c r="R72" s="87">
        <f t="shared" ref="R72:R76" si="9">L72*O72</f>
        <v>0</v>
      </c>
      <c r="T72" s="26"/>
      <c r="U72" s="33" t="s">
        <v>162</v>
      </c>
      <c r="V72" s="33"/>
      <c r="W72" s="36"/>
      <c r="X72" s="106">
        <f>L72</f>
        <v>558.65129444400509</v>
      </c>
      <c r="Y72" s="109">
        <f t="shared" si="7"/>
        <v>618.03850738419908</v>
      </c>
      <c r="Z72" s="104">
        <f t="shared" ref="Z72:Z76" si="10">X72*AC72</f>
        <v>0</v>
      </c>
      <c r="AA72" s="106">
        <v>0</v>
      </c>
      <c r="AB72" s="109">
        <f>X72*Y72</f>
        <v>345268.01216642361</v>
      </c>
      <c r="AC72" s="109">
        <v>0</v>
      </c>
      <c r="AD72" s="87">
        <f t="shared" ref="AD72:AD76" si="11">X72*AA72</f>
        <v>0</v>
      </c>
    </row>
    <row r="73" spans="2:30" ht="14.5">
      <c r="H73" s="26"/>
      <c r="I73" s="33" t="s">
        <v>164</v>
      </c>
      <c r="J73" s="33"/>
      <c r="K73" s="36"/>
      <c r="L73" s="106">
        <f>G10</f>
        <v>1476.4888072545855</v>
      </c>
      <c r="M73" s="109">
        <f>((WingLayout!B50+(WingLayout!C69*12))-(0.25*WingLayout!F67))+(0.4*WingLayout!F67)</f>
        <v>585.1048231736728</v>
      </c>
      <c r="N73" s="104">
        <f t="shared" si="8"/>
        <v>0</v>
      </c>
      <c r="O73" s="106">
        <f>0.5*(WingLayout!C63*12)</f>
        <v>96</v>
      </c>
      <c r="P73" s="109">
        <f>L73*M73</f>
        <v>863900.72248660133</v>
      </c>
      <c r="Q73" s="109">
        <v>0</v>
      </c>
      <c r="R73" s="87">
        <f t="shared" si="9"/>
        <v>141742.92549644021</v>
      </c>
      <c r="T73" s="26"/>
      <c r="U73" s="33" t="s">
        <v>164</v>
      </c>
      <c r="V73" s="33"/>
      <c r="W73" s="36"/>
      <c r="X73" s="106">
        <f>L73</f>
        <v>1476.4888072545855</v>
      </c>
      <c r="Y73" s="109">
        <f t="shared" si="7"/>
        <v>585.1048231736728</v>
      </c>
      <c r="Z73" s="104">
        <f t="shared" si="10"/>
        <v>0</v>
      </c>
      <c r="AA73" s="106">
        <f>0.5*(WingLayout!C63*12)</f>
        <v>96</v>
      </c>
      <c r="AB73" s="109">
        <f>X73*Y73</f>
        <v>863900.72248660133</v>
      </c>
      <c r="AC73" s="109">
        <v>0</v>
      </c>
      <c r="AD73" s="87">
        <f t="shared" si="11"/>
        <v>141742.92549644021</v>
      </c>
    </row>
    <row r="74" spans="2:30" ht="14.5">
      <c r="H74" s="26"/>
      <c r="I74" s="33" t="s">
        <v>168</v>
      </c>
      <c r="J74" s="33"/>
      <c r="K74" s="36"/>
      <c r="L74" s="106">
        <f>11.03*(D33)^(1.23)*(D34/100)^(0.245)*(D3/1000)^(0.98)*(D35)^(0.61)*(D7/100)^0.245</f>
        <v>3428.1240401576438</v>
      </c>
      <c r="M74" s="112">
        <f>WingLayout!F14-(0.65*WingLayout!F11)</f>
        <v>276.5292676181171</v>
      </c>
      <c r="N74" s="104">
        <f t="shared" si="8"/>
        <v>0</v>
      </c>
      <c r="O74" s="106">
        <v>0</v>
      </c>
      <c r="P74" s="109">
        <f>L74*M74</f>
        <v>947976.63012885395</v>
      </c>
      <c r="Q74" s="109">
        <v>0</v>
      </c>
      <c r="R74" s="87">
        <f t="shared" si="9"/>
        <v>0</v>
      </c>
      <c r="T74" s="26"/>
      <c r="U74" s="33" t="s">
        <v>168</v>
      </c>
      <c r="V74" s="33"/>
      <c r="W74" s="36"/>
      <c r="X74" s="106">
        <f>L74</f>
        <v>3428.1240401576438</v>
      </c>
      <c r="Y74" s="112">
        <f t="shared" si="7"/>
        <v>276.5292676181171</v>
      </c>
      <c r="Z74" s="104">
        <f t="shared" si="10"/>
        <v>0</v>
      </c>
      <c r="AA74" s="106">
        <v>0</v>
      </c>
      <c r="AB74" s="109">
        <f>X74*Y74</f>
        <v>947976.63012885395</v>
      </c>
      <c r="AC74" s="109">
        <v>0</v>
      </c>
      <c r="AD74" s="87">
        <f t="shared" si="11"/>
        <v>0</v>
      </c>
    </row>
    <row r="75" spans="2:30" ht="14.5">
      <c r="H75" s="26"/>
      <c r="I75" s="33" t="s">
        <v>181</v>
      </c>
      <c r="J75" s="33"/>
      <c r="K75" s="36"/>
      <c r="L75" s="106">
        <v>9600</v>
      </c>
      <c r="M75" s="109">
        <f>WingLayout!F14+0.4*WingLayout!F11</f>
        <v>409.2285268773764</v>
      </c>
      <c r="N75" s="104">
        <f t="shared" si="8"/>
        <v>0</v>
      </c>
      <c r="O75" s="103">
        <v>0</v>
      </c>
      <c r="P75" s="109">
        <f t="shared" ref="P75:P76" si="12">L75*M75</f>
        <v>3928593.8580228132</v>
      </c>
      <c r="Q75" s="109">
        <v>0</v>
      </c>
      <c r="R75" s="87">
        <f t="shared" si="9"/>
        <v>0</v>
      </c>
      <c r="T75" s="26"/>
      <c r="U75" s="33" t="s">
        <v>181</v>
      </c>
      <c r="V75" s="33"/>
      <c r="W75" s="36"/>
      <c r="X75" s="106">
        <v>9600</v>
      </c>
      <c r="Y75" s="109">
        <f t="shared" si="7"/>
        <v>409.2285268773764</v>
      </c>
      <c r="Z75" s="104">
        <f t="shared" si="10"/>
        <v>0</v>
      </c>
      <c r="AA75" s="103">
        <v>0</v>
      </c>
      <c r="AB75" s="109">
        <f t="shared" ref="AB75:AB76" si="13">X75*Y75</f>
        <v>3928593.8580228132</v>
      </c>
      <c r="AC75" s="109">
        <v>0</v>
      </c>
      <c r="AD75" s="87">
        <f t="shared" si="11"/>
        <v>0</v>
      </c>
    </row>
    <row r="76" spans="2:30" ht="14.5">
      <c r="H76" s="15"/>
      <c r="I76" s="47" t="s">
        <v>182</v>
      </c>
      <c r="J76" s="47"/>
      <c r="K76" s="47"/>
      <c r="L76" s="107">
        <f>F57</f>
        <v>7600</v>
      </c>
      <c r="M76" s="107">
        <f>WingLayout!F14+(0.35*WingLayout!F11)</f>
        <v>402.90951453169737</v>
      </c>
      <c r="N76" s="104">
        <f t="shared" si="8"/>
        <v>0</v>
      </c>
      <c r="O76" s="110">
        <v>0</v>
      </c>
      <c r="P76" s="109">
        <f t="shared" si="12"/>
        <v>3062112.3104408998</v>
      </c>
      <c r="Q76" s="109">
        <v>0</v>
      </c>
      <c r="R76" s="87">
        <f t="shared" si="9"/>
        <v>0</v>
      </c>
      <c r="T76" s="15"/>
      <c r="U76" s="47" t="s">
        <v>183</v>
      </c>
      <c r="V76" s="47"/>
      <c r="W76" s="47"/>
      <c r="X76" s="107">
        <f>F71</f>
        <v>5500</v>
      </c>
      <c r="Y76" s="107">
        <f t="shared" si="7"/>
        <v>402.90951453169737</v>
      </c>
      <c r="Z76" s="104">
        <f t="shared" si="10"/>
        <v>0</v>
      </c>
      <c r="AA76" s="110">
        <v>0</v>
      </c>
      <c r="AB76" s="109">
        <f t="shared" si="13"/>
        <v>2216002.3299243357</v>
      </c>
      <c r="AC76" s="109">
        <v>0</v>
      </c>
      <c r="AD76" s="87">
        <f t="shared" si="11"/>
        <v>0</v>
      </c>
    </row>
    <row r="78" spans="2:30" ht="14.5">
      <c r="K78" s="15" t="s">
        <v>175</v>
      </c>
      <c r="L78" s="47">
        <f>SUM(L71:L76)</f>
        <v>27863.556225262742</v>
      </c>
      <c r="M78" s="42"/>
      <c r="N78" s="47"/>
      <c r="O78" s="43"/>
      <c r="P78" s="47">
        <f>SUM(P71:P76)</f>
        <v>11275959.40187012</v>
      </c>
      <c r="Q78" s="42">
        <f>SUM(Q71:Q76)</f>
        <v>0</v>
      </c>
      <c r="R78" s="15">
        <f>SUM(R71:R76)</f>
        <v>141742.92549644021</v>
      </c>
      <c r="W78" s="15" t="s">
        <v>175</v>
      </c>
      <c r="X78" s="47">
        <f>SUM(X71:X76)</f>
        <v>25763.556225262742</v>
      </c>
      <c r="Y78" s="42"/>
      <c r="Z78" s="47"/>
      <c r="AA78" s="43"/>
      <c r="AB78" s="47">
        <f>SUM(AB71:AB76)</f>
        <v>10429849.421353556</v>
      </c>
      <c r="AC78" s="42">
        <f>SUM(AC71:AC76)</f>
        <v>0</v>
      </c>
      <c r="AD78" s="15">
        <f>SUM(AD71:AD76)</f>
        <v>141742.92549644021</v>
      </c>
    </row>
    <row r="79" spans="2:30" ht="14.5">
      <c r="F79">
        <f>9600/F68</f>
        <v>0.49721382545947201</v>
      </c>
    </row>
    <row r="82" spans="8:30" ht="14.5">
      <c r="M82" s="32" t="s">
        <v>176</v>
      </c>
      <c r="N82" s="32" t="s">
        <v>177</v>
      </c>
      <c r="O82" s="26" t="s">
        <v>178</v>
      </c>
      <c r="Y82" s="32" t="s">
        <v>176</v>
      </c>
      <c r="Z82" s="32" t="s">
        <v>177</v>
      </c>
      <c r="AA82" s="26" t="s">
        <v>178</v>
      </c>
    </row>
    <row r="83" spans="8:30" ht="14.5">
      <c r="L83" s="42" t="s">
        <v>91</v>
      </c>
      <c r="M83" s="62">
        <f>P78/L78</f>
        <v>404.68486185717637</v>
      </c>
      <c r="N83" s="49">
        <f>Q78/L78</f>
        <v>0</v>
      </c>
      <c r="O83" s="48">
        <f>R78/L78</f>
        <v>5.0870364267403785</v>
      </c>
      <c r="X83" s="42" t="s">
        <v>91</v>
      </c>
      <c r="Y83" s="62">
        <f>AB78/X78</f>
        <v>404.82957128125236</v>
      </c>
      <c r="Z83" s="49">
        <f>AC78/X78</f>
        <v>0</v>
      </c>
      <c r="AA83" s="48">
        <f>AD78/X78</f>
        <v>5.501683240353775</v>
      </c>
    </row>
    <row r="84" spans="8:30" ht="14.5">
      <c r="L84" s="49" t="s">
        <v>148</v>
      </c>
      <c r="M84" s="113">
        <f xml:space="preserve"> 100*((M83-WingLayout!F14)/WingLayout!F11)</f>
        <v>36.404766463775772</v>
      </c>
      <c r="X84" s="49" t="s">
        <v>148</v>
      </c>
      <c r="Y84" s="113">
        <f xml:space="preserve"> 100*((Y83-WingLayout!F14)/WingLayout!F11)</f>
        <v>36.519269661553935</v>
      </c>
    </row>
    <row r="85" spans="8:30" ht="14.5">
      <c r="M85" s="1"/>
      <c r="Y85" s="1"/>
    </row>
    <row r="86" spans="8:30" ht="14.5">
      <c r="M86" s="1" t="s">
        <v>184</v>
      </c>
      <c r="Y86" s="1" t="s">
        <v>184</v>
      </c>
    </row>
    <row r="88" spans="8:30" ht="14.5">
      <c r="H88" s="26"/>
      <c r="I88" s="33"/>
      <c r="J88" s="33"/>
      <c r="K88" s="33"/>
      <c r="L88" s="15" t="s">
        <v>140</v>
      </c>
      <c r="M88" s="33"/>
      <c r="N88" s="33" t="s">
        <v>142</v>
      </c>
      <c r="O88" s="33"/>
      <c r="P88" s="32"/>
      <c r="Q88" s="33" t="s">
        <v>143</v>
      </c>
      <c r="R88" s="36"/>
      <c r="T88" s="26"/>
      <c r="U88" s="33"/>
      <c r="V88" s="33"/>
      <c r="W88" s="33"/>
      <c r="X88" s="15" t="s">
        <v>140</v>
      </c>
      <c r="Y88" s="33"/>
      <c r="Z88" s="33" t="s">
        <v>142</v>
      </c>
      <c r="AA88" s="33"/>
      <c r="AB88" s="32"/>
      <c r="AC88" s="33" t="s">
        <v>143</v>
      </c>
      <c r="AD88" s="36"/>
    </row>
    <row r="89" spans="8:30" ht="14.5">
      <c r="H89" s="60" t="s">
        <v>2</v>
      </c>
      <c r="I89" s="57"/>
      <c r="J89" s="57" t="s">
        <v>151</v>
      </c>
      <c r="K89" s="50"/>
      <c r="L89" s="57" t="s">
        <v>152</v>
      </c>
      <c r="M89" s="42" t="s">
        <v>153</v>
      </c>
      <c r="N89" s="32" t="s">
        <v>154</v>
      </c>
      <c r="O89" s="42" t="s">
        <v>155</v>
      </c>
      <c r="P89" s="32" t="s">
        <v>153</v>
      </c>
      <c r="Q89" s="32" t="s">
        <v>154</v>
      </c>
      <c r="R89" s="26" t="s">
        <v>155</v>
      </c>
      <c r="T89" s="60" t="s">
        <v>2</v>
      </c>
      <c r="U89" s="57"/>
      <c r="V89" s="57" t="s">
        <v>151</v>
      </c>
      <c r="W89" s="50"/>
      <c r="X89" s="57" t="s">
        <v>152</v>
      </c>
      <c r="Y89" s="42" t="s">
        <v>153</v>
      </c>
      <c r="Z89" s="32" t="s">
        <v>154</v>
      </c>
      <c r="AA89" s="42" t="s">
        <v>155</v>
      </c>
      <c r="AB89" s="32" t="s">
        <v>153</v>
      </c>
      <c r="AC89" s="32" t="s">
        <v>154</v>
      </c>
      <c r="AD89" s="26" t="s">
        <v>155</v>
      </c>
    </row>
    <row r="90" spans="8:30" ht="14.5">
      <c r="H90" s="26"/>
      <c r="I90" t="s">
        <v>159</v>
      </c>
      <c r="K90" s="91"/>
      <c r="L90" s="105">
        <f>G4</f>
        <v>5200.2920834065089</v>
      </c>
      <c r="M90" s="108">
        <f>M71</f>
        <v>409.2285268773764</v>
      </c>
      <c r="N90" s="104">
        <f>L90*Q90</f>
        <v>0</v>
      </c>
      <c r="O90" s="105">
        <v>0</v>
      </c>
      <c r="P90" s="109">
        <f>M90*L90</f>
        <v>2128107.8686245284</v>
      </c>
      <c r="Q90" s="109">
        <v>0</v>
      </c>
      <c r="R90" s="87">
        <f>L90*O90</f>
        <v>0</v>
      </c>
      <c r="T90" s="26"/>
      <c r="U90" t="s">
        <v>159</v>
      </c>
      <c r="W90" s="91"/>
      <c r="X90" s="105">
        <f>L90</f>
        <v>5200.2920834065089</v>
      </c>
      <c r="Y90" s="108">
        <f>Y71</f>
        <v>409.2285268773764</v>
      </c>
      <c r="Z90" s="104">
        <f>X90*AC90</f>
        <v>0</v>
      </c>
      <c r="AA90" s="105">
        <v>0</v>
      </c>
      <c r="AB90" s="109">
        <f>Y90*X90</f>
        <v>2128107.8686245284</v>
      </c>
      <c r="AC90" s="109">
        <v>0</v>
      </c>
      <c r="AD90" s="87">
        <f>X90*AA90</f>
        <v>0</v>
      </c>
    </row>
    <row r="91" spans="8:30" ht="14.5">
      <c r="H91" s="26"/>
      <c r="I91" s="33" t="s">
        <v>162</v>
      </c>
      <c r="J91" s="33"/>
      <c r="K91" s="36"/>
      <c r="L91" s="106">
        <f>G7</f>
        <v>558.65129444400509</v>
      </c>
      <c r="M91" s="109">
        <f>M72</f>
        <v>618.03850738419908</v>
      </c>
      <c r="N91" s="104">
        <f t="shared" ref="N91:N95" si="14">L91*Q91</f>
        <v>0</v>
      </c>
      <c r="O91" s="106">
        <v>0</v>
      </c>
      <c r="P91" s="109">
        <f t="shared" ref="P91:P95" si="15">M91*L91</f>
        <v>345268.01216642361</v>
      </c>
      <c r="Q91" s="109">
        <v>0</v>
      </c>
      <c r="R91" s="87">
        <f t="shared" ref="R91:R95" si="16">L91*O91</f>
        <v>0</v>
      </c>
      <c r="T91" s="26"/>
      <c r="U91" s="33" t="s">
        <v>162</v>
      </c>
      <c r="V91" s="33"/>
      <c r="W91" s="36"/>
      <c r="X91" s="106">
        <f>L91</f>
        <v>558.65129444400509</v>
      </c>
      <c r="Y91" s="109">
        <f>Y72</f>
        <v>618.03850738419908</v>
      </c>
      <c r="Z91" s="104">
        <f t="shared" ref="Z91:Z95" si="17">X91*AC91</f>
        <v>0</v>
      </c>
      <c r="AA91" s="106">
        <v>0</v>
      </c>
      <c r="AB91" s="109">
        <f t="shared" ref="AB91:AB95" si="18">Y91*X91</f>
        <v>345268.01216642361</v>
      </c>
      <c r="AC91" s="109">
        <v>0</v>
      </c>
      <c r="AD91" s="87">
        <f t="shared" ref="AD91:AD95" si="19">X91*AA91</f>
        <v>0</v>
      </c>
    </row>
    <row r="92" spans="8:30" ht="14.5">
      <c r="H92" s="26"/>
      <c r="I92" s="33" t="s">
        <v>164</v>
      </c>
      <c r="J92" s="33"/>
      <c r="K92" s="36"/>
      <c r="L92" s="106">
        <f>G10</f>
        <v>1476.4888072545855</v>
      </c>
      <c r="M92" s="109">
        <f>M73</f>
        <v>585.1048231736728</v>
      </c>
      <c r="N92" s="104">
        <f t="shared" si="14"/>
        <v>0</v>
      </c>
      <c r="O92" s="106">
        <f>0.5*(WingLayout!C63*12)</f>
        <v>96</v>
      </c>
      <c r="P92" s="109">
        <f t="shared" si="15"/>
        <v>863900.72248660133</v>
      </c>
      <c r="Q92" s="109">
        <v>0</v>
      </c>
      <c r="R92" s="87">
        <f t="shared" si="16"/>
        <v>141742.92549644021</v>
      </c>
      <c r="T92" s="26"/>
      <c r="U92" s="33" t="s">
        <v>164</v>
      </c>
      <c r="V92" s="33"/>
      <c r="W92" s="36"/>
      <c r="X92" s="106">
        <f>L92</f>
        <v>1476.4888072545855</v>
      </c>
      <c r="Y92" s="109">
        <f>Y73</f>
        <v>585.1048231736728</v>
      </c>
      <c r="Z92" s="104">
        <f t="shared" si="17"/>
        <v>0</v>
      </c>
      <c r="AA92" s="106">
        <f>0.5*(WingLayout!C63*12)</f>
        <v>96</v>
      </c>
      <c r="AB92" s="109">
        <f t="shared" si="18"/>
        <v>863900.72248660133</v>
      </c>
      <c r="AC92" s="109">
        <v>0</v>
      </c>
      <c r="AD92" s="87">
        <f t="shared" si="19"/>
        <v>141742.92549644021</v>
      </c>
    </row>
    <row r="93" spans="8:30" ht="14.5">
      <c r="H93" s="26"/>
      <c r="I93" s="33" t="s">
        <v>168</v>
      </c>
      <c r="J93" s="33"/>
      <c r="K93" s="36"/>
      <c r="L93" s="106">
        <f>11.03*(D33)^(1.23)*(D34/100)^(0.245)*(D3/1000)^(0.98)*(D35)^(0.61)*(D7/100)^0.245</f>
        <v>3428.1240401576438</v>
      </c>
      <c r="M93" s="112">
        <f>WingLayout!F14-(0.65*WingLayout!F11)</f>
        <v>276.5292676181171</v>
      </c>
      <c r="N93" s="104">
        <f t="shared" si="14"/>
        <v>0</v>
      </c>
      <c r="O93" s="106">
        <v>0</v>
      </c>
      <c r="P93" s="109">
        <f t="shared" si="15"/>
        <v>947976.63012885395</v>
      </c>
      <c r="Q93" s="109">
        <v>0</v>
      </c>
      <c r="R93" s="87">
        <f t="shared" si="16"/>
        <v>0</v>
      </c>
      <c r="T93" s="26"/>
      <c r="U93" s="33" t="s">
        <v>168</v>
      </c>
      <c r="V93" s="33"/>
      <c r="W93" s="36"/>
      <c r="X93" s="106">
        <f>L93</f>
        <v>3428.1240401576438</v>
      </c>
      <c r="Y93" s="112">
        <f>M93</f>
        <v>276.5292676181171</v>
      </c>
      <c r="Z93" s="104">
        <f t="shared" si="17"/>
        <v>0</v>
      </c>
      <c r="AA93" s="106">
        <v>0</v>
      </c>
      <c r="AB93" s="109">
        <f t="shared" si="18"/>
        <v>947976.63012885395</v>
      </c>
      <c r="AC93" s="109">
        <v>0</v>
      </c>
      <c r="AD93" s="87">
        <f t="shared" si="19"/>
        <v>0</v>
      </c>
    </row>
    <row r="94" spans="8:30" ht="14.5">
      <c r="H94" s="26"/>
      <c r="I94" s="33" t="s">
        <v>185</v>
      </c>
      <c r="J94" s="33"/>
      <c r="K94" s="36"/>
      <c r="L94" s="106">
        <f>F54</f>
        <v>18276.178509525438</v>
      </c>
      <c r="M94" s="109">
        <f>M75</f>
        <v>409.2285268773764</v>
      </c>
      <c r="N94" s="104">
        <f t="shared" si="14"/>
        <v>0</v>
      </c>
      <c r="O94" s="103">
        <v>0</v>
      </c>
      <c r="P94" s="109">
        <f t="shared" si="15"/>
        <v>7479133.6084010601</v>
      </c>
      <c r="Q94" s="109">
        <v>0</v>
      </c>
      <c r="R94" s="87">
        <f t="shared" si="16"/>
        <v>0</v>
      </c>
      <c r="T94" s="26"/>
      <c r="U94" s="33" t="s">
        <v>186</v>
      </c>
      <c r="V94" s="33"/>
      <c r="W94" s="36"/>
      <c r="X94" s="106">
        <f>F68</f>
        <v>19307.58862372482</v>
      </c>
      <c r="Y94" s="109">
        <f>Y75</f>
        <v>409.2285268773764</v>
      </c>
      <c r="Z94" s="104">
        <f t="shared" si="17"/>
        <v>0</v>
      </c>
      <c r="AA94" s="103">
        <v>0</v>
      </c>
      <c r="AB94" s="109">
        <f t="shared" si="18"/>
        <v>7901216.0500412993</v>
      </c>
      <c r="AC94" s="109">
        <v>0</v>
      </c>
      <c r="AD94" s="87">
        <f t="shared" si="19"/>
        <v>0</v>
      </c>
    </row>
    <row r="95" spans="8:30" ht="14.5">
      <c r="H95" s="15"/>
      <c r="I95" s="47" t="s">
        <v>182</v>
      </c>
      <c r="J95" s="47"/>
      <c r="K95" s="47"/>
      <c r="L95" s="107">
        <f>F57</f>
        <v>7600</v>
      </c>
      <c r="M95" s="107">
        <f>M76</f>
        <v>402.90951453169737</v>
      </c>
      <c r="N95" s="104">
        <f t="shared" si="14"/>
        <v>0</v>
      </c>
      <c r="O95" s="110">
        <v>0</v>
      </c>
      <c r="P95" s="109">
        <f t="shared" si="15"/>
        <v>3062112.3104408998</v>
      </c>
      <c r="Q95" s="109">
        <v>0</v>
      </c>
      <c r="R95" s="87">
        <f t="shared" si="16"/>
        <v>0</v>
      </c>
      <c r="T95" s="15"/>
      <c r="U95" s="47" t="s">
        <v>183</v>
      </c>
      <c r="V95" s="47"/>
      <c r="W95" s="47"/>
      <c r="X95" s="107">
        <f>F71</f>
        <v>5500</v>
      </c>
      <c r="Y95" s="107">
        <f>Y76</f>
        <v>402.90951453169737</v>
      </c>
      <c r="Z95" s="104">
        <f t="shared" si="17"/>
        <v>0</v>
      </c>
      <c r="AA95" s="110">
        <v>0</v>
      </c>
      <c r="AB95" s="109">
        <f t="shared" si="18"/>
        <v>2216002.3299243357</v>
      </c>
      <c r="AC95" s="109">
        <v>0</v>
      </c>
      <c r="AD95" s="87">
        <f t="shared" si="19"/>
        <v>0</v>
      </c>
    </row>
    <row r="97" spans="8:30" ht="14.5">
      <c r="K97" s="15" t="s">
        <v>175</v>
      </c>
      <c r="L97" s="47">
        <f>SUM(L90:L95)</f>
        <v>36539.734734788181</v>
      </c>
      <c r="M97" s="42"/>
      <c r="N97" s="47"/>
      <c r="O97" s="43"/>
      <c r="P97" s="47">
        <f>SUM(P90:P95)</f>
        <v>14826499.152248368</v>
      </c>
      <c r="Q97" s="42">
        <f>SUM(Q90:Q95)</f>
        <v>0</v>
      </c>
      <c r="R97" s="15">
        <f>SUM(R90:R95)</f>
        <v>141742.92549644021</v>
      </c>
      <c r="W97" s="15" t="s">
        <v>175</v>
      </c>
      <c r="X97" s="47">
        <f>SUM(X90:X95)</f>
        <v>35471.144848987562</v>
      </c>
      <c r="Y97" s="42"/>
      <c r="Z97" s="47"/>
      <c r="AA97" s="43"/>
      <c r="AB97" s="47">
        <f>SUM(AB90:AB95)</f>
        <v>14402471.613372043</v>
      </c>
      <c r="AC97" s="42">
        <f>SUM(AC90:AC95)</f>
        <v>0</v>
      </c>
      <c r="AD97" s="15">
        <f>SUM(AD90:AD95)</f>
        <v>141742.92549644021</v>
      </c>
    </row>
    <row r="101" spans="8:30" ht="14.5">
      <c r="M101" s="42" t="s">
        <v>176</v>
      </c>
      <c r="N101" s="42" t="s">
        <v>177</v>
      </c>
      <c r="O101" s="15" t="s">
        <v>178</v>
      </c>
      <c r="Y101" s="42" t="s">
        <v>176</v>
      </c>
      <c r="Z101" s="42" t="s">
        <v>177</v>
      </c>
      <c r="AA101" s="15" t="s">
        <v>178</v>
      </c>
    </row>
    <row r="102" spans="8:30" ht="14.5">
      <c r="L102" s="42" t="s">
        <v>91</v>
      </c>
      <c r="M102" s="32">
        <f>P97/L97</f>
        <v>405.76373254654709</v>
      </c>
      <c r="N102" s="42">
        <f>Q97/L97</f>
        <v>0</v>
      </c>
      <c r="O102" s="48">
        <f>R97/L97</f>
        <v>3.8791448959669599</v>
      </c>
      <c r="X102" s="42" t="s">
        <v>91</v>
      </c>
      <c r="Y102" s="32">
        <f>AB97/X97</f>
        <v>406.0334583134586</v>
      </c>
      <c r="Z102" s="42">
        <f>AC97/X97</f>
        <v>0</v>
      </c>
      <c r="AA102" s="48">
        <f>AD97/X97</f>
        <v>3.9960065033109839</v>
      </c>
    </row>
    <row r="103" spans="8:30" ht="14.5">
      <c r="L103" s="49" t="s">
        <v>148</v>
      </c>
      <c r="M103" s="15">
        <f xml:space="preserve"> 100*((M102-WingLayout!F14)/WingLayout!F11)</f>
        <v>37.258436808405229</v>
      </c>
      <c r="X103" s="49" t="s">
        <v>148</v>
      </c>
      <c r="Y103" s="15">
        <f xml:space="preserve"> 100*((Y102-WingLayout!F14)/WingLayout!F11)</f>
        <v>37.47186079949455</v>
      </c>
    </row>
    <row r="107" spans="8:30" ht="14.5">
      <c r="M107" s="1" t="s">
        <v>187</v>
      </c>
      <c r="Y107" s="1" t="s">
        <v>187</v>
      </c>
    </row>
    <row r="109" spans="8:30" ht="14.5">
      <c r="H109" s="26"/>
      <c r="I109" s="33"/>
      <c r="J109" s="33"/>
      <c r="K109" s="33"/>
      <c r="L109" s="15" t="s">
        <v>140</v>
      </c>
      <c r="M109" s="33"/>
      <c r="N109" s="33" t="s">
        <v>142</v>
      </c>
      <c r="O109" s="33"/>
      <c r="P109" s="32"/>
      <c r="Q109" s="33" t="s">
        <v>143</v>
      </c>
      <c r="R109" s="36"/>
      <c r="T109" s="26"/>
      <c r="U109" s="33"/>
      <c r="V109" s="33"/>
      <c r="W109" s="33"/>
      <c r="X109" s="15" t="s">
        <v>140</v>
      </c>
      <c r="Y109" s="33"/>
      <c r="Z109" s="33" t="s">
        <v>142</v>
      </c>
      <c r="AA109" s="33"/>
      <c r="AB109" s="32"/>
      <c r="AC109" s="33" t="s">
        <v>143</v>
      </c>
      <c r="AD109" s="36"/>
    </row>
    <row r="110" spans="8:30" ht="14.5">
      <c r="H110" s="60" t="s">
        <v>2</v>
      </c>
      <c r="I110" s="57"/>
      <c r="J110" s="57" t="s">
        <v>151</v>
      </c>
      <c r="K110" s="50"/>
      <c r="L110" s="57" t="s">
        <v>152</v>
      </c>
      <c r="M110" s="42" t="s">
        <v>153</v>
      </c>
      <c r="N110" s="32" t="s">
        <v>154</v>
      </c>
      <c r="O110" s="42" t="s">
        <v>155</v>
      </c>
      <c r="P110" s="32" t="s">
        <v>153</v>
      </c>
      <c r="Q110" s="32" t="s">
        <v>154</v>
      </c>
      <c r="R110" s="26" t="s">
        <v>155</v>
      </c>
      <c r="T110" s="60" t="s">
        <v>2</v>
      </c>
      <c r="U110" s="57"/>
      <c r="V110" s="57" t="s">
        <v>151</v>
      </c>
      <c r="W110" s="50"/>
      <c r="X110" s="57" t="s">
        <v>152</v>
      </c>
      <c r="Y110" s="42" t="s">
        <v>153</v>
      </c>
      <c r="Z110" s="32" t="s">
        <v>154</v>
      </c>
      <c r="AA110" s="42" t="s">
        <v>155</v>
      </c>
      <c r="AB110" s="32" t="s">
        <v>153</v>
      </c>
      <c r="AC110" s="32" t="s">
        <v>154</v>
      </c>
      <c r="AD110" s="26" t="s">
        <v>155</v>
      </c>
    </row>
    <row r="111" spans="8:30" ht="14.5">
      <c r="H111" s="26"/>
      <c r="I111" t="s">
        <v>159</v>
      </c>
      <c r="K111" s="91"/>
      <c r="L111" s="105">
        <f t="shared" ref="L111:M114" si="20">L90</f>
        <v>5200.2920834065089</v>
      </c>
      <c r="M111" s="108">
        <f t="shared" si="20"/>
        <v>409.2285268773764</v>
      </c>
      <c r="N111" s="104">
        <f>L111*Q111</f>
        <v>0</v>
      </c>
      <c r="O111" s="105">
        <v>0</v>
      </c>
      <c r="P111" s="109">
        <f>M111*L111</f>
        <v>2128107.8686245284</v>
      </c>
      <c r="Q111" s="109">
        <v>0</v>
      </c>
      <c r="R111" s="87">
        <f>L111*O111</f>
        <v>0</v>
      </c>
      <c r="T111" s="26"/>
      <c r="U111" t="s">
        <v>159</v>
      </c>
      <c r="W111" s="91"/>
      <c r="X111" s="105">
        <f t="shared" ref="X111:Y114" si="21">X90</f>
        <v>5200.2920834065089</v>
      </c>
      <c r="Y111" s="108">
        <f t="shared" si="21"/>
        <v>409.2285268773764</v>
      </c>
      <c r="Z111" s="104">
        <f>X111*AC111</f>
        <v>0</v>
      </c>
      <c r="AA111" s="105">
        <v>0</v>
      </c>
      <c r="AB111" s="109">
        <f>Y111*X111</f>
        <v>2128107.8686245284</v>
      </c>
      <c r="AC111" s="109">
        <v>0</v>
      </c>
      <c r="AD111" s="87">
        <f>X111*AA111</f>
        <v>0</v>
      </c>
    </row>
    <row r="112" spans="8:30" ht="14.5">
      <c r="H112" s="26"/>
      <c r="I112" s="33" t="s">
        <v>162</v>
      </c>
      <c r="J112" s="33"/>
      <c r="K112" s="36"/>
      <c r="L112" s="106">
        <f t="shared" si="20"/>
        <v>558.65129444400509</v>
      </c>
      <c r="M112" s="109">
        <f t="shared" si="20"/>
        <v>618.03850738419908</v>
      </c>
      <c r="N112" s="104">
        <f t="shared" ref="N112:N116" si="22">L112*Q112</f>
        <v>0</v>
      </c>
      <c r="O112" s="106">
        <v>0</v>
      </c>
      <c r="P112" s="109">
        <f t="shared" ref="P112:P116" si="23">M112*L112</f>
        <v>345268.01216642361</v>
      </c>
      <c r="Q112" s="109">
        <v>0</v>
      </c>
      <c r="R112" s="87">
        <f t="shared" ref="R112:R116" si="24">L112*O112</f>
        <v>0</v>
      </c>
      <c r="T112" s="26"/>
      <c r="U112" s="33" t="s">
        <v>162</v>
      </c>
      <c r="V112" s="33"/>
      <c r="W112" s="36"/>
      <c r="X112" s="106">
        <f t="shared" si="21"/>
        <v>558.65129444400509</v>
      </c>
      <c r="Y112" s="109">
        <f t="shared" si="21"/>
        <v>618.03850738419908</v>
      </c>
      <c r="Z112" s="104">
        <f t="shared" ref="Z112:Z116" si="25">X112*AC112</f>
        <v>0</v>
      </c>
      <c r="AA112" s="106">
        <v>0</v>
      </c>
      <c r="AB112" s="109">
        <f t="shared" ref="AB112:AB116" si="26">Y112*X112</f>
        <v>345268.01216642361</v>
      </c>
      <c r="AC112" s="109">
        <v>0</v>
      </c>
      <c r="AD112" s="87">
        <f t="shared" ref="AD112:AD116" si="27">X112*AA112</f>
        <v>0</v>
      </c>
    </row>
    <row r="113" spans="8:30" ht="14.5">
      <c r="H113" s="26"/>
      <c r="I113" s="33" t="s">
        <v>164</v>
      </c>
      <c r="J113" s="33"/>
      <c r="K113" s="36"/>
      <c r="L113" s="106">
        <f t="shared" si="20"/>
        <v>1476.4888072545855</v>
      </c>
      <c r="M113" s="109">
        <f t="shared" si="20"/>
        <v>585.1048231736728</v>
      </c>
      <c r="N113" s="104">
        <f t="shared" si="22"/>
        <v>0</v>
      </c>
      <c r="O113" s="106">
        <f>0.5*(WingLayout!C63*12)</f>
        <v>96</v>
      </c>
      <c r="P113" s="109">
        <f t="shared" si="23"/>
        <v>863900.72248660133</v>
      </c>
      <c r="Q113" s="109">
        <v>0</v>
      </c>
      <c r="R113" s="87">
        <f t="shared" si="24"/>
        <v>141742.92549644021</v>
      </c>
      <c r="T113" s="26"/>
      <c r="U113" s="33" t="s">
        <v>164</v>
      </c>
      <c r="V113" s="33"/>
      <c r="W113" s="36"/>
      <c r="X113" s="106">
        <f t="shared" si="21"/>
        <v>1476.4888072545855</v>
      </c>
      <c r="Y113" s="109">
        <f t="shared" si="21"/>
        <v>585.1048231736728</v>
      </c>
      <c r="Z113" s="104">
        <f t="shared" si="25"/>
        <v>0</v>
      </c>
      <c r="AA113" s="106">
        <f>0.5*(WingLayout!C63*12)</f>
        <v>96</v>
      </c>
      <c r="AB113" s="109">
        <f t="shared" si="26"/>
        <v>863900.72248660133</v>
      </c>
      <c r="AC113" s="109">
        <v>0</v>
      </c>
      <c r="AD113" s="87">
        <f t="shared" si="27"/>
        <v>141742.92549644021</v>
      </c>
    </row>
    <row r="114" spans="8:30" ht="14.5">
      <c r="H114" s="26"/>
      <c r="I114" s="33" t="s">
        <v>168</v>
      </c>
      <c r="J114" s="33"/>
      <c r="K114" s="36"/>
      <c r="L114" s="106">
        <f t="shared" si="20"/>
        <v>3428.1240401576438</v>
      </c>
      <c r="M114" s="112">
        <f t="shared" si="20"/>
        <v>276.5292676181171</v>
      </c>
      <c r="N114" s="104">
        <f t="shared" si="22"/>
        <v>0</v>
      </c>
      <c r="O114" s="106">
        <v>0</v>
      </c>
      <c r="P114" s="109">
        <f t="shared" si="23"/>
        <v>947976.63012885395</v>
      </c>
      <c r="Q114" s="109">
        <v>0</v>
      </c>
      <c r="R114" s="87">
        <f t="shared" si="24"/>
        <v>0</v>
      </c>
      <c r="T114" s="26"/>
      <c r="U114" s="33" t="s">
        <v>168</v>
      </c>
      <c r="V114" s="33"/>
      <c r="W114" s="36"/>
      <c r="X114" s="106">
        <f t="shared" si="21"/>
        <v>3428.1240401576438</v>
      </c>
      <c r="Y114" s="112">
        <f t="shared" si="21"/>
        <v>276.5292676181171</v>
      </c>
      <c r="Z114" s="104">
        <f t="shared" si="25"/>
        <v>0</v>
      </c>
      <c r="AA114" s="106">
        <v>0</v>
      </c>
      <c r="AB114" s="109">
        <f t="shared" si="26"/>
        <v>947976.63012885395</v>
      </c>
      <c r="AC114" s="109">
        <v>0</v>
      </c>
      <c r="AD114" s="87">
        <f t="shared" si="27"/>
        <v>0</v>
      </c>
    </row>
    <row r="115" spans="8:30" ht="14.5">
      <c r="H115" s="26"/>
      <c r="I115" s="33" t="s">
        <v>188</v>
      </c>
      <c r="J115" s="33"/>
      <c r="K115" s="36"/>
      <c r="L115" s="106">
        <f>F54*0.25</f>
        <v>4569.0446273813595</v>
      </c>
      <c r="M115" s="109">
        <f>M94</f>
        <v>409.2285268773764</v>
      </c>
      <c r="N115" s="104">
        <f t="shared" si="22"/>
        <v>0</v>
      </c>
      <c r="O115" s="103">
        <v>0</v>
      </c>
      <c r="P115" s="109">
        <f t="shared" si="23"/>
        <v>1869783.402100265</v>
      </c>
      <c r="Q115" s="109">
        <v>0</v>
      </c>
      <c r="R115" s="87">
        <f t="shared" si="24"/>
        <v>0</v>
      </c>
      <c r="T115" s="26"/>
      <c r="U115" s="33" t="s">
        <v>189</v>
      </c>
      <c r="V115" s="33"/>
      <c r="W115" s="36"/>
      <c r="X115" s="106">
        <f>F68*0.25</f>
        <v>4826.8971559312049</v>
      </c>
      <c r="Y115" s="109">
        <f>Y94</f>
        <v>409.2285268773764</v>
      </c>
      <c r="Z115" s="104">
        <f t="shared" si="25"/>
        <v>0</v>
      </c>
      <c r="AA115" s="103">
        <v>0</v>
      </c>
      <c r="AB115" s="109">
        <f t="shared" si="26"/>
        <v>1975304.0125103248</v>
      </c>
      <c r="AC115" s="109">
        <v>0</v>
      </c>
      <c r="AD115" s="87">
        <f t="shared" si="27"/>
        <v>0</v>
      </c>
    </row>
    <row r="116" spans="8:30" ht="14.5">
      <c r="H116" s="15"/>
      <c r="I116" s="47" t="s">
        <v>190</v>
      </c>
      <c r="J116" s="47"/>
      <c r="K116" s="47"/>
      <c r="L116" s="107">
        <f>F57*0.25</f>
        <v>1900</v>
      </c>
      <c r="M116" s="107">
        <f>M95</f>
        <v>402.90951453169737</v>
      </c>
      <c r="N116" s="104">
        <f t="shared" si="22"/>
        <v>0</v>
      </c>
      <c r="O116" s="110">
        <v>0</v>
      </c>
      <c r="P116" s="109">
        <f t="shared" si="23"/>
        <v>765528.07761022495</v>
      </c>
      <c r="Q116" s="109">
        <v>0</v>
      </c>
      <c r="R116" s="87">
        <f t="shared" si="24"/>
        <v>0</v>
      </c>
      <c r="T116" s="15"/>
      <c r="U116" s="47" t="s">
        <v>190</v>
      </c>
      <c r="V116" s="47"/>
      <c r="W116" s="47"/>
      <c r="X116" s="107">
        <f>F71*0.25</f>
        <v>1375</v>
      </c>
      <c r="Y116" s="107">
        <f>Y95</f>
        <v>402.90951453169737</v>
      </c>
      <c r="Z116" s="104">
        <f t="shared" si="25"/>
        <v>0</v>
      </c>
      <c r="AA116" s="110">
        <v>0</v>
      </c>
      <c r="AB116" s="109">
        <f t="shared" si="26"/>
        <v>554000.58248108393</v>
      </c>
      <c r="AC116" s="109">
        <v>0</v>
      </c>
      <c r="AD116" s="87">
        <f t="shared" si="27"/>
        <v>0</v>
      </c>
    </row>
    <row r="118" spans="8:30" ht="14.5">
      <c r="K118" s="15" t="s">
        <v>175</v>
      </c>
      <c r="L118" s="47">
        <f>SUM(L111:L116)</f>
        <v>17132.6008526441</v>
      </c>
      <c r="M118" s="42"/>
      <c r="N118" s="47"/>
      <c r="O118" s="43"/>
      <c r="P118" s="47">
        <f>SUM(P111:P116)</f>
        <v>6920564.7131168973</v>
      </c>
      <c r="Q118" s="42">
        <f>SUM(Q111:Q116)</f>
        <v>0</v>
      </c>
      <c r="R118" s="15">
        <f>SUM(R111:R116)</f>
        <v>141742.92549644021</v>
      </c>
      <c r="W118" s="15" t="s">
        <v>175</v>
      </c>
      <c r="X118" s="47">
        <f>SUM(X111:X116)</f>
        <v>16865.453381193947</v>
      </c>
      <c r="Y118" s="42"/>
      <c r="Z118" s="47"/>
      <c r="AA118" s="43"/>
      <c r="AB118" s="47">
        <f>SUM(AB111:AB116)</f>
        <v>6814557.828397816</v>
      </c>
      <c r="AC118" s="42">
        <f>SUM(AC111:AC116)</f>
        <v>0</v>
      </c>
      <c r="AD118" s="15">
        <f>SUM(AD111:AD116)</f>
        <v>141742.92549644021</v>
      </c>
    </row>
    <row r="122" spans="8:30" ht="14.5">
      <c r="M122" s="42" t="s">
        <v>176</v>
      </c>
      <c r="N122" s="42" t="s">
        <v>177</v>
      </c>
      <c r="O122" s="15" t="s">
        <v>178</v>
      </c>
      <c r="Y122" s="42" t="s">
        <v>176</v>
      </c>
      <c r="Z122" s="42" t="s">
        <v>177</v>
      </c>
      <c r="AA122" s="15" t="s">
        <v>178</v>
      </c>
    </row>
    <row r="123" spans="8:30" ht="14.5">
      <c r="L123" s="42" t="s">
        <v>91</v>
      </c>
      <c r="M123" s="32">
        <f>P118/L118</f>
        <v>403.94127970645133</v>
      </c>
      <c r="N123" s="42">
        <f>Q118/L118</f>
        <v>0</v>
      </c>
      <c r="O123" s="48">
        <f>R118/L118</f>
        <v>8.2732870925761866</v>
      </c>
      <c r="X123" s="42" t="s">
        <v>91</v>
      </c>
      <c r="Y123" s="32">
        <f>AB118/X118</f>
        <v>404.0542328969633</v>
      </c>
      <c r="Z123" s="42">
        <f>AC118/X118</f>
        <v>0</v>
      </c>
      <c r="AA123" s="48">
        <f>AD118/X118</f>
        <v>8.404335317453878</v>
      </c>
    </row>
    <row r="124" spans="8:30" ht="14.5">
      <c r="L124" s="49" t="s">
        <v>148</v>
      </c>
      <c r="M124" s="15">
        <f>100*((M123-WingLayout!F14)/WingLayout!F11)</f>
        <v>35.816397498779594</v>
      </c>
      <c r="X124" s="49" t="s">
        <v>148</v>
      </c>
      <c r="Y124" s="15">
        <f xml:space="preserve"> 100*((Y123-WingLayout!F14)/WingLayout!F11)</f>
        <v>35.905773167264563</v>
      </c>
    </row>
    <row r="127" spans="8:30" ht="14.5">
      <c r="M127" s="1" t="s">
        <v>191</v>
      </c>
      <c r="Y127" s="1" t="s">
        <v>191</v>
      </c>
    </row>
    <row r="129" spans="8:30" ht="14.5">
      <c r="H129" s="26"/>
      <c r="I129" s="33"/>
      <c r="J129" s="33"/>
      <c r="K129" s="33"/>
      <c r="L129" s="15" t="s">
        <v>140</v>
      </c>
      <c r="M129" s="33"/>
      <c r="N129" s="33" t="s">
        <v>142</v>
      </c>
      <c r="O129" s="33"/>
      <c r="P129" s="32"/>
      <c r="Q129" s="33" t="s">
        <v>143</v>
      </c>
      <c r="R129" s="36"/>
      <c r="T129" s="26"/>
      <c r="U129" s="33"/>
      <c r="V129" s="33"/>
      <c r="W129" s="33"/>
      <c r="X129" s="15" t="s">
        <v>140</v>
      </c>
      <c r="Y129" s="33"/>
      <c r="Z129" s="33" t="s">
        <v>142</v>
      </c>
      <c r="AA129" s="33"/>
      <c r="AB129" s="32"/>
      <c r="AC129" s="33" t="s">
        <v>143</v>
      </c>
      <c r="AD129" s="36"/>
    </row>
    <row r="130" spans="8:30" ht="14.5">
      <c r="H130" s="60" t="s">
        <v>2</v>
      </c>
      <c r="I130" s="57"/>
      <c r="J130" s="57" t="s">
        <v>151</v>
      </c>
      <c r="K130" s="50"/>
      <c r="L130" s="57" t="s">
        <v>152</v>
      </c>
      <c r="M130" s="42" t="s">
        <v>153</v>
      </c>
      <c r="N130" s="32" t="s">
        <v>154</v>
      </c>
      <c r="O130" s="42" t="s">
        <v>155</v>
      </c>
      <c r="P130" s="32" t="s">
        <v>153</v>
      </c>
      <c r="Q130" s="32" t="s">
        <v>154</v>
      </c>
      <c r="R130" s="26" t="s">
        <v>155</v>
      </c>
      <c r="T130" s="60" t="s">
        <v>2</v>
      </c>
      <c r="U130" s="57"/>
      <c r="V130" s="57" t="s">
        <v>151</v>
      </c>
      <c r="W130" s="50"/>
      <c r="X130" s="57" t="s">
        <v>152</v>
      </c>
      <c r="Y130" s="42" t="s">
        <v>153</v>
      </c>
      <c r="Z130" s="32" t="s">
        <v>154</v>
      </c>
      <c r="AA130" s="42" t="s">
        <v>155</v>
      </c>
      <c r="AB130" s="32" t="s">
        <v>153</v>
      </c>
      <c r="AC130" s="32" t="s">
        <v>154</v>
      </c>
      <c r="AD130" s="26" t="s">
        <v>155</v>
      </c>
    </row>
    <row r="131" spans="8:30" ht="14.5">
      <c r="H131" s="26"/>
      <c r="I131" t="s">
        <v>159</v>
      </c>
      <c r="K131" s="91"/>
      <c r="L131" s="105">
        <f t="shared" ref="L131:M134" si="28">L111</f>
        <v>5200.2920834065089</v>
      </c>
      <c r="M131" s="108">
        <f t="shared" si="28"/>
        <v>409.2285268773764</v>
      </c>
      <c r="N131" s="104">
        <f>L131*Q131</f>
        <v>0</v>
      </c>
      <c r="O131" s="105">
        <v>0</v>
      </c>
      <c r="P131" s="109">
        <f>M131*L131</f>
        <v>2128107.8686245284</v>
      </c>
      <c r="Q131" s="109">
        <v>0</v>
      </c>
      <c r="R131" s="87">
        <f>L131*O131</f>
        <v>0</v>
      </c>
      <c r="T131" s="26"/>
      <c r="U131" t="s">
        <v>159</v>
      </c>
      <c r="W131" s="91"/>
      <c r="X131" s="105">
        <f t="shared" ref="X131:Y134" si="29">X111</f>
        <v>5200.2920834065089</v>
      </c>
      <c r="Y131" s="108">
        <f t="shared" si="29"/>
        <v>409.2285268773764</v>
      </c>
      <c r="Z131" s="104">
        <f>X131*AC131</f>
        <v>0</v>
      </c>
      <c r="AA131" s="105">
        <v>0</v>
      </c>
      <c r="AB131" s="109">
        <f>Y131*X131</f>
        <v>2128107.8686245284</v>
      </c>
      <c r="AC131" s="109">
        <v>0</v>
      </c>
      <c r="AD131" s="87">
        <f>X131*AA131</f>
        <v>0</v>
      </c>
    </row>
    <row r="132" spans="8:30" ht="14.5">
      <c r="H132" s="26"/>
      <c r="I132" s="33" t="s">
        <v>162</v>
      </c>
      <c r="J132" s="33"/>
      <c r="K132" s="36"/>
      <c r="L132" s="106">
        <f t="shared" si="28"/>
        <v>558.65129444400509</v>
      </c>
      <c r="M132" s="109">
        <f t="shared" si="28"/>
        <v>618.03850738419908</v>
      </c>
      <c r="N132" s="104">
        <f t="shared" ref="N132:N136" si="30">L132*Q132</f>
        <v>0</v>
      </c>
      <c r="O132" s="106">
        <v>0</v>
      </c>
      <c r="P132" s="109">
        <f t="shared" ref="P132:P136" si="31">M132*L132</f>
        <v>345268.01216642361</v>
      </c>
      <c r="Q132" s="109">
        <v>0</v>
      </c>
      <c r="R132" s="87">
        <f t="shared" ref="R132:R136" si="32">L132*O132</f>
        <v>0</v>
      </c>
      <c r="T132" s="26"/>
      <c r="U132" s="33" t="s">
        <v>162</v>
      </c>
      <c r="V132" s="33"/>
      <c r="W132" s="36"/>
      <c r="X132" s="106">
        <f t="shared" si="29"/>
        <v>558.65129444400509</v>
      </c>
      <c r="Y132" s="109">
        <f t="shared" si="29"/>
        <v>618.03850738419908</v>
      </c>
      <c r="Z132" s="104">
        <f t="shared" ref="Z132:Z136" si="33">X132*AC132</f>
        <v>0</v>
      </c>
      <c r="AA132" s="106">
        <v>0</v>
      </c>
      <c r="AB132" s="109">
        <f t="shared" ref="AB132:AB136" si="34">Y132*X132</f>
        <v>345268.01216642361</v>
      </c>
      <c r="AC132" s="109">
        <v>0</v>
      </c>
      <c r="AD132" s="87">
        <f t="shared" ref="AD132:AD136" si="35">X132*AA132</f>
        <v>0</v>
      </c>
    </row>
    <row r="133" spans="8:30" ht="14.5">
      <c r="H133" s="26"/>
      <c r="I133" s="33" t="s">
        <v>164</v>
      </c>
      <c r="J133" s="33"/>
      <c r="K133" s="36"/>
      <c r="L133" s="106">
        <f t="shared" si="28"/>
        <v>1476.4888072545855</v>
      </c>
      <c r="M133" s="109">
        <f t="shared" si="28"/>
        <v>585.1048231736728</v>
      </c>
      <c r="N133" s="104">
        <f t="shared" si="30"/>
        <v>0</v>
      </c>
      <c r="O133" s="106">
        <f>0.5*(WingLayout!C63*12)</f>
        <v>96</v>
      </c>
      <c r="P133" s="109">
        <f t="shared" si="31"/>
        <v>863900.72248660133</v>
      </c>
      <c r="Q133" s="109">
        <v>0</v>
      </c>
      <c r="R133" s="87">
        <f t="shared" si="32"/>
        <v>141742.92549644021</v>
      </c>
      <c r="T133" s="26"/>
      <c r="U133" s="33" t="s">
        <v>164</v>
      </c>
      <c r="V133" s="33"/>
      <c r="W133" s="36"/>
      <c r="X133" s="106">
        <f t="shared" si="29"/>
        <v>1476.4888072545855</v>
      </c>
      <c r="Y133" s="109">
        <f t="shared" si="29"/>
        <v>585.1048231736728</v>
      </c>
      <c r="Z133" s="104">
        <f t="shared" si="33"/>
        <v>0</v>
      </c>
      <c r="AA133" s="106">
        <f>0.5*(WingLayout!C63*12)</f>
        <v>96</v>
      </c>
      <c r="AB133" s="109">
        <f t="shared" si="34"/>
        <v>863900.72248660133</v>
      </c>
      <c r="AC133" s="109">
        <v>0</v>
      </c>
      <c r="AD133" s="87">
        <f t="shared" si="35"/>
        <v>141742.92549644021</v>
      </c>
    </row>
    <row r="134" spans="8:30" ht="14.5">
      <c r="H134" s="26"/>
      <c r="I134" s="33" t="s">
        <v>168</v>
      </c>
      <c r="J134" s="33"/>
      <c r="K134" s="36"/>
      <c r="L134" s="106">
        <f t="shared" si="28"/>
        <v>3428.1240401576438</v>
      </c>
      <c r="M134" s="112">
        <f t="shared" si="28"/>
        <v>276.5292676181171</v>
      </c>
      <c r="N134" s="104">
        <f t="shared" si="30"/>
        <v>0</v>
      </c>
      <c r="O134" s="106">
        <v>0</v>
      </c>
      <c r="P134" s="109">
        <f t="shared" si="31"/>
        <v>947976.63012885395</v>
      </c>
      <c r="Q134" s="109">
        <v>0</v>
      </c>
      <c r="R134" s="87">
        <f t="shared" si="32"/>
        <v>0</v>
      </c>
      <c r="T134" s="26"/>
      <c r="U134" s="33" t="s">
        <v>168</v>
      </c>
      <c r="V134" s="33"/>
      <c r="W134" s="36"/>
      <c r="X134" s="106">
        <f t="shared" si="29"/>
        <v>3428.1240401576438</v>
      </c>
      <c r="Y134" s="112">
        <f t="shared" si="29"/>
        <v>276.5292676181171</v>
      </c>
      <c r="Z134" s="104">
        <f t="shared" si="33"/>
        <v>0</v>
      </c>
      <c r="AA134" s="106">
        <v>0</v>
      </c>
      <c r="AB134" s="109">
        <f t="shared" si="34"/>
        <v>947976.63012885395</v>
      </c>
      <c r="AC134" s="109">
        <v>0</v>
      </c>
      <c r="AD134" s="87">
        <f t="shared" si="35"/>
        <v>0</v>
      </c>
    </row>
    <row r="135" spans="8:30" ht="14.5">
      <c r="H135" s="26"/>
      <c r="I135" s="33" t="s">
        <v>188</v>
      </c>
      <c r="J135" s="33"/>
      <c r="K135" s="36"/>
      <c r="L135" s="106">
        <f>F54*0.25</f>
        <v>4569.0446273813595</v>
      </c>
      <c r="M135" s="109">
        <f>M115</f>
        <v>409.2285268773764</v>
      </c>
      <c r="N135" s="104">
        <f t="shared" si="30"/>
        <v>0</v>
      </c>
      <c r="O135" s="103">
        <v>0</v>
      </c>
      <c r="P135" s="109">
        <f t="shared" si="31"/>
        <v>1869783.402100265</v>
      </c>
      <c r="Q135" s="109">
        <v>0</v>
      </c>
      <c r="R135" s="87">
        <f t="shared" si="32"/>
        <v>0</v>
      </c>
      <c r="T135" s="26"/>
      <c r="U135" s="33" t="s">
        <v>189</v>
      </c>
      <c r="V135" s="33"/>
      <c r="W135" s="36"/>
      <c r="X135" s="106">
        <f>F68*0.25</f>
        <v>4826.8971559312049</v>
      </c>
      <c r="Y135" s="109">
        <f>Y115</f>
        <v>409.2285268773764</v>
      </c>
      <c r="Z135" s="104">
        <f t="shared" si="33"/>
        <v>0</v>
      </c>
      <c r="AA135" s="103">
        <v>0</v>
      </c>
      <c r="AB135" s="109">
        <f t="shared" si="34"/>
        <v>1975304.0125103248</v>
      </c>
      <c r="AC135" s="109">
        <v>0</v>
      </c>
      <c r="AD135" s="87">
        <f t="shared" si="35"/>
        <v>0</v>
      </c>
    </row>
    <row r="136" spans="8:30" ht="14.5">
      <c r="H136" s="15"/>
      <c r="I136" s="47" t="s">
        <v>173</v>
      </c>
      <c r="J136" s="47"/>
      <c r="K136" s="47"/>
      <c r="L136" s="107">
        <v>0</v>
      </c>
      <c r="M136" s="107">
        <f>M116</f>
        <v>402.90951453169737</v>
      </c>
      <c r="N136" s="104">
        <f t="shared" si="30"/>
        <v>0</v>
      </c>
      <c r="O136" s="110">
        <v>0</v>
      </c>
      <c r="P136" s="109">
        <f t="shared" si="31"/>
        <v>0</v>
      </c>
      <c r="Q136" s="109">
        <v>0</v>
      </c>
      <c r="R136" s="87">
        <f t="shared" si="32"/>
        <v>0</v>
      </c>
      <c r="T136" s="15"/>
      <c r="U136" s="47" t="s">
        <v>173</v>
      </c>
      <c r="V136" s="47"/>
      <c r="W136" s="47"/>
      <c r="X136" s="107">
        <v>0</v>
      </c>
      <c r="Y136" s="107">
        <f>Y116</f>
        <v>402.90951453169737</v>
      </c>
      <c r="Z136" s="104">
        <f t="shared" si="33"/>
        <v>0</v>
      </c>
      <c r="AA136" s="110">
        <v>0</v>
      </c>
      <c r="AB136" s="109">
        <f t="shared" si="34"/>
        <v>0</v>
      </c>
      <c r="AC136" s="109">
        <v>0</v>
      </c>
      <c r="AD136" s="87">
        <f t="shared" si="35"/>
        <v>0</v>
      </c>
    </row>
    <row r="138" spans="8:30" ht="14.5">
      <c r="K138" s="15" t="s">
        <v>175</v>
      </c>
      <c r="L138" s="47">
        <f>SUM(L131:L136)</f>
        <v>15232.600852644102</v>
      </c>
      <c r="M138" s="42"/>
      <c r="N138" s="47"/>
      <c r="O138" s="43"/>
      <c r="P138" s="47">
        <f>SUM(P131:P136)</f>
        <v>6155036.6355066728</v>
      </c>
      <c r="Q138" s="42">
        <f>SUM(Q131:Q136)</f>
        <v>0</v>
      </c>
      <c r="R138" s="15">
        <f>SUM(R131:R136)</f>
        <v>141742.92549644021</v>
      </c>
      <c r="W138" s="15" t="s">
        <v>175</v>
      </c>
      <c r="X138" s="47">
        <f>SUM(X131:X136)</f>
        <v>15490.453381193947</v>
      </c>
      <c r="Y138" s="42"/>
      <c r="Z138" s="47"/>
      <c r="AA138" s="43"/>
      <c r="AB138" s="47">
        <f>SUM(AB131:AB136)</f>
        <v>6260557.2459167326</v>
      </c>
      <c r="AC138" s="42">
        <f>SUM(AC131:AC136)</f>
        <v>0</v>
      </c>
      <c r="AD138" s="15">
        <f>SUM(AD131:AD136)</f>
        <v>141742.92549644021</v>
      </c>
    </row>
    <row r="142" spans="8:30" ht="14.5">
      <c r="M142" s="42" t="s">
        <v>176</v>
      </c>
      <c r="N142" s="42" t="s">
        <v>177</v>
      </c>
      <c r="O142" s="15" t="s">
        <v>178</v>
      </c>
      <c r="Y142" s="42" t="s">
        <v>176</v>
      </c>
      <c r="Z142" s="42" t="s">
        <v>177</v>
      </c>
      <c r="AA142" s="15" t="s">
        <v>178</v>
      </c>
    </row>
    <row r="143" spans="8:30" ht="14.5">
      <c r="L143" s="42" t="s">
        <v>91</v>
      </c>
      <c r="M143" s="32">
        <f>P138/L138</f>
        <v>404.06997432997599</v>
      </c>
      <c r="N143" s="42">
        <f>Q138/L138</f>
        <v>0</v>
      </c>
      <c r="O143" s="48">
        <f>R138/L138</f>
        <v>9.3052346652827982</v>
      </c>
      <c r="X143" s="42" t="s">
        <v>91</v>
      </c>
      <c r="Y143" s="32">
        <f>AB138/X138</f>
        <v>404.15584307669837</v>
      </c>
      <c r="Z143" s="42">
        <f>AC138/X138</f>
        <v>0</v>
      </c>
      <c r="AA143" s="48">
        <f>AD138/X138</f>
        <v>9.1503406652075139</v>
      </c>
    </row>
    <row r="144" spans="8:30" ht="14.5">
      <c r="L144" s="49" t="s">
        <v>148</v>
      </c>
      <c r="M144" s="15">
        <f>100*((M143-WingLayout!F14)/WingLayout!F11)</f>
        <v>35.918228779116198</v>
      </c>
      <c r="X144" s="49" t="s">
        <v>148</v>
      </c>
      <c r="Y144" s="15">
        <f xml:space="preserve"> 100*((Y143-WingLayout!F14)/WingLayout!F11)</f>
        <v>35.986173532208113</v>
      </c>
    </row>
    <row r="148" spans="8:30" ht="14.5">
      <c r="M148" s="1" t="s">
        <v>192</v>
      </c>
      <c r="Y148" s="1" t="s">
        <v>192</v>
      </c>
    </row>
    <row r="150" spans="8:30" ht="14.5">
      <c r="H150" s="26"/>
      <c r="I150" s="33"/>
      <c r="J150" s="33"/>
      <c r="K150" s="33"/>
      <c r="L150" s="15" t="s">
        <v>140</v>
      </c>
      <c r="M150" s="33"/>
      <c r="N150" s="33" t="s">
        <v>142</v>
      </c>
      <c r="O150" s="33"/>
      <c r="P150" s="32"/>
      <c r="Q150" s="33" t="s">
        <v>143</v>
      </c>
      <c r="R150" s="36"/>
      <c r="T150" s="26"/>
      <c r="U150" s="33"/>
      <c r="V150" s="33"/>
      <c r="W150" s="33"/>
      <c r="X150" s="15" t="s">
        <v>140</v>
      </c>
      <c r="Y150" s="33"/>
      <c r="Z150" s="33" t="s">
        <v>142</v>
      </c>
      <c r="AA150" s="33"/>
      <c r="AB150" s="32"/>
      <c r="AC150" s="33" t="s">
        <v>143</v>
      </c>
      <c r="AD150" s="36"/>
    </row>
    <row r="151" spans="8:30" ht="14.5">
      <c r="H151" s="60" t="s">
        <v>2</v>
      </c>
      <c r="I151" s="57"/>
      <c r="J151" s="57" t="s">
        <v>151</v>
      </c>
      <c r="K151" s="50"/>
      <c r="L151" s="57" t="s">
        <v>152</v>
      </c>
      <c r="M151" s="42" t="s">
        <v>153</v>
      </c>
      <c r="N151" s="32" t="s">
        <v>154</v>
      </c>
      <c r="O151" s="42" t="s">
        <v>155</v>
      </c>
      <c r="P151" s="32" t="s">
        <v>153</v>
      </c>
      <c r="Q151" s="32" t="s">
        <v>154</v>
      </c>
      <c r="R151" s="26" t="s">
        <v>155</v>
      </c>
      <c r="T151" s="60" t="s">
        <v>2</v>
      </c>
      <c r="U151" s="57"/>
      <c r="V151" s="57" t="s">
        <v>151</v>
      </c>
      <c r="W151" s="50"/>
      <c r="X151" s="57" t="s">
        <v>152</v>
      </c>
      <c r="Y151" s="42" t="s">
        <v>153</v>
      </c>
      <c r="Z151" s="32" t="s">
        <v>154</v>
      </c>
      <c r="AA151" s="42" t="s">
        <v>155</v>
      </c>
      <c r="AB151" s="32" t="s">
        <v>153</v>
      </c>
      <c r="AC151" s="32" t="s">
        <v>154</v>
      </c>
      <c r="AD151" s="26" t="s">
        <v>155</v>
      </c>
    </row>
    <row r="152" spans="8:30" ht="14.5">
      <c r="H152" s="26"/>
      <c r="I152" t="s">
        <v>159</v>
      </c>
      <c r="K152" s="91"/>
      <c r="L152" s="105">
        <f t="shared" ref="L152:M155" si="36">L131</f>
        <v>5200.2920834065089</v>
      </c>
      <c r="M152" s="108">
        <f t="shared" si="36"/>
        <v>409.2285268773764</v>
      </c>
      <c r="N152" s="104">
        <f>L152*Q152</f>
        <v>0</v>
      </c>
      <c r="O152" s="105">
        <v>0</v>
      </c>
      <c r="P152" s="109">
        <f>M152*L152</f>
        <v>2128107.8686245284</v>
      </c>
      <c r="Q152" s="109">
        <v>0</v>
      </c>
      <c r="R152" s="87">
        <f>L152*O152</f>
        <v>0</v>
      </c>
      <c r="T152" s="26"/>
      <c r="U152" t="s">
        <v>159</v>
      </c>
      <c r="W152" s="91"/>
      <c r="X152" s="105">
        <f t="shared" ref="X152:Y155" si="37">X131</f>
        <v>5200.2920834065089</v>
      </c>
      <c r="Y152" s="108">
        <f t="shared" si="37"/>
        <v>409.2285268773764</v>
      </c>
      <c r="Z152" s="104">
        <f>X152*AC152</f>
        <v>0</v>
      </c>
      <c r="AA152" s="105">
        <v>0</v>
      </c>
      <c r="AB152" s="109">
        <f>Y152*X152</f>
        <v>2128107.8686245284</v>
      </c>
      <c r="AC152" s="109">
        <v>0</v>
      </c>
      <c r="AD152" s="87">
        <f>X152*AA152</f>
        <v>0</v>
      </c>
    </row>
    <row r="153" spans="8:30" ht="14.5">
      <c r="H153" s="26"/>
      <c r="I153" s="33" t="s">
        <v>162</v>
      </c>
      <c r="J153" s="33"/>
      <c r="K153" s="36"/>
      <c r="L153" s="106">
        <f t="shared" si="36"/>
        <v>558.65129444400509</v>
      </c>
      <c r="M153" s="109">
        <f t="shared" si="36"/>
        <v>618.03850738419908</v>
      </c>
      <c r="N153" s="104">
        <f t="shared" ref="N153:N157" si="38">L153*Q153</f>
        <v>0</v>
      </c>
      <c r="O153" s="106">
        <v>0</v>
      </c>
      <c r="P153" s="109">
        <f t="shared" ref="P153:P157" si="39">M153*L153</f>
        <v>345268.01216642361</v>
      </c>
      <c r="Q153" s="109">
        <v>0</v>
      </c>
      <c r="R153" s="87">
        <f t="shared" ref="R153:R157" si="40">L153*O153</f>
        <v>0</v>
      </c>
      <c r="T153" s="26"/>
      <c r="U153" s="33" t="s">
        <v>162</v>
      </c>
      <c r="V153" s="33"/>
      <c r="W153" s="36"/>
      <c r="X153" s="106">
        <f t="shared" si="37"/>
        <v>558.65129444400509</v>
      </c>
      <c r="Y153" s="109">
        <f t="shared" si="37"/>
        <v>618.03850738419908</v>
      </c>
      <c r="Z153" s="104">
        <f t="shared" ref="Z153:Z157" si="41">X153*AC153</f>
        <v>0</v>
      </c>
      <c r="AA153" s="106">
        <v>0</v>
      </c>
      <c r="AB153" s="109">
        <f t="shared" ref="AB153:AB157" si="42">Y153*X153</f>
        <v>345268.01216642361</v>
      </c>
      <c r="AC153" s="109">
        <v>0</v>
      </c>
      <c r="AD153" s="87">
        <f t="shared" ref="AD153:AD157" si="43">X153*AA153</f>
        <v>0</v>
      </c>
    </row>
    <row r="154" spans="8:30" ht="14.5">
      <c r="H154" s="26"/>
      <c r="I154" s="33" t="s">
        <v>164</v>
      </c>
      <c r="J154" s="33"/>
      <c r="K154" s="36"/>
      <c r="L154" s="106">
        <f t="shared" si="36"/>
        <v>1476.4888072545855</v>
      </c>
      <c r="M154" s="109">
        <f t="shared" si="36"/>
        <v>585.1048231736728</v>
      </c>
      <c r="N154" s="104">
        <f t="shared" si="38"/>
        <v>0</v>
      </c>
      <c r="O154" s="106">
        <f>0.5*(WingLayout!C63*12)</f>
        <v>96</v>
      </c>
      <c r="P154" s="109">
        <f t="shared" si="39"/>
        <v>863900.72248660133</v>
      </c>
      <c r="Q154" s="109">
        <v>0</v>
      </c>
      <c r="R154" s="87">
        <f t="shared" si="40"/>
        <v>141742.92549644021</v>
      </c>
      <c r="T154" s="26"/>
      <c r="U154" s="33" t="s">
        <v>164</v>
      </c>
      <c r="V154" s="33"/>
      <c r="W154" s="36"/>
      <c r="X154" s="106">
        <f t="shared" si="37"/>
        <v>1476.4888072545855</v>
      </c>
      <c r="Y154" s="109">
        <f t="shared" si="37"/>
        <v>585.1048231736728</v>
      </c>
      <c r="Z154" s="104">
        <f t="shared" si="41"/>
        <v>0</v>
      </c>
      <c r="AA154" s="106">
        <f>0.5*(WingLayout!C63*12)</f>
        <v>96</v>
      </c>
      <c r="AB154" s="109">
        <f t="shared" si="42"/>
        <v>863900.72248660133</v>
      </c>
      <c r="AC154" s="109">
        <v>0</v>
      </c>
      <c r="AD154" s="87">
        <f t="shared" si="43"/>
        <v>141742.92549644021</v>
      </c>
    </row>
    <row r="155" spans="8:30" ht="14.5">
      <c r="H155" s="26"/>
      <c r="I155" s="33" t="s">
        <v>168</v>
      </c>
      <c r="J155" s="33"/>
      <c r="K155" s="36"/>
      <c r="L155" s="106">
        <f t="shared" si="36"/>
        <v>3428.1240401576438</v>
      </c>
      <c r="M155" s="112">
        <f t="shared" si="36"/>
        <v>276.5292676181171</v>
      </c>
      <c r="N155" s="104">
        <f t="shared" si="38"/>
        <v>0</v>
      </c>
      <c r="O155" s="106">
        <v>0</v>
      </c>
      <c r="P155" s="109">
        <f t="shared" si="39"/>
        <v>947976.63012885395</v>
      </c>
      <c r="Q155" s="109">
        <v>0</v>
      </c>
      <c r="R155" s="87">
        <f t="shared" si="40"/>
        <v>0</v>
      </c>
      <c r="T155" s="26"/>
      <c r="U155" s="33" t="s">
        <v>168</v>
      </c>
      <c r="V155" s="33"/>
      <c r="W155" s="36"/>
      <c r="X155" s="106">
        <f t="shared" si="37"/>
        <v>3428.1240401576438</v>
      </c>
      <c r="Y155" s="112">
        <f t="shared" si="37"/>
        <v>276.5292676181171</v>
      </c>
      <c r="Z155" s="104">
        <f t="shared" si="41"/>
        <v>0</v>
      </c>
      <c r="AA155" s="106">
        <v>0</v>
      </c>
      <c r="AB155" s="109">
        <f t="shared" si="42"/>
        <v>947976.63012885395</v>
      </c>
      <c r="AC155" s="109">
        <v>0</v>
      </c>
      <c r="AD155" s="87">
        <f t="shared" si="43"/>
        <v>0</v>
      </c>
    </row>
    <row r="156" spans="8:30" ht="14.5">
      <c r="H156" s="26"/>
      <c r="I156" s="33" t="s">
        <v>185</v>
      </c>
      <c r="J156" s="33"/>
      <c r="K156" s="36"/>
      <c r="L156" s="106">
        <f>F54</f>
        <v>18276.178509525438</v>
      </c>
      <c r="M156" s="109">
        <f>M135</f>
        <v>409.2285268773764</v>
      </c>
      <c r="N156" s="104">
        <f t="shared" si="38"/>
        <v>0</v>
      </c>
      <c r="O156" s="103">
        <v>0</v>
      </c>
      <c r="P156" s="109">
        <f t="shared" si="39"/>
        <v>7479133.6084010601</v>
      </c>
      <c r="Q156" s="109">
        <v>0</v>
      </c>
      <c r="R156" s="87">
        <f t="shared" si="40"/>
        <v>0</v>
      </c>
      <c r="T156" s="26"/>
      <c r="U156" s="33" t="s">
        <v>171</v>
      </c>
      <c r="V156" s="33"/>
      <c r="W156" s="36"/>
      <c r="X156" s="106">
        <f>F68</f>
        <v>19307.58862372482</v>
      </c>
      <c r="Y156" s="109">
        <f>Y135</f>
        <v>409.2285268773764</v>
      </c>
      <c r="Z156" s="104">
        <f t="shared" si="41"/>
        <v>0</v>
      </c>
      <c r="AA156" s="103">
        <v>0</v>
      </c>
      <c r="AB156" s="109">
        <f t="shared" si="42"/>
        <v>7901216.0500412993</v>
      </c>
      <c r="AC156" s="109">
        <v>0</v>
      </c>
      <c r="AD156" s="87">
        <f t="shared" si="43"/>
        <v>0</v>
      </c>
    </row>
    <row r="157" spans="8:30" ht="14.5">
      <c r="H157" s="15"/>
      <c r="I157" s="47" t="s">
        <v>182</v>
      </c>
      <c r="J157" s="47"/>
      <c r="K157" s="47"/>
      <c r="L157" s="107">
        <f>F57</f>
        <v>7600</v>
      </c>
      <c r="M157" s="107">
        <f>M136</f>
        <v>402.90951453169737</v>
      </c>
      <c r="N157" s="104">
        <f t="shared" si="38"/>
        <v>0</v>
      </c>
      <c r="O157" s="110">
        <v>0</v>
      </c>
      <c r="P157" s="109">
        <f t="shared" si="39"/>
        <v>3062112.3104408998</v>
      </c>
      <c r="Q157" s="109">
        <v>0</v>
      </c>
      <c r="R157" s="87">
        <f t="shared" si="40"/>
        <v>0</v>
      </c>
      <c r="T157" s="15"/>
      <c r="U157" s="47" t="s">
        <v>183</v>
      </c>
      <c r="V157" s="47"/>
      <c r="W157" s="47"/>
      <c r="X157" s="107">
        <f>F71</f>
        <v>5500</v>
      </c>
      <c r="Y157" s="107">
        <f>Y136</f>
        <v>402.90951453169737</v>
      </c>
      <c r="Z157" s="104">
        <f t="shared" si="41"/>
        <v>0</v>
      </c>
      <c r="AA157" s="110">
        <v>0</v>
      </c>
      <c r="AB157" s="109">
        <f t="shared" si="42"/>
        <v>2216002.3299243357</v>
      </c>
      <c r="AC157" s="109">
        <v>0</v>
      </c>
      <c r="AD157" s="87">
        <f t="shared" si="43"/>
        <v>0</v>
      </c>
    </row>
    <row r="159" spans="8:30" ht="14.5">
      <c r="K159" s="15" t="s">
        <v>175</v>
      </c>
      <c r="L159" s="47">
        <f>SUM(L152:L157)</f>
        <v>36539.734734788181</v>
      </c>
      <c r="M159" s="42"/>
      <c r="N159" s="47"/>
      <c r="O159" s="43"/>
      <c r="P159" s="47">
        <f>SUM(P152:P157)</f>
        <v>14826499.152248368</v>
      </c>
      <c r="Q159" s="42">
        <f>SUM(Q152:Q157)</f>
        <v>0</v>
      </c>
      <c r="R159" s="15">
        <f>SUM(R152:R157)</f>
        <v>141742.92549644021</v>
      </c>
      <c r="W159" s="15" t="s">
        <v>175</v>
      </c>
      <c r="X159" s="47">
        <f>SUM(X152:X157)</f>
        <v>35471.144848987562</v>
      </c>
      <c r="Y159" s="42"/>
      <c r="Z159" s="47"/>
      <c r="AA159" s="43"/>
      <c r="AB159" s="47">
        <f>SUM(AB152:AB157)</f>
        <v>14402471.613372043</v>
      </c>
      <c r="AC159" s="42">
        <f>SUM(AC152:AC157)</f>
        <v>0</v>
      </c>
      <c r="AD159" s="15">
        <f>SUM(AD152:AD157)</f>
        <v>141742.92549644021</v>
      </c>
    </row>
    <row r="163" spans="8:78" ht="14.5">
      <c r="M163" s="42" t="s">
        <v>176</v>
      </c>
      <c r="N163" s="42" t="s">
        <v>177</v>
      </c>
      <c r="O163" s="15" t="s">
        <v>178</v>
      </c>
      <c r="Y163" s="42" t="s">
        <v>176</v>
      </c>
      <c r="Z163" s="42" t="s">
        <v>177</v>
      </c>
      <c r="AA163" s="15" t="s">
        <v>178</v>
      </c>
    </row>
    <row r="164" spans="8:78" ht="14.5">
      <c r="L164" s="42" t="s">
        <v>91</v>
      </c>
      <c r="M164" s="32">
        <f>P159/L159</f>
        <v>405.76373254654709</v>
      </c>
      <c r="N164" s="42">
        <f>Q159/L159</f>
        <v>0</v>
      </c>
      <c r="O164" s="48">
        <f>R159/L159</f>
        <v>3.8791448959669599</v>
      </c>
      <c r="X164" s="42" t="s">
        <v>91</v>
      </c>
      <c r="Y164" s="32">
        <f>AB159/X159</f>
        <v>406.0334583134586</v>
      </c>
      <c r="Z164" s="42">
        <f>AC159/X159</f>
        <v>0</v>
      </c>
      <c r="AA164" s="48">
        <f>AD159/X159</f>
        <v>3.9960065033109839</v>
      </c>
    </row>
    <row r="165" spans="8:78" ht="14.5">
      <c r="L165" s="49" t="s">
        <v>148</v>
      </c>
      <c r="M165" s="15">
        <f>100*((M164-WingLayout!F14)/WingLayout!F11)</f>
        <v>37.258436808405229</v>
      </c>
      <c r="X165" s="49" t="s">
        <v>148</v>
      </c>
      <c r="Y165" s="15">
        <f xml:space="preserve"> 100*((Y164-WingLayout!F14)/WingLayout!F11)</f>
        <v>37.47186079949455</v>
      </c>
    </row>
    <row r="169" spans="8:78" ht="14.5">
      <c r="M169" s="1" t="s">
        <v>123</v>
      </c>
      <c r="Y169" s="1" t="s">
        <v>123</v>
      </c>
    </row>
    <row r="171" spans="8:78" ht="14.5">
      <c r="H171" s="26"/>
      <c r="I171" s="33"/>
      <c r="J171" s="33"/>
      <c r="K171" s="33"/>
      <c r="L171" s="15" t="s">
        <v>140</v>
      </c>
      <c r="M171" s="33"/>
      <c r="N171" s="33" t="s">
        <v>142</v>
      </c>
      <c r="O171" s="33"/>
      <c r="P171" s="32"/>
      <c r="Q171" s="33" t="s">
        <v>143</v>
      </c>
      <c r="R171" s="36"/>
      <c r="T171" s="26"/>
      <c r="U171" s="33"/>
      <c r="V171" s="33"/>
      <c r="W171" s="33"/>
      <c r="X171" s="15" t="s">
        <v>140</v>
      </c>
      <c r="Y171" s="33"/>
      <c r="Z171" s="33" t="s">
        <v>142</v>
      </c>
      <c r="AA171" s="33"/>
      <c r="AB171" s="32"/>
      <c r="AC171" s="33" t="s">
        <v>143</v>
      </c>
      <c r="AD171" s="36"/>
    </row>
    <row r="172" spans="8:78" ht="14.5">
      <c r="H172" s="60" t="s">
        <v>2</v>
      </c>
      <c r="I172" s="57"/>
      <c r="J172" s="57" t="s">
        <v>151</v>
      </c>
      <c r="K172" s="50"/>
      <c r="L172" s="57" t="s">
        <v>152</v>
      </c>
      <c r="M172" s="42" t="s">
        <v>153</v>
      </c>
      <c r="N172" s="32" t="s">
        <v>154</v>
      </c>
      <c r="O172" s="42" t="s">
        <v>155</v>
      </c>
      <c r="P172" s="32" t="s">
        <v>153</v>
      </c>
      <c r="Q172" s="32" t="s">
        <v>154</v>
      </c>
      <c r="R172" s="26" t="s">
        <v>155</v>
      </c>
      <c r="T172" s="60" t="s">
        <v>2</v>
      </c>
      <c r="U172" s="57"/>
      <c r="V172" s="57" t="s">
        <v>151</v>
      </c>
      <c r="W172" s="50"/>
      <c r="X172" s="57" t="s">
        <v>152</v>
      </c>
      <c r="Y172" s="42" t="s">
        <v>153</v>
      </c>
      <c r="Z172" s="32" t="s">
        <v>154</v>
      </c>
      <c r="AA172" s="42" t="s">
        <v>155</v>
      </c>
      <c r="AB172" s="32" t="s">
        <v>153</v>
      </c>
      <c r="AC172" s="32" t="s">
        <v>154</v>
      </c>
      <c r="AD172" s="26" t="s">
        <v>155</v>
      </c>
    </row>
    <row r="173" spans="8:78" ht="14.5">
      <c r="H173" s="26"/>
      <c r="I173" t="s">
        <v>159</v>
      </c>
      <c r="K173" s="91"/>
      <c r="L173" s="105">
        <f t="shared" ref="L173:M176" si="44">L152</f>
        <v>5200.2920834065089</v>
      </c>
      <c r="M173" s="108">
        <f t="shared" si="44"/>
        <v>409.2285268773764</v>
      </c>
      <c r="N173" s="104">
        <f>L173*Q173</f>
        <v>0</v>
      </c>
      <c r="O173" s="105">
        <v>0</v>
      </c>
      <c r="P173" s="109">
        <f>M173*L173</f>
        <v>2128107.8686245284</v>
      </c>
      <c r="Q173" s="109">
        <v>0</v>
      </c>
      <c r="R173" s="87">
        <f>L173*O173</f>
        <v>0</v>
      </c>
      <c r="T173" s="26"/>
      <c r="U173" t="s">
        <v>159</v>
      </c>
      <c r="W173" s="91"/>
      <c r="X173" s="105">
        <f t="shared" ref="X173:Y176" si="45">X152</f>
        <v>5200.2920834065089</v>
      </c>
      <c r="Y173" s="108">
        <f t="shared" si="45"/>
        <v>409.2285268773764</v>
      </c>
      <c r="Z173" s="104">
        <f>X173*AC173</f>
        <v>0</v>
      </c>
      <c r="AA173" s="105">
        <v>0</v>
      </c>
      <c r="AB173" s="109">
        <f>Y173*X173</f>
        <v>2128107.8686245284</v>
      </c>
      <c r="AC173" s="109">
        <v>0</v>
      </c>
      <c r="AD173" s="87">
        <f>X173*AA173</f>
        <v>0</v>
      </c>
      <c r="BT173" t="s">
        <v>193</v>
      </c>
    </row>
    <row r="174" spans="8:78" ht="14.5">
      <c r="H174" s="26"/>
      <c r="I174" s="33" t="s">
        <v>162</v>
      </c>
      <c r="J174" s="33"/>
      <c r="K174" s="36"/>
      <c r="L174" s="106">
        <f t="shared" si="44"/>
        <v>558.65129444400509</v>
      </c>
      <c r="M174" s="109">
        <f t="shared" si="44"/>
        <v>618.03850738419908</v>
      </c>
      <c r="N174" s="104">
        <f t="shared" ref="N174:N178" si="46">L174*Q174</f>
        <v>0</v>
      </c>
      <c r="O174" s="106">
        <v>0</v>
      </c>
      <c r="P174" s="109">
        <f t="shared" ref="P174:P178" si="47">M174*L174</f>
        <v>345268.01216642361</v>
      </c>
      <c r="Q174" s="109">
        <v>0</v>
      </c>
      <c r="R174" s="87">
        <f t="shared" ref="R174:R178" si="48">L174*O174</f>
        <v>0</v>
      </c>
      <c r="T174" s="26"/>
      <c r="U174" s="33" t="s">
        <v>162</v>
      </c>
      <c r="V174" s="33"/>
      <c r="W174" s="36"/>
      <c r="X174" s="106">
        <f t="shared" si="45"/>
        <v>558.65129444400509</v>
      </c>
      <c r="Y174" s="109">
        <f t="shared" si="45"/>
        <v>618.03850738419908</v>
      </c>
      <c r="Z174" s="104">
        <f t="shared" ref="Z174:Z178" si="49">X174*AC174</f>
        <v>0</v>
      </c>
      <c r="AA174" s="106">
        <v>0</v>
      </c>
      <c r="AB174" s="109">
        <f t="shared" ref="AB174:AB178" si="50">Y174*X174</f>
        <v>345268.01216642361</v>
      </c>
      <c r="AC174" s="109">
        <v>0</v>
      </c>
      <c r="AD174" s="87">
        <f t="shared" ref="AD174:AD178" si="51">X174*AA174</f>
        <v>0</v>
      </c>
      <c r="BT174" t="s">
        <v>194</v>
      </c>
      <c r="BW174" t="s">
        <v>195</v>
      </c>
      <c r="BZ174" t="s">
        <v>196</v>
      </c>
    </row>
    <row r="175" spans="8:78" ht="14.5">
      <c r="H175" s="26"/>
      <c r="I175" s="33" t="s">
        <v>164</v>
      </c>
      <c r="J175" s="33"/>
      <c r="K175" s="36"/>
      <c r="L175" s="106">
        <f t="shared" si="44"/>
        <v>1476.4888072545855</v>
      </c>
      <c r="M175" s="109">
        <f t="shared" si="44"/>
        <v>585.1048231736728</v>
      </c>
      <c r="N175" s="104">
        <f t="shared" si="46"/>
        <v>0</v>
      </c>
      <c r="O175" s="106">
        <f>0.5*(WingLayout!C63*12)</f>
        <v>96</v>
      </c>
      <c r="P175" s="109">
        <f t="shared" si="47"/>
        <v>863900.72248660133</v>
      </c>
      <c r="Q175" s="109">
        <v>0</v>
      </c>
      <c r="R175" s="87">
        <f t="shared" si="48"/>
        <v>141742.92549644021</v>
      </c>
      <c r="T175" s="26"/>
      <c r="U175" s="33" t="s">
        <v>164</v>
      </c>
      <c r="V175" s="33"/>
      <c r="W175" s="36"/>
      <c r="X175" s="106">
        <f t="shared" si="45"/>
        <v>1476.4888072545855</v>
      </c>
      <c r="Y175" s="109">
        <f t="shared" si="45"/>
        <v>585.1048231736728</v>
      </c>
      <c r="Z175" s="104">
        <f t="shared" si="49"/>
        <v>0</v>
      </c>
      <c r="AA175" s="106">
        <f>0.5*(WingLayout!C63*12)</f>
        <v>96</v>
      </c>
      <c r="AB175" s="109">
        <f t="shared" si="50"/>
        <v>863900.72248660133</v>
      </c>
      <c r="AC175" s="109">
        <v>0</v>
      </c>
      <c r="AD175" s="87">
        <f t="shared" si="51"/>
        <v>141742.92549644021</v>
      </c>
      <c r="BS175" t="s">
        <v>197</v>
      </c>
      <c r="BT175" t="s">
        <v>198</v>
      </c>
      <c r="BW175" t="s">
        <v>199</v>
      </c>
      <c r="BZ175" t="s">
        <v>200</v>
      </c>
    </row>
    <row r="176" spans="8:78" ht="14.5">
      <c r="H176" s="26"/>
      <c r="I176" s="33" t="s">
        <v>168</v>
      </c>
      <c r="J176" s="33"/>
      <c r="K176" s="36"/>
      <c r="L176" s="106">
        <f t="shared" si="44"/>
        <v>3428.1240401576438</v>
      </c>
      <c r="M176" s="112">
        <f t="shared" si="44"/>
        <v>276.5292676181171</v>
      </c>
      <c r="N176" s="104">
        <f t="shared" si="46"/>
        <v>0</v>
      </c>
      <c r="O176" s="106">
        <v>0</v>
      </c>
      <c r="P176" s="109">
        <f t="shared" si="47"/>
        <v>947976.63012885395</v>
      </c>
      <c r="Q176" s="109">
        <v>0</v>
      </c>
      <c r="R176" s="87">
        <f t="shared" si="48"/>
        <v>0</v>
      </c>
      <c r="T176" s="26"/>
      <c r="U176" s="33" t="s">
        <v>168</v>
      </c>
      <c r="V176" s="33"/>
      <c r="W176" s="36"/>
      <c r="X176" s="106">
        <f t="shared" si="45"/>
        <v>3428.1240401576438</v>
      </c>
      <c r="Y176" s="112">
        <f t="shared" si="45"/>
        <v>276.5292676181171</v>
      </c>
      <c r="Z176" s="104">
        <f t="shared" si="49"/>
        <v>0</v>
      </c>
      <c r="AA176" s="106">
        <v>0</v>
      </c>
      <c r="AB176" s="109">
        <f t="shared" si="50"/>
        <v>947976.63012885395</v>
      </c>
      <c r="AC176" s="109">
        <v>0</v>
      </c>
      <c r="AD176" s="87">
        <f t="shared" si="51"/>
        <v>0</v>
      </c>
      <c r="BS176" t="s">
        <v>201</v>
      </c>
      <c r="BT176" t="s">
        <v>198</v>
      </c>
      <c r="BW176" t="s">
        <v>199</v>
      </c>
      <c r="BZ176" t="s">
        <v>202</v>
      </c>
    </row>
    <row r="177" spans="3:78" ht="14.5">
      <c r="H177" s="26"/>
      <c r="I177" s="33" t="s">
        <v>188</v>
      </c>
      <c r="J177" s="33"/>
      <c r="K177" s="36"/>
      <c r="L177" s="106">
        <f>F54*0.25</f>
        <v>4569.0446273813595</v>
      </c>
      <c r="M177" s="109">
        <f>M156</f>
        <v>409.2285268773764</v>
      </c>
      <c r="N177" s="104">
        <f t="shared" si="46"/>
        <v>0</v>
      </c>
      <c r="O177" s="103">
        <v>0</v>
      </c>
      <c r="P177" s="109">
        <f t="shared" si="47"/>
        <v>1869783.402100265</v>
      </c>
      <c r="Q177" s="109">
        <v>0</v>
      </c>
      <c r="R177" s="87">
        <f t="shared" si="48"/>
        <v>0</v>
      </c>
      <c r="T177" s="26"/>
      <c r="U177" s="33" t="s">
        <v>189</v>
      </c>
      <c r="V177" s="33"/>
      <c r="W177" s="36"/>
      <c r="X177" s="106">
        <f>F68*0.25</f>
        <v>4826.8971559312049</v>
      </c>
      <c r="Y177" s="109">
        <f>Y156</f>
        <v>409.2285268773764</v>
      </c>
      <c r="Z177" s="104">
        <f t="shared" si="49"/>
        <v>0</v>
      </c>
      <c r="AA177" s="103">
        <v>0</v>
      </c>
      <c r="AB177" s="109">
        <f t="shared" si="50"/>
        <v>1975304.0125103248</v>
      </c>
      <c r="AC177" s="109">
        <v>0</v>
      </c>
      <c r="AD177" s="87">
        <f t="shared" si="51"/>
        <v>0</v>
      </c>
      <c r="BS177" t="s">
        <v>203</v>
      </c>
      <c r="BT177" t="s">
        <v>204</v>
      </c>
      <c r="BW177" t="s">
        <v>205</v>
      </c>
      <c r="BZ177" t="s">
        <v>206</v>
      </c>
    </row>
    <row r="178" spans="3:78" ht="14.5">
      <c r="H178" s="15"/>
      <c r="I178" s="47" t="s">
        <v>207</v>
      </c>
      <c r="J178" s="47"/>
      <c r="K178" s="47"/>
      <c r="L178" s="107">
        <f>F57*0.5</f>
        <v>3800</v>
      </c>
      <c r="M178" s="107">
        <f>M157</f>
        <v>402.90951453169737</v>
      </c>
      <c r="N178" s="104">
        <f t="shared" si="46"/>
        <v>0</v>
      </c>
      <c r="O178" s="110">
        <v>0</v>
      </c>
      <c r="P178" s="109">
        <f t="shared" si="47"/>
        <v>1531056.1552204499</v>
      </c>
      <c r="Q178" s="109">
        <v>0</v>
      </c>
      <c r="R178" s="87">
        <f t="shared" si="48"/>
        <v>0</v>
      </c>
      <c r="T178" s="15"/>
      <c r="U178" s="47" t="s">
        <v>207</v>
      </c>
      <c r="V178" s="47"/>
      <c r="W178" s="47"/>
      <c r="X178" s="107">
        <f>F71*0.5</f>
        <v>2750</v>
      </c>
      <c r="Y178" s="107">
        <f>Y157</f>
        <v>402.90951453169737</v>
      </c>
      <c r="Z178" s="104">
        <f t="shared" si="49"/>
        <v>0</v>
      </c>
      <c r="AA178" s="110">
        <v>0</v>
      </c>
      <c r="AB178" s="109">
        <f t="shared" si="50"/>
        <v>1108001.1649621679</v>
      </c>
      <c r="AC178" s="109">
        <v>0</v>
      </c>
      <c r="AD178" s="87">
        <f t="shared" si="51"/>
        <v>0</v>
      </c>
    </row>
    <row r="180" spans="3:78" ht="14.5">
      <c r="K180" s="15" t="s">
        <v>175</v>
      </c>
      <c r="L180" s="47">
        <f>SUM(L173:L178)</f>
        <v>19032.6008526441</v>
      </c>
      <c r="M180" s="42"/>
      <c r="N180" s="47"/>
      <c r="O180" s="43"/>
      <c r="P180" s="47">
        <f>SUM(P173:P178)</f>
        <v>7686092.7907271227</v>
      </c>
      <c r="Q180" s="42">
        <f>SUM(Q173:Q178)</f>
        <v>0</v>
      </c>
      <c r="R180" s="15">
        <f>SUM(R173:R178)</f>
        <v>141742.92549644021</v>
      </c>
      <c r="W180" s="15" t="s">
        <v>175</v>
      </c>
      <c r="X180" s="47">
        <f>SUM(X173:X178)</f>
        <v>18240.453381193947</v>
      </c>
      <c r="Y180" s="42"/>
      <c r="Z180" s="47"/>
      <c r="AA180" s="43"/>
      <c r="AB180" s="47">
        <f>SUM(AB173:AB178)</f>
        <v>7368558.4108789004</v>
      </c>
      <c r="AC180" s="42">
        <f>SUM(AC173:AC178)</f>
        <v>0</v>
      </c>
      <c r="AD180" s="15">
        <f>SUM(AD173:AD178)</f>
        <v>141742.92549644021</v>
      </c>
    </row>
    <row r="182" spans="3:78" ht="15" customHeight="1">
      <c r="C182" t="s">
        <v>208</v>
      </c>
    </row>
    <row r="183" spans="3:78" ht="15" customHeight="1">
      <c r="C183">
        <v>550</v>
      </c>
    </row>
    <row r="184" spans="3:78" ht="14.5">
      <c r="M184" s="42" t="s">
        <v>176</v>
      </c>
      <c r="N184" s="42" t="s">
        <v>177</v>
      </c>
      <c r="O184" s="15" t="s">
        <v>178</v>
      </c>
      <c r="Y184" s="42" t="s">
        <v>176</v>
      </c>
      <c r="Z184" s="42" t="s">
        <v>177</v>
      </c>
      <c r="AA184" s="15" t="s">
        <v>178</v>
      </c>
    </row>
    <row r="185" spans="3:78" ht="14.5">
      <c r="C185" t="s">
        <v>209</v>
      </c>
      <c r="E185" t="s">
        <v>22</v>
      </c>
      <c r="L185" s="42" t="s">
        <v>91</v>
      </c>
      <c r="M185" s="32">
        <f>P180/L180</f>
        <v>403.83827991954837</v>
      </c>
      <c r="N185" s="42">
        <f>Q180/L180</f>
        <v>0</v>
      </c>
      <c r="O185" s="48">
        <f>R180/L180</f>
        <v>7.4473755107804198</v>
      </c>
      <c r="X185" s="42" t="s">
        <v>91</v>
      </c>
      <c r="Y185" s="32">
        <f>AB180/X180</f>
        <v>403.96794185367906</v>
      </c>
      <c r="Z185" s="42">
        <f>AC180/X180</f>
        <v>0</v>
      </c>
      <c r="AA185" s="48">
        <f>AD180/X180</f>
        <v>7.7708005680702152</v>
      </c>
    </row>
    <row r="186" spans="3:78" ht="14.5">
      <c r="C186" t="s">
        <v>210</v>
      </c>
      <c r="E186" t="s">
        <v>211</v>
      </c>
      <c r="L186" s="49" t="s">
        <v>148</v>
      </c>
      <c r="M186" s="15">
        <f>100*((M185-WingLayout!F14)/WingLayout!F11)</f>
        <v>35.734897589245953</v>
      </c>
      <c r="X186" s="49" t="s">
        <v>148</v>
      </c>
      <c r="Y186" s="15">
        <f xml:space="preserve"> 100*((Y185-WingLayout!F14)/WingLayout!F11)</f>
        <v>35.837494266572719</v>
      </c>
    </row>
    <row r="187" spans="3:78" ht="15" customHeight="1">
      <c r="C187" t="s">
        <v>210</v>
      </c>
    </row>
    <row r="188" spans="3:78" ht="14.5">
      <c r="C188" t="s">
        <v>210</v>
      </c>
    </row>
    <row r="189" spans="3:78" ht="14.5">
      <c r="C189" t="s">
        <v>212</v>
      </c>
    </row>
    <row r="190" spans="3:78" ht="14.5">
      <c r="C190" t="s">
        <v>213</v>
      </c>
    </row>
    <row r="191" spans="3:78" ht="14.5">
      <c r="C191" s="151"/>
      <c r="D191" t="s">
        <v>214</v>
      </c>
    </row>
    <row r="192" spans="3:78" ht="14.5">
      <c r="C192" s="152"/>
      <c r="D192" t="s">
        <v>215</v>
      </c>
    </row>
    <row r="193" spans="3:100" ht="14.5">
      <c r="C193" s="153"/>
      <c r="D193" t="s">
        <v>216</v>
      </c>
    </row>
    <row r="194" spans="3:100" ht="14.5">
      <c r="C194" s="52"/>
      <c r="D194" t="s">
        <v>217</v>
      </c>
    </row>
    <row r="195" spans="3:100" ht="14.5">
      <c r="C195" s="154"/>
      <c r="D195" t="s">
        <v>218</v>
      </c>
      <c r="BR195" t="s">
        <v>219</v>
      </c>
    </row>
    <row r="196" spans="3:100" ht="14.5">
      <c r="C196" s="157"/>
      <c r="D196" t="s">
        <v>220</v>
      </c>
    </row>
    <row r="197" spans="3:100" ht="14.5">
      <c r="BR197" s="1" t="s">
        <v>221</v>
      </c>
      <c r="BY197" s="32"/>
      <c r="BZ197" s="33" t="s">
        <v>222</v>
      </c>
      <c r="CA197" s="33"/>
      <c r="CB197" s="32"/>
      <c r="CC197" s="33" t="s">
        <v>223</v>
      </c>
      <c r="CD197" s="36"/>
      <c r="CF197" s="204" t="s">
        <v>224</v>
      </c>
      <c r="CG197" s="204"/>
      <c r="CH197" s="205"/>
      <c r="CI197" s="203" t="s">
        <v>225</v>
      </c>
      <c r="CJ197" s="204"/>
      <c r="CK197" s="204"/>
      <c r="CL197" s="205"/>
      <c r="CM197" s="203" t="s">
        <v>226</v>
      </c>
      <c r="CN197" s="204"/>
      <c r="CO197" s="204"/>
      <c r="CP197" s="204"/>
      <c r="CQ197" s="204"/>
      <c r="CR197" s="205"/>
      <c r="CS197" s="203" t="s">
        <v>227</v>
      </c>
      <c r="CT197" s="204"/>
      <c r="CU197" s="204"/>
      <c r="CV197" s="205"/>
    </row>
    <row r="198" spans="3:100" ht="14.5" customHeight="1">
      <c r="AV198">
        <f>K202</f>
        <v>18276</v>
      </c>
      <c r="BY198" s="15" t="s">
        <v>153</v>
      </c>
      <c r="BZ198" s="47" t="s">
        <v>154</v>
      </c>
      <c r="CA198" s="42" t="s">
        <v>155</v>
      </c>
      <c r="CB198" s="42" t="s">
        <v>153</v>
      </c>
      <c r="CC198" s="42" t="s">
        <v>154</v>
      </c>
      <c r="CD198" s="15" t="s">
        <v>155</v>
      </c>
      <c r="CF198" s="201" t="s">
        <v>228</v>
      </c>
      <c r="CG198" s="201" t="s">
        <v>229</v>
      </c>
      <c r="CH198" s="201" t="s">
        <v>230</v>
      </c>
      <c r="CI198" s="200" t="s">
        <v>231</v>
      </c>
      <c r="CJ198" s="201" t="s">
        <v>232</v>
      </c>
      <c r="CK198" s="201" t="s">
        <v>233</v>
      </c>
      <c r="CL198" s="201" t="s">
        <v>234</v>
      </c>
      <c r="CM198" s="200" t="s">
        <v>235</v>
      </c>
      <c r="CN198" s="201" t="s">
        <v>236</v>
      </c>
      <c r="CO198" s="201" t="s">
        <v>237</v>
      </c>
      <c r="CP198" s="201" t="s">
        <v>228</v>
      </c>
      <c r="CQ198" s="201" t="s">
        <v>229</v>
      </c>
      <c r="CR198" s="201" t="s">
        <v>230</v>
      </c>
      <c r="CS198" s="200" t="s">
        <v>231</v>
      </c>
      <c r="CT198" s="201" t="s">
        <v>232</v>
      </c>
      <c r="CU198" s="201" t="s">
        <v>233</v>
      </c>
      <c r="CV198" s="201" t="s">
        <v>234</v>
      </c>
    </row>
    <row r="199" spans="3:100">
      <c r="G199" t="s">
        <v>238</v>
      </c>
      <c r="J199" s="1" t="s">
        <v>221</v>
      </c>
      <c r="V199" s="1" t="s">
        <v>239</v>
      </c>
      <c r="AG199" s="5"/>
      <c r="AH199" s="5" t="s">
        <v>240</v>
      </c>
      <c r="AU199" t="s">
        <v>241</v>
      </c>
      <c r="BR199" s="42" t="s">
        <v>242</v>
      </c>
      <c r="BS199" s="42" t="s">
        <v>22</v>
      </c>
      <c r="BT199" s="15" t="s">
        <v>243</v>
      </c>
      <c r="BU199" s="42" t="s">
        <v>244</v>
      </c>
      <c r="BV199" s="42" t="s">
        <v>245</v>
      </c>
      <c r="BW199" s="15" t="s">
        <v>246</v>
      </c>
      <c r="BX199" s="15" t="s">
        <v>247</v>
      </c>
      <c r="BY199" s="202" t="s">
        <v>91</v>
      </c>
      <c r="BZ199" s="202" t="s">
        <v>91</v>
      </c>
      <c r="CA199" s="202" t="s">
        <v>91</v>
      </c>
      <c r="CB199" s="206" t="s">
        <v>91</v>
      </c>
      <c r="CC199" s="207" t="s">
        <v>91</v>
      </c>
      <c r="CD199" s="207" t="s">
        <v>91</v>
      </c>
      <c r="CF199" s="206" t="s">
        <v>91</v>
      </c>
      <c r="CG199" s="207" t="s">
        <v>91</v>
      </c>
      <c r="CH199" s="207" t="s">
        <v>91</v>
      </c>
      <c r="CI199" s="206" t="s">
        <v>248</v>
      </c>
      <c r="CJ199" s="207" t="s">
        <v>248</v>
      </c>
      <c r="CK199" s="207" t="s">
        <v>248</v>
      </c>
      <c r="CL199" s="207" t="s">
        <v>248</v>
      </c>
      <c r="CM199" s="206" t="s">
        <v>91</v>
      </c>
      <c r="CN199" s="207" t="s">
        <v>91</v>
      </c>
      <c r="CO199" s="207" t="s">
        <v>91</v>
      </c>
      <c r="CP199" s="207" t="s">
        <v>91</v>
      </c>
      <c r="CQ199" s="207" t="s">
        <v>91</v>
      </c>
      <c r="CR199" s="207" t="s">
        <v>91</v>
      </c>
      <c r="CS199" s="206" t="s">
        <v>249</v>
      </c>
      <c r="CT199" s="206" t="s">
        <v>249</v>
      </c>
      <c r="CU199" s="206" t="s">
        <v>249</v>
      </c>
      <c r="CV199" s="206" t="s">
        <v>249</v>
      </c>
    </row>
    <row r="200" spans="3:100" ht="14.5">
      <c r="I200">
        <v>28</v>
      </c>
      <c r="L200" s="32"/>
      <c r="M200" s="33" t="s">
        <v>222</v>
      </c>
      <c r="N200" s="36"/>
      <c r="P200" t="s">
        <v>223</v>
      </c>
      <c r="X200" s="32"/>
      <c r="Y200" s="33" t="s">
        <v>222</v>
      </c>
      <c r="Z200" s="36"/>
      <c r="AB200" t="s">
        <v>223</v>
      </c>
      <c r="AJ200" s="32"/>
      <c r="AK200" s="33" t="str">
        <f t="shared" ref="AK200:AK229" si="52">M200</f>
        <v>Direction</v>
      </c>
      <c r="AL200" s="36"/>
      <c r="AN200" t="str">
        <f>P200</f>
        <v>Moments</v>
      </c>
      <c r="AU200" s="42" t="s">
        <v>144</v>
      </c>
      <c r="AV200" s="42" t="s">
        <v>145</v>
      </c>
      <c r="AW200" s="32" t="s">
        <v>146</v>
      </c>
      <c r="AX200" s="32" t="s">
        <v>147</v>
      </c>
      <c r="AY200" s="32" t="s">
        <v>148</v>
      </c>
      <c r="AZ200" s="26" t="s">
        <v>149</v>
      </c>
      <c r="BR200" s="220" t="s">
        <v>250</v>
      </c>
      <c r="BS200">
        <f>K202</f>
        <v>18276</v>
      </c>
      <c r="BT200">
        <f>BS200/32.174</f>
        <v>568.0363026045876</v>
      </c>
      <c r="BU200" t="s">
        <v>251</v>
      </c>
      <c r="BV200" t="s">
        <v>251</v>
      </c>
      <c r="BW200">
        <f>266.97/2</f>
        <v>133.48500000000001</v>
      </c>
      <c r="BX200">
        <f>238.05/2</f>
        <v>119.02500000000001</v>
      </c>
      <c r="BY200">
        <f t="shared" ref="BY200:BY227" si="53">L202</f>
        <v>380</v>
      </c>
      <c r="BZ200">
        <v>0</v>
      </c>
      <c r="CA200">
        <v>43</v>
      </c>
      <c r="CB200" s="212">
        <f t="shared" ref="CB200:CB227" si="54">BS200*BY200</f>
        <v>6944880</v>
      </c>
      <c r="CC200" s="212">
        <f>BZ200*BS200</f>
        <v>0</v>
      </c>
      <c r="CD200" s="212">
        <f t="shared" ref="CD200:CD227" si="55">CA200*BS200</f>
        <v>785868</v>
      </c>
      <c r="CE200" t="s">
        <v>252</v>
      </c>
      <c r="CF200" s="208"/>
      <c r="CG200" s="213"/>
      <c r="CH200" s="218"/>
      <c r="CI200" s="209"/>
      <c r="CJ200" s="209"/>
      <c r="CK200" s="209"/>
      <c r="CL200" s="209"/>
      <c r="CM200" s="215"/>
      <c r="CN200" s="215"/>
      <c r="CO200" s="215"/>
      <c r="CP200" s="216"/>
      <c r="CQ200" s="216"/>
      <c r="CR200" s="216"/>
      <c r="CS200" s="209">
        <f>(1/12)*BT200*BX200^2</f>
        <v>670611.85435056267</v>
      </c>
      <c r="CT200" s="209">
        <f>(1/12)*BT200*BW200^2</f>
        <v>843450.84470923746</v>
      </c>
      <c r="CU200" s="209">
        <f>(1/12)*BT200*(BW200^2+BX200^2)</f>
        <v>1514062.6990598002</v>
      </c>
      <c r="CV200" s="209"/>
    </row>
    <row r="201" spans="3:100" ht="14.5">
      <c r="J201" s="42" t="s">
        <v>242</v>
      </c>
      <c r="K201" s="15" t="s">
        <v>22</v>
      </c>
      <c r="L201" s="47" t="s">
        <v>153</v>
      </c>
      <c r="M201" s="42" t="s">
        <v>154</v>
      </c>
      <c r="N201" s="15" t="s">
        <v>155</v>
      </c>
      <c r="O201" t="s">
        <v>153</v>
      </c>
      <c r="P201" t="s">
        <v>154</v>
      </c>
      <c r="Q201" t="s">
        <v>155</v>
      </c>
      <c r="V201" s="42" t="s">
        <v>242</v>
      </c>
      <c r="W201" s="15" t="s">
        <v>22</v>
      </c>
      <c r="X201" s="47" t="s">
        <v>153</v>
      </c>
      <c r="Y201" s="42" t="s">
        <v>154</v>
      </c>
      <c r="Z201" s="15" t="s">
        <v>155</v>
      </c>
      <c r="AA201" t="s">
        <v>153</v>
      </c>
      <c r="AB201" t="s">
        <v>154</v>
      </c>
      <c r="AC201" t="s">
        <v>155</v>
      </c>
      <c r="AH201" s="42" t="str">
        <f>J201</f>
        <v>Component</v>
      </c>
      <c r="AI201" s="15" t="str">
        <f>K201</f>
        <v>Weight</v>
      </c>
      <c r="AJ201" s="47" t="str">
        <f>L201</f>
        <v>X</v>
      </c>
      <c r="AK201" s="42" t="str">
        <f t="shared" si="52"/>
        <v>Y</v>
      </c>
      <c r="AL201" s="15" t="str">
        <f>N201</f>
        <v>Z</v>
      </c>
      <c r="AM201" t="str">
        <f>O201</f>
        <v>X</v>
      </c>
      <c r="AN201" t="str">
        <f>P201</f>
        <v>Y</v>
      </c>
      <c r="AO201" t="str">
        <f>Q201</f>
        <v>Z</v>
      </c>
      <c r="AU201" s="60" t="s">
        <v>156</v>
      </c>
      <c r="AV201" t="s">
        <v>157</v>
      </c>
      <c r="AW201" s="32">
        <v>1</v>
      </c>
      <c r="AX201" s="32">
        <f>(O231-O202+(AZ201*L202))/(SUM(K203:K218)+SUM(K220:K229)+AZ201)</f>
        <v>369.88370991616125</v>
      </c>
      <c r="AY201" s="32">
        <f>(AX201-WingLayout!F14)/WingLayout!F11*100</f>
        <v>8.8679062416143104</v>
      </c>
      <c r="AZ201" s="26">
        <f>AV198*0.01</f>
        <v>182.76</v>
      </c>
      <c r="BR201" s="220" t="s">
        <v>253</v>
      </c>
      <c r="BS201">
        <f t="shared" ref="BS201:BS227" si="56">K203</f>
        <v>3900</v>
      </c>
      <c r="BT201">
        <f t="shared" ref="BT201:BT227" si="57">BS201/32.174</f>
        <v>121.21588860570647</v>
      </c>
      <c r="BU201" t="s">
        <v>251</v>
      </c>
      <c r="BV201" t="s">
        <v>251</v>
      </c>
      <c r="BW201">
        <f>266.97/2</f>
        <v>133.48500000000001</v>
      </c>
      <c r="BX201">
        <f>238.05/2</f>
        <v>119.02500000000001</v>
      </c>
      <c r="BY201">
        <f t="shared" si="53"/>
        <v>380</v>
      </c>
      <c r="BZ201">
        <v>0</v>
      </c>
      <c r="CA201">
        <v>46</v>
      </c>
      <c r="CB201" s="212">
        <f t="shared" si="54"/>
        <v>1482000</v>
      </c>
      <c r="CC201" s="212">
        <f>BZ201*BS201</f>
        <v>0</v>
      </c>
      <c r="CD201" s="212">
        <f t="shared" si="55"/>
        <v>179400</v>
      </c>
      <c r="CE201" t="s">
        <v>252</v>
      </c>
      <c r="CF201" s="208"/>
      <c r="CG201" s="213"/>
      <c r="CH201" s="218"/>
      <c r="CI201" s="209"/>
      <c r="CJ201" s="209"/>
      <c r="CK201" s="209"/>
      <c r="CL201" s="209"/>
      <c r="CM201" s="215"/>
      <c r="CN201" s="215"/>
      <c r="CO201" s="215"/>
      <c r="CP201" s="216"/>
      <c r="CQ201" s="216"/>
      <c r="CR201" s="216"/>
      <c r="CS201" s="209">
        <f t="shared" ref="CS201:CS203" si="58">(1/12)*BT201*BX201^2</f>
        <v>143104.95907021197</v>
      </c>
      <c r="CT201" s="209">
        <f t="shared" ref="CT201:CT203" si="59">(1/12)*BT201*BW201^2</f>
        <v>179987.86902856344</v>
      </c>
      <c r="CU201" s="209">
        <f t="shared" ref="CU201:CU203" si="60">(1/12)*BT201*(BW201^2+BX201^2)</f>
        <v>323092.82809877541</v>
      </c>
      <c r="CV201" s="209"/>
    </row>
    <row r="202" spans="3:100" ht="14.5">
      <c r="J202" s="52" t="s">
        <v>250</v>
      </c>
      <c r="K202" s="52">
        <f>18276</f>
        <v>18276</v>
      </c>
      <c r="L202" s="52">
        <v>380</v>
      </c>
      <c r="M202" s="52">
        <v>0</v>
      </c>
      <c r="N202" s="52">
        <v>43</v>
      </c>
      <c r="O202">
        <f>K202*L202</f>
        <v>6944880</v>
      </c>
      <c r="P202">
        <f>M202*K202</f>
        <v>0</v>
      </c>
      <c r="Q202">
        <f>N202*K202</f>
        <v>785868</v>
      </c>
      <c r="V202" s="52" t="s">
        <v>250</v>
      </c>
      <c r="W202" s="52">
        <v>0</v>
      </c>
      <c r="X202" s="52">
        <v>380</v>
      </c>
      <c r="Y202" s="52">
        <v>0</v>
      </c>
      <c r="Z202" s="52">
        <v>43</v>
      </c>
      <c r="AA202">
        <f>W202*X202</f>
        <v>0</v>
      </c>
      <c r="AB202">
        <f>W202*Y202</f>
        <v>0</v>
      </c>
      <c r="AC202">
        <f>Z202*W202</f>
        <v>0</v>
      </c>
      <c r="AG202" s="1"/>
      <c r="AH202" s="52" t="str">
        <f t="shared" ref="AH202:AH229" si="61">J202</f>
        <v>Fuel (Wings)</v>
      </c>
      <c r="AI202" s="52">
        <f>F68</f>
        <v>19307.58862372482</v>
      </c>
      <c r="AJ202" s="52">
        <f t="shared" ref="AJ202:AJ229" si="62">L202</f>
        <v>380</v>
      </c>
      <c r="AK202" s="52">
        <f t="shared" si="52"/>
        <v>0</v>
      </c>
      <c r="AL202" s="52">
        <v>43</v>
      </c>
      <c r="AM202">
        <f>AI202*AJ202</f>
        <v>7336883.6770154312</v>
      </c>
      <c r="AN202">
        <f>AK202*AI202</f>
        <v>0</v>
      </c>
      <c r="AO202">
        <f>AL202*AI202</f>
        <v>830226.31082016719</v>
      </c>
      <c r="AU202" s="60" t="s">
        <v>254</v>
      </c>
      <c r="AW202" s="32">
        <v>60</v>
      </c>
      <c r="AX202" s="32">
        <f>(O231-O202+(AZ202*L202))/(SUM(K203:K218)+SUM(K220:K229)+AZ202)</f>
        <v>372.97545500306745</v>
      </c>
      <c r="AY202" s="32">
        <f>(AX202-WingLayout!F14)/WingLayout!F11*100</f>
        <v>11.314289408613785</v>
      </c>
      <c r="AZ202" s="26">
        <f>AV198*0.6</f>
        <v>10965.6</v>
      </c>
      <c r="BR202" s="220" t="s">
        <v>255</v>
      </c>
      <c r="BS202">
        <f t="shared" si="56"/>
        <v>480</v>
      </c>
      <c r="BT202">
        <f t="shared" si="57"/>
        <v>14.918878597625412</v>
      </c>
      <c r="BU202" t="s">
        <v>251</v>
      </c>
      <c r="BV202" t="s">
        <v>251</v>
      </c>
      <c r="BW202">
        <v>62.24</v>
      </c>
      <c r="BX202">
        <f>71.1/2</f>
        <v>35.549999999999997</v>
      </c>
      <c r="BY202">
        <f t="shared" si="53"/>
        <v>550</v>
      </c>
      <c r="BZ202">
        <v>0</v>
      </c>
      <c r="CA202">
        <v>0</v>
      </c>
      <c r="CB202" s="212">
        <f t="shared" si="54"/>
        <v>264000</v>
      </c>
      <c r="CC202" s="212"/>
      <c r="CD202" s="212">
        <f t="shared" si="55"/>
        <v>0</v>
      </c>
      <c r="CE202" t="s">
        <v>252</v>
      </c>
      <c r="CF202" s="208"/>
      <c r="CG202" s="213"/>
      <c r="CH202" s="218"/>
      <c r="CI202" s="209"/>
      <c r="CJ202" s="209"/>
      <c r="CK202" s="209"/>
      <c r="CL202" s="209"/>
      <c r="CM202" s="215"/>
      <c r="CN202" s="215"/>
      <c r="CO202" s="215"/>
      <c r="CP202" s="216"/>
      <c r="CQ202" s="216"/>
      <c r="CR202" s="216"/>
      <c r="CS202" s="209">
        <f t="shared" si="58"/>
        <v>1571.2096724062906</v>
      </c>
      <c r="CT202" s="209">
        <f t="shared" si="59"/>
        <v>4816.0845403120538</v>
      </c>
      <c r="CU202" s="209">
        <f t="shared" si="60"/>
        <v>6387.2942127183442</v>
      </c>
      <c r="CV202" s="209"/>
    </row>
    <row r="203" spans="3:100" ht="14.5">
      <c r="J203" s="155" t="s">
        <v>253</v>
      </c>
      <c r="K203" s="155">
        <v>3900</v>
      </c>
      <c r="L203" s="155">
        <f>L202</f>
        <v>380</v>
      </c>
      <c r="M203" s="155">
        <v>0</v>
      </c>
      <c r="N203" s="155">
        <v>46</v>
      </c>
      <c r="O203">
        <f t="shared" ref="O203:O229" si="63">K203*L203</f>
        <v>1482000</v>
      </c>
      <c r="P203">
        <f t="shared" ref="P203" si="64">M203*K203</f>
        <v>0</v>
      </c>
      <c r="Q203">
        <f t="shared" ref="Q203:Q229" si="65">N203*K203</f>
        <v>179400</v>
      </c>
      <c r="V203" s="155" t="s">
        <v>253</v>
      </c>
      <c r="W203" s="155">
        <v>3900</v>
      </c>
      <c r="X203" s="155">
        <f>X202</f>
        <v>380</v>
      </c>
      <c r="Y203" s="155">
        <v>0</v>
      </c>
      <c r="Z203" s="155">
        <v>46</v>
      </c>
      <c r="AA203">
        <f>W203*X203</f>
        <v>1482000</v>
      </c>
      <c r="AB203">
        <f t="shared" ref="AB203:AB229" si="66">W203*Y203</f>
        <v>0</v>
      </c>
      <c r="AC203">
        <f t="shared" ref="AC203:AC229" si="67">Z203*W203</f>
        <v>179400</v>
      </c>
      <c r="AH203" s="155" t="str">
        <f t="shared" si="61"/>
        <v>Wings</v>
      </c>
      <c r="AI203" s="155">
        <f t="shared" ref="AI203:AI216" si="68">K203</f>
        <v>3900</v>
      </c>
      <c r="AJ203" s="155">
        <f t="shared" si="62"/>
        <v>380</v>
      </c>
      <c r="AK203" s="155">
        <f t="shared" si="52"/>
        <v>0</v>
      </c>
      <c r="AL203" s="155">
        <v>46</v>
      </c>
      <c r="AM203">
        <f t="shared" ref="AM203:AM229" si="69">AI203*AJ203</f>
        <v>1482000</v>
      </c>
      <c r="AN203">
        <f t="shared" ref="AN203:AN229" si="70">AK203*AI203</f>
        <v>0</v>
      </c>
      <c r="AO203">
        <f t="shared" ref="AO203:AO229" si="71">AL203*AI203</f>
        <v>179400</v>
      </c>
      <c r="AU203" s="60"/>
      <c r="AW203" s="32">
        <v>100</v>
      </c>
      <c r="AX203" s="32">
        <f>(O231-O202+(AZ203*L202))/(SUM(K203:K218)+SUM(K220:K229)+AZ203)</f>
        <v>374.18112720542405</v>
      </c>
      <c r="AY203" s="32">
        <f>(AX203-WingLayout!F14)/WingLayout!F11*100</f>
        <v>12.268293085455028</v>
      </c>
      <c r="AZ203" s="26">
        <f>AV198</f>
        <v>18276</v>
      </c>
      <c r="BR203" s="220" t="s">
        <v>256</v>
      </c>
      <c r="BS203">
        <f t="shared" si="56"/>
        <v>950</v>
      </c>
      <c r="BT203">
        <f t="shared" si="57"/>
        <v>29.526947224466962</v>
      </c>
      <c r="BU203" t="s">
        <v>251</v>
      </c>
      <c r="BV203" t="s">
        <v>251</v>
      </c>
      <c r="BW203">
        <f>84.81/2</f>
        <v>42.405000000000001</v>
      </c>
      <c r="BX203">
        <f>72/2</f>
        <v>36</v>
      </c>
      <c r="BY203">
        <f t="shared" si="53"/>
        <v>550</v>
      </c>
      <c r="BZ203">
        <v>0</v>
      </c>
      <c r="CA203">
        <v>72</v>
      </c>
      <c r="CB203" s="212">
        <f t="shared" si="54"/>
        <v>522500</v>
      </c>
      <c r="CC203" s="212"/>
      <c r="CD203" s="212">
        <f t="shared" si="55"/>
        <v>68400</v>
      </c>
      <c r="CE203" t="s">
        <v>252</v>
      </c>
      <c r="CF203" s="208"/>
      <c r="CG203" s="213"/>
      <c r="CH203" s="218"/>
      <c r="CI203" s="209"/>
      <c r="CJ203" s="209"/>
      <c r="CK203" s="209"/>
      <c r="CL203" s="209"/>
      <c r="CM203" s="215"/>
      <c r="CN203" s="215"/>
      <c r="CO203" s="215"/>
      <c r="CP203" s="216"/>
      <c r="CQ203" s="216"/>
      <c r="CR203" s="216"/>
      <c r="CS203" s="209">
        <f t="shared" si="58"/>
        <v>3188.9103002424317</v>
      </c>
      <c r="CT203" s="209">
        <f t="shared" si="59"/>
        <v>4424.5737338378813</v>
      </c>
      <c r="CU203" s="209">
        <f t="shared" si="60"/>
        <v>7613.484034080313</v>
      </c>
      <c r="CV203" s="209"/>
    </row>
    <row r="204" spans="3:100" ht="14.5">
      <c r="J204" s="155" t="s">
        <v>255</v>
      </c>
      <c r="K204" s="155">
        <v>480</v>
      </c>
      <c r="L204" s="155">
        <v>550</v>
      </c>
      <c r="M204" s="155">
        <v>0</v>
      </c>
      <c r="N204" s="155">
        <v>0</v>
      </c>
      <c r="O204">
        <f t="shared" si="63"/>
        <v>264000</v>
      </c>
      <c r="Q204">
        <f t="shared" si="65"/>
        <v>0</v>
      </c>
      <c r="V204" s="155" t="s">
        <v>255</v>
      </c>
      <c r="W204" s="155">
        <v>480</v>
      </c>
      <c r="X204" s="155">
        <v>550</v>
      </c>
      <c r="Y204" s="155">
        <v>0</v>
      </c>
      <c r="Z204" s="155">
        <v>0</v>
      </c>
      <c r="AA204">
        <f t="shared" ref="AA204:AA229" si="72">W204*X204</f>
        <v>264000</v>
      </c>
      <c r="AB204">
        <f t="shared" si="66"/>
        <v>0</v>
      </c>
      <c r="AC204">
        <f t="shared" si="67"/>
        <v>0</v>
      </c>
      <c r="AH204" s="155" t="str">
        <f t="shared" si="61"/>
        <v>H-Stab</v>
      </c>
      <c r="AI204" s="155">
        <f t="shared" si="68"/>
        <v>480</v>
      </c>
      <c r="AJ204" s="155">
        <f t="shared" si="62"/>
        <v>550</v>
      </c>
      <c r="AK204" s="155">
        <f t="shared" si="52"/>
        <v>0</v>
      </c>
      <c r="AL204" s="155">
        <v>0</v>
      </c>
      <c r="AM204">
        <f t="shared" si="69"/>
        <v>264000</v>
      </c>
      <c r="AN204">
        <f t="shared" si="70"/>
        <v>0</v>
      </c>
      <c r="AO204">
        <f t="shared" si="71"/>
        <v>0</v>
      </c>
      <c r="AU204" s="26" t="s">
        <v>165</v>
      </c>
      <c r="AV204" s="33" t="s">
        <v>166</v>
      </c>
      <c r="AW204" s="32">
        <v>1</v>
      </c>
      <c r="AX204" s="32">
        <f>(O231-(O217+O218+O202)+(AZ204*L202))/(SUM(K203:K216)+SUM(K220:K229)+AZ204)</f>
        <v>378.5521162922941</v>
      </c>
      <c r="AY204" s="32">
        <f>(AX204-WingLayout!F14)/WingLayout!F11*100</f>
        <v>15.726894562835403</v>
      </c>
      <c r="AZ204" s="26">
        <f>AZ201</f>
        <v>182.76</v>
      </c>
      <c r="BR204" s="220" t="s">
        <v>168</v>
      </c>
      <c r="BS204">
        <f t="shared" si="56"/>
        <v>3500</v>
      </c>
      <c r="BT204">
        <f t="shared" si="57"/>
        <v>108.78348977435196</v>
      </c>
      <c r="BU204">
        <v>45.67</v>
      </c>
      <c r="BV204">
        <v>577.85</v>
      </c>
      <c r="BY204">
        <f t="shared" si="53"/>
        <v>230</v>
      </c>
      <c r="BZ204">
        <v>0</v>
      </c>
      <c r="CA204">
        <v>0</v>
      </c>
      <c r="CB204" s="212">
        <f t="shared" si="54"/>
        <v>805000</v>
      </c>
      <c r="CC204" s="212">
        <f t="shared" ref="CC204:CC227" si="73">BZ204*BS204</f>
        <v>0</v>
      </c>
      <c r="CD204" s="212">
        <f t="shared" si="55"/>
        <v>0</v>
      </c>
      <c r="CE204" t="s">
        <v>194</v>
      </c>
      <c r="CF204" s="208"/>
      <c r="CG204" s="213"/>
      <c r="CH204" s="218"/>
      <c r="CI204" s="209"/>
      <c r="CJ204" s="209"/>
      <c r="CK204" s="209"/>
      <c r="CL204" s="209"/>
      <c r="CM204" s="215"/>
      <c r="CN204" s="215"/>
      <c r="CO204" s="215"/>
      <c r="CP204" s="216"/>
      <c r="CQ204" s="216"/>
      <c r="CR204" s="216"/>
      <c r="CS204" s="209">
        <f>(3/80)*BT204*(4*BU204^2+BV204^2)</f>
        <v>1396182.8611806117</v>
      </c>
      <c r="CT204" s="209">
        <f>(3/80)*BT204*(4*BU204^2+BV204^2)</f>
        <v>1396182.8611806117</v>
      </c>
      <c r="CU204" s="209">
        <f>(3/10)*BT204*BU204^2</f>
        <v>68068.513240504748</v>
      </c>
      <c r="CV204" s="209"/>
    </row>
    <row r="205" spans="3:100" ht="14.5">
      <c r="J205" s="155" t="s">
        <v>256</v>
      </c>
      <c r="K205" s="155">
        <v>950</v>
      </c>
      <c r="L205" s="155">
        <v>550</v>
      </c>
      <c r="M205" s="155">
        <v>0</v>
      </c>
      <c r="N205" s="155">
        <v>72</v>
      </c>
      <c r="O205">
        <f t="shared" si="63"/>
        <v>522500</v>
      </c>
      <c r="Q205">
        <f t="shared" si="65"/>
        <v>68400</v>
      </c>
      <c r="V205" s="155" t="s">
        <v>256</v>
      </c>
      <c r="W205" s="155">
        <v>950</v>
      </c>
      <c r="X205" s="155">
        <v>550</v>
      </c>
      <c r="Y205" s="155">
        <v>0</v>
      </c>
      <c r="Z205" s="155">
        <v>72</v>
      </c>
      <c r="AA205">
        <f t="shared" si="72"/>
        <v>522500</v>
      </c>
      <c r="AB205">
        <f t="shared" si="66"/>
        <v>0</v>
      </c>
      <c r="AC205">
        <f t="shared" si="67"/>
        <v>68400</v>
      </c>
      <c r="AH205" s="155" t="str">
        <f t="shared" si="61"/>
        <v>V-Stab</v>
      </c>
      <c r="AI205" s="155">
        <f t="shared" si="68"/>
        <v>950</v>
      </c>
      <c r="AJ205" s="155">
        <f t="shared" si="62"/>
        <v>550</v>
      </c>
      <c r="AK205" s="155">
        <f t="shared" si="52"/>
        <v>0</v>
      </c>
      <c r="AL205" s="155">
        <v>72</v>
      </c>
      <c r="AM205">
        <f t="shared" si="69"/>
        <v>522500</v>
      </c>
      <c r="AN205">
        <f t="shared" si="70"/>
        <v>0</v>
      </c>
      <c r="AO205">
        <f t="shared" si="71"/>
        <v>68400</v>
      </c>
      <c r="AU205" s="60" t="s">
        <v>257</v>
      </c>
      <c r="AW205" s="32">
        <v>60</v>
      </c>
      <c r="AX205" s="32">
        <f>(O231-(O217+O218+O202)+(AZ205*L202))/(SUM(K203:K216)+SUM(K220:K229)+AZ205)</f>
        <v>379.05724112972496</v>
      </c>
      <c r="AY205" s="32">
        <f>(AX205-WingLayout!F14)/WingLayout!F11*100</f>
        <v>16.126581103862865</v>
      </c>
      <c r="AZ205" s="26">
        <f>AZ202</f>
        <v>10965.6</v>
      </c>
      <c r="BR205" t="s">
        <v>258</v>
      </c>
      <c r="BS205">
        <f t="shared" si="56"/>
        <v>100</v>
      </c>
      <c r="BT205">
        <f t="shared" si="57"/>
        <v>3.1080997078386274</v>
      </c>
      <c r="BU205">
        <v>45</v>
      </c>
      <c r="BV205">
        <v>6</v>
      </c>
      <c r="BY205">
        <f t="shared" si="53"/>
        <v>66</v>
      </c>
      <c r="BZ205">
        <v>0</v>
      </c>
      <c r="CA205">
        <v>-15</v>
      </c>
      <c r="CB205" s="212">
        <f t="shared" si="54"/>
        <v>6600</v>
      </c>
      <c r="CC205" s="212">
        <f t="shared" si="73"/>
        <v>0</v>
      </c>
      <c r="CD205" s="212">
        <f t="shared" si="55"/>
        <v>-1500</v>
      </c>
      <c r="CE205" t="s">
        <v>194</v>
      </c>
      <c r="CF205" s="208"/>
      <c r="CG205" s="213"/>
      <c r="CH205" s="218"/>
      <c r="CI205" s="209"/>
      <c r="CJ205" s="209"/>
      <c r="CK205" s="209"/>
      <c r="CL205" s="209"/>
      <c r="CM205" s="215"/>
      <c r="CN205" s="215"/>
      <c r="CO205" s="215"/>
      <c r="CP205" s="216"/>
      <c r="CQ205" s="216"/>
      <c r="CR205" s="216"/>
      <c r="CS205" s="209"/>
      <c r="CT205" s="209"/>
      <c r="CU205" s="209"/>
      <c r="CV205" s="209"/>
    </row>
    <row r="206" spans="3:100" ht="14.5">
      <c r="J206" s="155" t="s">
        <v>168</v>
      </c>
      <c r="K206" s="155">
        <v>3500</v>
      </c>
      <c r="L206" s="155">
        <v>230</v>
      </c>
      <c r="M206" s="155">
        <v>0</v>
      </c>
      <c r="N206" s="155">
        <v>0</v>
      </c>
      <c r="O206">
        <f t="shared" si="63"/>
        <v>805000</v>
      </c>
      <c r="P206">
        <f t="shared" ref="P206:P218" si="74">M206*K206</f>
        <v>0</v>
      </c>
      <c r="Q206">
        <f t="shared" si="65"/>
        <v>0</v>
      </c>
      <c r="V206" s="155" t="s">
        <v>168</v>
      </c>
      <c r="W206" s="155">
        <v>3500</v>
      </c>
      <c r="X206" s="155">
        <v>230</v>
      </c>
      <c r="Y206" s="155">
        <v>0</v>
      </c>
      <c r="Z206" s="155">
        <v>0</v>
      </c>
      <c r="AA206">
        <f t="shared" si="72"/>
        <v>805000</v>
      </c>
      <c r="AB206">
        <f t="shared" si="66"/>
        <v>0</v>
      </c>
      <c r="AC206">
        <f t="shared" si="67"/>
        <v>0</v>
      </c>
      <c r="AH206" s="155" t="str">
        <f t="shared" si="61"/>
        <v>Fuselage</v>
      </c>
      <c r="AI206" s="155">
        <f t="shared" si="68"/>
        <v>3500</v>
      </c>
      <c r="AJ206" s="155">
        <f t="shared" si="62"/>
        <v>230</v>
      </c>
      <c r="AK206" s="155">
        <f t="shared" si="52"/>
        <v>0</v>
      </c>
      <c r="AL206" s="155">
        <v>0</v>
      </c>
      <c r="AM206">
        <f t="shared" si="69"/>
        <v>805000</v>
      </c>
      <c r="AN206">
        <f t="shared" si="70"/>
        <v>0</v>
      </c>
      <c r="AO206">
        <f t="shared" si="71"/>
        <v>0</v>
      </c>
      <c r="AU206" s="48"/>
      <c r="AV206" s="57"/>
      <c r="AW206" s="42">
        <v>100</v>
      </c>
      <c r="AX206" s="32">
        <f>(O231-(O217+O218+O202)+(AZ206*L202))/(SUM(K203:K216)+SUM(K220:K229)+AZ206)</f>
        <v>379.23757259800294</v>
      </c>
      <c r="AY206" s="42">
        <f>(AX206-WingLayout!F14)/WingLayout!F11*100</f>
        <v>16.269270703449816</v>
      </c>
      <c r="AZ206" s="15">
        <f>AZ203</f>
        <v>18276</v>
      </c>
      <c r="BR206" t="s">
        <v>259</v>
      </c>
      <c r="BS206">
        <f t="shared" si="56"/>
        <v>200</v>
      </c>
      <c r="BT206">
        <f t="shared" si="57"/>
        <v>6.2161994156772549</v>
      </c>
      <c r="BU206">
        <v>45</v>
      </c>
      <c r="BV206">
        <v>6</v>
      </c>
      <c r="BY206">
        <f t="shared" si="53"/>
        <v>319</v>
      </c>
      <c r="BZ206">
        <v>0</v>
      </c>
      <c r="CA206">
        <v>-15</v>
      </c>
      <c r="CB206" s="212">
        <f t="shared" si="54"/>
        <v>63800</v>
      </c>
      <c r="CC206" s="212">
        <f t="shared" si="73"/>
        <v>0</v>
      </c>
      <c r="CD206" s="212">
        <f t="shared" si="55"/>
        <v>-3000</v>
      </c>
      <c r="CE206" t="s">
        <v>194</v>
      </c>
      <c r="CF206" s="208"/>
      <c r="CG206" s="213"/>
      <c r="CH206" s="218"/>
      <c r="CI206" s="209"/>
      <c r="CJ206" s="209"/>
      <c r="CK206" s="209"/>
      <c r="CL206" s="209"/>
      <c r="CM206" s="215"/>
      <c r="CN206" s="215"/>
      <c r="CO206" s="215"/>
      <c r="CP206" s="216"/>
      <c r="CQ206" s="216"/>
      <c r="CR206" s="216"/>
      <c r="CS206" s="209"/>
      <c r="CT206" s="209"/>
      <c r="CU206" s="209"/>
      <c r="CV206" s="209"/>
    </row>
    <row r="207" spans="3:100" ht="14.5">
      <c r="J207" s="156" t="s">
        <v>258</v>
      </c>
      <c r="K207" s="156">
        <v>100</v>
      </c>
      <c r="L207" s="156">
        <f>C183*0.12</f>
        <v>66</v>
      </c>
      <c r="M207" s="156">
        <v>0</v>
      </c>
      <c r="N207" s="156">
        <v>-15</v>
      </c>
      <c r="O207">
        <f t="shared" si="63"/>
        <v>6600</v>
      </c>
      <c r="P207">
        <f t="shared" si="74"/>
        <v>0</v>
      </c>
      <c r="Q207">
        <f t="shared" si="65"/>
        <v>-1500</v>
      </c>
      <c r="V207" s="156" t="s">
        <v>258</v>
      </c>
      <c r="W207" s="156">
        <v>100</v>
      </c>
      <c r="X207" s="156">
        <f>L207</f>
        <v>66</v>
      </c>
      <c r="Y207" s="156">
        <v>0</v>
      </c>
      <c r="Z207" s="156">
        <v>-15</v>
      </c>
      <c r="AA207">
        <f t="shared" si="72"/>
        <v>6600</v>
      </c>
      <c r="AB207">
        <f t="shared" si="66"/>
        <v>0</v>
      </c>
      <c r="AC207">
        <f t="shared" si="67"/>
        <v>-1500</v>
      </c>
      <c r="AH207" s="156" t="str">
        <f t="shared" si="61"/>
        <v>Nose Gear</v>
      </c>
      <c r="AI207" s="156">
        <f t="shared" si="68"/>
        <v>100</v>
      </c>
      <c r="AJ207" s="156">
        <f t="shared" si="62"/>
        <v>66</v>
      </c>
      <c r="AK207" s="156">
        <f t="shared" si="52"/>
        <v>0</v>
      </c>
      <c r="AL207" s="156">
        <v>-15</v>
      </c>
      <c r="AM207">
        <f t="shared" si="69"/>
        <v>6600</v>
      </c>
      <c r="AN207">
        <f t="shared" si="70"/>
        <v>0</v>
      </c>
      <c r="AO207">
        <f t="shared" si="71"/>
        <v>-1500</v>
      </c>
      <c r="AX207" s="33"/>
      <c r="BR207" t="s">
        <v>260</v>
      </c>
      <c r="BS207">
        <f t="shared" si="56"/>
        <v>220</v>
      </c>
      <c r="BT207">
        <f t="shared" si="57"/>
        <v>6.8378193572449808</v>
      </c>
      <c r="BY207">
        <f t="shared" si="53"/>
        <v>210</v>
      </c>
      <c r="BZ207">
        <v>0</v>
      </c>
      <c r="CA207">
        <v>59</v>
      </c>
      <c r="CB207" s="212">
        <f t="shared" si="54"/>
        <v>46200</v>
      </c>
      <c r="CC207" s="212">
        <f t="shared" si="73"/>
        <v>0</v>
      </c>
      <c r="CD207" s="212">
        <f t="shared" si="55"/>
        <v>12980</v>
      </c>
      <c r="CF207" s="208"/>
      <c r="CG207" s="213"/>
      <c r="CH207" s="218"/>
      <c r="CI207" s="209"/>
      <c r="CJ207" s="209"/>
      <c r="CK207" s="209"/>
      <c r="CL207" s="209"/>
      <c r="CM207" s="215"/>
      <c r="CN207" s="215"/>
      <c r="CO207" s="215"/>
      <c r="CP207" s="216"/>
      <c r="CQ207" s="216"/>
      <c r="CR207" s="216"/>
      <c r="CS207" s="209"/>
      <c r="CT207" s="209"/>
      <c r="CU207" s="209"/>
      <c r="CV207" s="209"/>
    </row>
    <row r="208" spans="3:100" ht="14.5">
      <c r="J208" s="156" t="s">
        <v>259</v>
      </c>
      <c r="K208" s="156">
        <v>200</v>
      </c>
      <c r="L208" s="156">
        <f>0.58*C183</f>
        <v>319</v>
      </c>
      <c r="M208" s="156">
        <v>0</v>
      </c>
      <c r="N208" s="156">
        <v>-15</v>
      </c>
      <c r="O208">
        <f t="shared" si="63"/>
        <v>63800</v>
      </c>
      <c r="P208">
        <f t="shared" si="74"/>
        <v>0</v>
      </c>
      <c r="Q208">
        <f t="shared" si="65"/>
        <v>-3000</v>
      </c>
      <c r="V208" s="156" t="s">
        <v>259</v>
      </c>
      <c r="W208" s="156">
        <v>200</v>
      </c>
      <c r="X208" s="156">
        <f>L208</f>
        <v>319</v>
      </c>
      <c r="Y208" s="156">
        <v>0</v>
      </c>
      <c r="Z208" s="156">
        <v>-15</v>
      </c>
      <c r="AA208">
        <f t="shared" si="72"/>
        <v>63800</v>
      </c>
      <c r="AB208">
        <f t="shared" si="66"/>
        <v>0</v>
      </c>
      <c r="AC208">
        <f t="shared" si="67"/>
        <v>-3000</v>
      </c>
      <c r="AH208" s="156" t="str">
        <f t="shared" si="61"/>
        <v>Rear Gear</v>
      </c>
      <c r="AI208" s="156">
        <f t="shared" si="68"/>
        <v>200</v>
      </c>
      <c r="AJ208" s="156">
        <f t="shared" si="62"/>
        <v>319</v>
      </c>
      <c r="AK208" s="156">
        <f t="shared" si="52"/>
        <v>0</v>
      </c>
      <c r="AL208" s="156">
        <v>-15</v>
      </c>
      <c r="AM208">
        <f t="shared" si="69"/>
        <v>63800</v>
      </c>
      <c r="AN208">
        <f t="shared" si="70"/>
        <v>0</v>
      </c>
      <c r="AO208">
        <f t="shared" si="71"/>
        <v>-3000</v>
      </c>
      <c r="BR208" s="220" t="s">
        <v>261</v>
      </c>
      <c r="BS208">
        <f t="shared" si="56"/>
        <v>220</v>
      </c>
      <c r="BT208">
        <f t="shared" si="57"/>
        <v>6.8378193572449808</v>
      </c>
      <c r="BU208">
        <v>25.725000000000001</v>
      </c>
      <c r="BV208">
        <v>116.25</v>
      </c>
      <c r="BY208">
        <f t="shared" si="53"/>
        <v>80</v>
      </c>
      <c r="BZ208">
        <v>0</v>
      </c>
      <c r="CA208">
        <v>0</v>
      </c>
      <c r="CB208" s="212">
        <f t="shared" si="54"/>
        <v>17600</v>
      </c>
      <c r="CC208" s="212">
        <f t="shared" si="73"/>
        <v>0</v>
      </c>
      <c r="CD208" s="212">
        <f t="shared" si="55"/>
        <v>0</v>
      </c>
      <c r="CE208" t="s">
        <v>195</v>
      </c>
      <c r="CF208" s="208"/>
      <c r="CG208" s="213"/>
      <c r="CH208" s="218"/>
      <c r="CI208" s="209"/>
      <c r="CJ208" s="209"/>
      <c r="CK208" s="209"/>
      <c r="CL208" s="209"/>
      <c r="CM208" s="215"/>
      <c r="CN208" s="215"/>
      <c r="CO208" s="215"/>
      <c r="CP208" s="216"/>
      <c r="CQ208" s="216"/>
      <c r="CR208" s="216"/>
      <c r="CS208" s="221">
        <f>(3/80)*BT208*(4*BU208^2+BV208^2)</f>
        <v>4144.0172577236281</v>
      </c>
      <c r="CT208" s="209">
        <f>(3/80)*BT208*(4*BU208^2+BV208^2)</f>
        <v>4144.0172577236281</v>
      </c>
      <c r="CU208" s="209">
        <f>(3/10)*BT208*BU208^2</f>
        <v>1357.530653633369</v>
      </c>
      <c r="CV208" s="209"/>
    </row>
    <row r="209" spans="1:100" ht="14.5">
      <c r="J209" s="157" t="s">
        <v>260</v>
      </c>
      <c r="K209" s="157">
        <v>220</v>
      </c>
      <c r="L209" s="157">
        <v>210</v>
      </c>
      <c r="M209" s="157">
        <v>0</v>
      </c>
      <c r="N209" s="157">
        <v>59</v>
      </c>
      <c r="O209">
        <f t="shared" si="63"/>
        <v>46200</v>
      </c>
      <c r="P209">
        <f t="shared" si="74"/>
        <v>0</v>
      </c>
      <c r="Q209">
        <f t="shared" si="65"/>
        <v>12980</v>
      </c>
      <c r="V209" s="157" t="s">
        <v>260</v>
      </c>
      <c r="W209" s="157">
        <v>220</v>
      </c>
      <c r="X209" s="157">
        <v>210</v>
      </c>
      <c r="Y209" s="157">
        <v>0</v>
      </c>
      <c r="Z209" s="157">
        <v>59</v>
      </c>
      <c r="AA209">
        <f t="shared" si="72"/>
        <v>46200</v>
      </c>
      <c r="AB209">
        <f t="shared" si="66"/>
        <v>0</v>
      </c>
      <c r="AC209">
        <f t="shared" si="67"/>
        <v>12980</v>
      </c>
      <c r="AH209" s="157" t="str">
        <f t="shared" si="61"/>
        <v>Pilot</v>
      </c>
      <c r="AI209" s="157">
        <f t="shared" si="68"/>
        <v>220</v>
      </c>
      <c r="AJ209" s="157">
        <f t="shared" si="62"/>
        <v>210</v>
      </c>
      <c r="AK209" s="157">
        <f t="shared" si="52"/>
        <v>0</v>
      </c>
      <c r="AL209" s="157">
        <v>59</v>
      </c>
      <c r="AM209">
        <f t="shared" si="69"/>
        <v>46200</v>
      </c>
      <c r="AN209">
        <f t="shared" si="70"/>
        <v>0</v>
      </c>
      <c r="AO209">
        <f t="shared" si="71"/>
        <v>12980</v>
      </c>
      <c r="AV209">
        <v>19307</v>
      </c>
      <c r="BR209" s="220" t="s">
        <v>262</v>
      </c>
      <c r="BS209">
        <f t="shared" si="56"/>
        <v>300</v>
      </c>
      <c r="BT209">
        <f t="shared" si="57"/>
        <v>9.3242991235158819</v>
      </c>
      <c r="BU209">
        <v>16</v>
      </c>
      <c r="BV209">
        <v>130.41</v>
      </c>
      <c r="BY209">
        <f t="shared" si="53"/>
        <v>210</v>
      </c>
      <c r="BZ209">
        <v>0</v>
      </c>
      <c r="CA209">
        <v>59</v>
      </c>
      <c r="CB209" s="212">
        <f t="shared" si="54"/>
        <v>63000</v>
      </c>
      <c r="CC209" s="212">
        <f t="shared" si="73"/>
        <v>0</v>
      </c>
      <c r="CD209" s="212">
        <f t="shared" si="55"/>
        <v>17700</v>
      </c>
      <c r="CE209" t="s">
        <v>263</v>
      </c>
      <c r="CF209" s="208"/>
      <c r="CG209" s="213"/>
      <c r="CH209" s="218"/>
      <c r="CI209" s="209"/>
      <c r="CJ209" s="209"/>
      <c r="CK209" s="209"/>
      <c r="CL209" s="209"/>
      <c r="CM209" s="215"/>
      <c r="CN209" s="215"/>
      <c r="CO209" s="215"/>
      <c r="CP209" s="216"/>
      <c r="CQ209" s="216"/>
      <c r="CR209" s="216"/>
      <c r="CS209" s="209"/>
      <c r="CT209" s="209"/>
      <c r="CU209" s="209"/>
      <c r="CV209" s="209"/>
    </row>
    <row r="210" spans="1:100" ht="14.5">
      <c r="J210" s="155" t="s">
        <v>261</v>
      </c>
      <c r="K210" s="155">
        <v>220</v>
      </c>
      <c r="L210" s="155">
        <v>80</v>
      </c>
      <c r="M210" s="155">
        <v>0</v>
      </c>
      <c r="N210" s="155">
        <v>0</v>
      </c>
      <c r="O210">
        <f t="shared" si="63"/>
        <v>17600</v>
      </c>
      <c r="P210">
        <f t="shared" si="74"/>
        <v>0</v>
      </c>
      <c r="Q210">
        <f t="shared" si="65"/>
        <v>0</v>
      </c>
      <c r="V210" s="155" t="s">
        <v>261</v>
      </c>
      <c r="W210" s="155">
        <v>220</v>
      </c>
      <c r="X210" s="155">
        <v>80</v>
      </c>
      <c r="Y210" s="155">
        <v>0</v>
      </c>
      <c r="Z210" s="155">
        <v>0</v>
      </c>
      <c r="AA210">
        <f t="shared" si="72"/>
        <v>17600</v>
      </c>
      <c r="AB210">
        <f t="shared" si="66"/>
        <v>0</v>
      </c>
      <c r="AC210">
        <f t="shared" si="67"/>
        <v>0</v>
      </c>
      <c r="AH210" s="155" t="str">
        <f t="shared" si="61"/>
        <v>Nose Cone</v>
      </c>
      <c r="AI210" s="155">
        <f t="shared" si="68"/>
        <v>220</v>
      </c>
      <c r="AJ210" s="155">
        <f t="shared" si="62"/>
        <v>80</v>
      </c>
      <c r="AK210" s="155">
        <f t="shared" si="52"/>
        <v>0</v>
      </c>
      <c r="AL210" s="155">
        <v>0</v>
      </c>
      <c r="AM210">
        <f t="shared" si="69"/>
        <v>17600</v>
      </c>
      <c r="AN210">
        <f t="shared" si="70"/>
        <v>0</v>
      </c>
      <c r="AO210">
        <f t="shared" si="71"/>
        <v>0</v>
      </c>
      <c r="AU210" t="s">
        <v>137</v>
      </c>
      <c r="BR210" t="s">
        <v>264</v>
      </c>
      <c r="BS210">
        <f t="shared" si="56"/>
        <v>100</v>
      </c>
      <c r="BT210">
        <f t="shared" si="57"/>
        <v>3.1080997078386274</v>
      </c>
      <c r="BY210">
        <f t="shared" si="53"/>
        <v>210</v>
      </c>
      <c r="BZ210">
        <v>0</v>
      </c>
      <c r="CA210">
        <v>16</v>
      </c>
      <c r="CB210" s="212">
        <f t="shared" si="54"/>
        <v>21000</v>
      </c>
      <c r="CC210" s="212">
        <f t="shared" si="73"/>
        <v>0</v>
      </c>
      <c r="CD210" s="212">
        <f t="shared" si="55"/>
        <v>1600</v>
      </c>
      <c r="CF210" s="208"/>
      <c r="CG210" s="213"/>
      <c r="CH210" s="218"/>
      <c r="CI210" s="209"/>
      <c r="CJ210" s="209"/>
      <c r="CK210" s="209"/>
      <c r="CL210" s="209"/>
      <c r="CM210" s="215"/>
      <c r="CN210" s="215"/>
      <c r="CO210" s="215"/>
      <c r="CP210" s="216"/>
      <c r="CQ210" s="216"/>
      <c r="CR210" s="216"/>
      <c r="CS210" s="209"/>
      <c r="CT210" s="209"/>
      <c r="CU210" s="209"/>
      <c r="CV210" s="209"/>
    </row>
    <row r="211" spans="1:100" ht="14.5">
      <c r="A211" t="s">
        <v>265</v>
      </c>
      <c r="J211" s="155" t="s">
        <v>262</v>
      </c>
      <c r="K211" s="155">
        <v>300</v>
      </c>
      <c r="L211" s="155">
        <v>210</v>
      </c>
      <c r="M211" s="155">
        <v>0</v>
      </c>
      <c r="N211" s="155">
        <v>59</v>
      </c>
      <c r="O211">
        <f t="shared" si="63"/>
        <v>63000</v>
      </c>
      <c r="P211">
        <f t="shared" si="74"/>
        <v>0</v>
      </c>
      <c r="Q211">
        <f t="shared" si="65"/>
        <v>17700</v>
      </c>
      <c r="V211" s="155" t="s">
        <v>262</v>
      </c>
      <c r="W211" s="155">
        <v>300</v>
      </c>
      <c r="X211" s="155">
        <v>210</v>
      </c>
      <c r="Y211" s="155">
        <v>0</v>
      </c>
      <c r="Z211" s="155">
        <v>59</v>
      </c>
      <c r="AA211">
        <f t="shared" si="72"/>
        <v>63000</v>
      </c>
      <c r="AB211">
        <f t="shared" si="66"/>
        <v>0</v>
      </c>
      <c r="AC211">
        <f t="shared" si="67"/>
        <v>17700</v>
      </c>
      <c r="AH211" s="155" t="str">
        <f t="shared" si="61"/>
        <v>Canopy</v>
      </c>
      <c r="AI211" s="155">
        <f t="shared" si="68"/>
        <v>300</v>
      </c>
      <c r="AJ211" s="155">
        <f t="shared" si="62"/>
        <v>210</v>
      </c>
      <c r="AK211" s="155">
        <f t="shared" si="52"/>
        <v>0</v>
      </c>
      <c r="AL211" s="155">
        <v>59</v>
      </c>
      <c r="AM211">
        <f t="shared" si="69"/>
        <v>63000</v>
      </c>
      <c r="AN211">
        <f t="shared" si="70"/>
        <v>0</v>
      </c>
      <c r="AO211">
        <f t="shared" si="71"/>
        <v>17700</v>
      </c>
      <c r="AU211" s="42" t="s">
        <v>144</v>
      </c>
      <c r="AV211" s="42" t="s">
        <v>145</v>
      </c>
      <c r="AW211" s="32" t="s">
        <v>146</v>
      </c>
      <c r="AX211" s="32" t="s">
        <v>147</v>
      </c>
      <c r="AY211" s="32" t="s">
        <v>148</v>
      </c>
      <c r="AZ211" s="26" t="s">
        <v>149</v>
      </c>
      <c r="BR211" s="220" t="s">
        <v>266</v>
      </c>
      <c r="BS211">
        <f t="shared" si="56"/>
        <v>400</v>
      </c>
      <c r="BT211">
        <f t="shared" si="57"/>
        <v>12.43239883135451</v>
      </c>
      <c r="BU211">
        <v>17.5</v>
      </c>
      <c r="BV211">
        <v>22</v>
      </c>
      <c r="BY211">
        <f t="shared" si="53"/>
        <v>591</v>
      </c>
      <c r="BZ211">
        <v>23</v>
      </c>
      <c r="CA211">
        <v>20</v>
      </c>
      <c r="CB211" s="212">
        <f t="shared" si="54"/>
        <v>236400</v>
      </c>
      <c r="CC211" s="212">
        <f t="shared" si="73"/>
        <v>9200</v>
      </c>
      <c r="CD211" s="212">
        <f t="shared" si="55"/>
        <v>8000</v>
      </c>
      <c r="CE211" t="s">
        <v>194</v>
      </c>
      <c r="CF211" s="208"/>
      <c r="CG211" s="213"/>
      <c r="CH211" s="218"/>
      <c r="CI211" s="209"/>
      <c r="CJ211" s="209"/>
      <c r="CK211" s="209"/>
      <c r="CL211" s="209"/>
      <c r="CM211" s="215"/>
      <c r="CN211" s="215"/>
      <c r="CO211" s="215"/>
      <c r="CP211" s="216"/>
      <c r="CQ211" s="216"/>
      <c r="CR211" s="216"/>
      <c r="CS211" s="209">
        <f>(1/12)*BT211*(3*BU211^2+BV211^2)</f>
        <v>1453.2956217235446</v>
      </c>
      <c r="CT211" s="209">
        <f>(1/12)*BT211*(3*BU211^2+BV211^2)</f>
        <v>1453.2956217235446</v>
      </c>
      <c r="CU211" s="209">
        <f>(1/2)*BT211*BU211^2</f>
        <v>1903.7110710511593</v>
      </c>
      <c r="CV211" s="209"/>
    </row>
    <row r="212" spans="1:100" ht="14.5">
      <c r="J212" s="157" t="s">
        <v>264</v>
      </c>
      <c r="K212" s="157">
        <v>100</v>
      </c>
      <c r="L212" s="157">
        <v>210</v>
      </c>
      <c r="M212" s="157">
        <v>0</v>
      </c>
      <c r="N212" s="157">
        <v>16</v>
      </c>
      <c r="O212">
        <f t="shared" si="63"/>
        <v>21000</v>
      </c>
      <c r="P212">
        <f t="shared" si="74"/>
        <v>0</v>
      </c>
      <c r="Q212">
        <f t="shared" si="65"/>
        <v>1600</v>
      </c>
      <c r="V212" s="157" t="s">
        <v>264</v>
      </c>
      <c r="W212" s="157">
        <v>100</v>
      </c>
      <c r="X212" s="157">
        <v>210</v>
      </c>
      <c r="Y212" s="157">
        <v>0</v>
      </c>
      <c r="Z212" s="157">
        <v>16</v>
      </c>
      <c r="AA212">
        <f t="shared" si="72"/>
        <v>21000</v>
      </c>
      <c r="AB212">
        <f t="shared" si="66"/>
        <v>0</v>
      </c>
      <c r="AC212">
        <f t="shared" si="67"/>
        <v>1600</v>
      </c>
      <c r="AH212" s="157" t="str">
        <f t="shared" si="61"/>
        <v>Seating</v>
      </c>
      <c r="AI212" s="157">
        <f t="shared" si="68"/>
        <v>100</v>
      </c>
      <c r="AJ212" s="157">
        <f t="shared" si="62"/>
        <v>210</v>
      </c>
      <c r="AK212" s="157">
        <f t="shared" si="52"/>
        <v>0</v>
      </c>
      <c r="AL212" s="157">
        <v>16</v>
      </c>
      <c r="AM212">
        <f t="shared" si="69"/>
        <v>21000</v>
      </c>
      <c r="AN212">
        <f t="shared" si="70"/>
        <v>0</v>
      </c>
      <c r="AO212">
        <f t="shared" si="71"/>
        <v>1600</v>
      </c>
      <c r="AU212" s="60" t="s">
        <v>156</v>
      </c>
      <c r="AV212" t="s">
        <v>157</v>
      </c>
      <c r="AW212" s="32">
        <v>1</v>
      </c>
      <c r="AX212" s="32">
        <f>((AM231-AM202)+(AZ212*AJ202))/((SUM(AI203:AI218)+SUM(AI220:AI229))+AZ212)</f>
        <v>373.24000323103945</v>
      </c>
      <c r="AY212" s="32">
        <f>(AX212-WingLayout!F14)/WingLayout!F11*100</f>
        <v>11.523616605254649</v>
      </c>
      <c r="AZ212" s="26">
        <f>AV209*0.01</f>
        <v>193.07</v>
      </c>
      <c r="BR212" s="220" t="s">
        <v>267</v>
      </c>
      <c r="BS212">
        <f t="shared" si="56"/>
        <v>400</v>
      </c>
      <c r="BT212">
        <f t="shared" si="57"/>
        <v>12.43239883135451</v>
      </c>
      <c r="BU212">
        <v>17.5</v>
      </c>
      <c r="BV212">
        <v>22</v>
      </c>
      <c r="BY212">
        <f t="shared" si="53"/>
        <v>591</v>
      </c>
      <c r="BZ212">
        <v>-23</v>
      </c>
      <c r="CA212">
        <v>20</v>
      </c>
      <c r="CB212" s="212">
        <f t="shared" si="54"/>
        <v>236400</v>
      </c>
      <c r="CC212" s="212">
        <f t="shared" si="73"/>
        <v>-9200</v>
      </c>
      <c r="CD212" s="212">
        <f t="shared" si="55"/>
        <v>8000</v>
      </c>
      <c r="CE212" t="s">
        <v>194</v>
      </c>
      <c r="CF212" s="208"/>
      <c r="CG212" s="213"/>
      <c r="CH212" s="218"/>
      <c r="CI212" s="209"/>
      <c r="CJ212" s="209"/>
      <c r="CK212" s="209"/>
      <c r="CL212" s="209"/>
      <c r="CM212" s="215"/>
      <c r="CN212" s="215"/>
      <c r="CO212" s="215"/>
      <c r="CP212" s="216"/>
      <c r="CQ212" s="216"/>
      <c r="CR212" s="216"/>
      <c r="CS212" s="209">
        <f>(1/12)*BT212*(3*BU212^2+BV212^2)</f>
        <v>1453.2956217235446</v>
      </c>
      <c r="CT212" s="209">
        <f t="shared" ref="CT212:CT214" si="75">(1/12)*BT212*(3*BU212^2+BV212^2)</f>
        <v>1453.2956217235446</v>
      </c>
      <c r="CU212" s="209">
        <f t="shared" ref="CU212:CU214" si="76">(1/2)*BT212*BU212^2</f>
        <v>1903.7110710511593</v>
      </c>
      <c r="CV212" s="209"/>
    </row>
    <row r="213" spans="1:100" ht="14.5">
      <c r="A213" t="s">
        <v>268</v>
      </c>
      <c r="J213" s="155" t="s">
        <v>266</v>
      </c>
      <c r="K213" s="155">
        <v>400</v>
      </c>
      <c r="L213" s="155">
        <v>591</v>
      </c>
      <c r="M213" s="155">
        <v>23</v>
      </c>
      <c r="N213" s="155">
        <v>20</v>
      </c>
      <c r="O213">
        <f t="shared" si="63"/>
        <v>236400</v>
      </c>
      <c r="P213">
        <f t="shared" si="74"/>
        <v>9200</v>
      </c>
      <c r="Q213">
        <f t="shared" si="65"/>
        <v>8000</v>
      </c>
      <c r="V213" s="155" t="s">
        <v>266</v>
      </c>
      <c r="W213" s="155">
        <v>400</v>
      </c>
      <c r="X213" s="155">
        <v>591</v>
      </c>
      <c r="Y213" s="155">
        <v>23</v>
      </c>
      <c r="Z213" s="155">
        <v>20</v>
      </c>
      <c r="AA213">
        <f t="shared" si="72"/>
        <v>236400</v>
      </c>
      <c r="AB213">
        <f t="shared" si="66"/>
        <v>9200</v>
      </c>
      <c r="AC213">
        <f t="shared" si="67"/>
        <v>8000</v>
      </c>
      <c r="AH213" s="155" t="str">
        <f t="shared" si="61"/>
        <v>Thrust Nozzle (Left)</v>
      </c>
      <c r="AI213" s="155">
        <f t="shared" si="68"/>
        <v>400</v>
      </c>
      <c r="AJ213" s="155">
        <f t="shared" si="62"/>
        <v>591</v>
      </c>
      <c r="AK213" s="155">
        <f t="shared" si="52"/>
        <v>23</v>
      </c>
      <c r="AL213" s="155">
        <v>20</v>
      </c>
      <c r="AM213">
        <f t="shared" si="69"/>
        <v>236400</v>
      </c>
      <c r="AN213">
        <f t="shared" si="70"/>
        <v>9200</v>
      </c>
      <c r="AO213">
        <f t="shared" si="71"/>
        <v>8000</v>
      </c>
      <c r="AU213" s="60" t="s">
        <v>269</v>
      </c>
      <c r="AW213" s="32">
        <v>60</v>
      </c>
      <c r="AX213" s="32">
        <f>((AM231-AM202)+(AZ213*AJ202))/((SUM(AI203:AI218)+SUM(AI220:AI229))+AZ213)</f>
        <v>375.50480005465448</v>
      </c>
      <c r="AY213" s="32">
        <f>(AX213-WingLayout!F14)/WingLayout!F11*100</f>
        <v>13.315666295712775</v>
      </c>
      <c r="AZ213" s="26">
        <f>AV209*0.6</f>
        <v>11584.199999999999</v>
      </c>
      <c r="BR213" s="220" t="s">
        <v>270</v>
      </c>
      <c r="BS213">
        <f t="shared" si="56"/>
        <v>2282</v>
      </c>
      <c r="BT213">
        <f t="shared" si="57"/>
        <v>70.926835332877474</v>
      </c>
      <c r="BU213">
        <v>17.5</v>
      </c>
      <c r="BV213">
        <v>154</v>
      </c>
      <c r="BY213">
        <f t="shared" si="53"/>
        <v>488</v>
      </c>
      <c r="BZ213">
        <v>23</v>
      </c>
      <c r="CA213">
        <v>13</v>
      </c>
      <c r="CB213" s="212">
        <f t="shared" si="54"/>
        <v>1113616</v>
      </c>
      <c r="CC213" s="212">
        <f t="shared" si="73"/>
        <v>52486</v>
      </c>
      <c r="CD213" s="212">
        <f t="shared" si="55"/>
        <v>29666</v>
      </c>
      <c r="CE213" t="s">
        <v>194</v>
      </c>
      <c r="CF213" s="208"/>
      <c r="CG213" s="213"/>
      <c r="CH213" s="218"/>
      <c r="CI213" s="209"/>
      <c r="CJ213" s="209"/>
      <c r="CK213" s="209"/>
      <c r="CL213" s="209"/>
      <c r="CM213" s="215"/>
      <c r="CN213" s="215"/>
      <c r="CO213" s="215"/>
      <c r="CP213" s="216"/>
      <c r="CQ213" s="216"/>
      <c r="CR213" s="216"/>
      <c r="CS213" s="209">
        <f t="shared" ref="CS213:CS214" si="77">(1/12)*BT213*(3*BU213^2+BV213^2)</f>
        <v>145605.4047263836</v>
      </c>
      <c r="CT213" s="209">
        <f t="shared" si="75"/>
        <v>145605.4047263836</v>
      </c>
      <c r="CU213" s="209">
        <f t="shared" si="76"/>
        <v>10860.671660346863</v>
      </c>
      <c r="CV213" s="209"/>
    </row>
    <row r="214" spans="1:100" ht="14.5">
      <c r="A214" t="s">
        <v>271</v>
      </c>
      <c r="J214" s="155" t="s">
        <v>267</v>
      </c>
      <c r="K214" s="155">
        <v>400</v>
      </c>
      <c r="L214" s="155">
        <v>591</v>
      </c>
      <c r="M214" s="155">
        <v>-23</v>
      </c>
      <c r="N214" s="155">
        <v>20</v>
      </c>
      <c r="O214">
        <f t="shared" si="63"/>
        <v>236400</v>
      </c>
      <c r="P214">
        <f t="shared" si="74"/>
        <v>-9200</v>
      </c>
      <c r="Q214">
        <f t="shared" si="65"/>
        <v>8000</v>
      </c>
      <c r="V214" s="155" t="s">
        <v>267</v>
      </c>
      <c r="W214" s="155">
        <v>400</v>
      </c>
      <c r="X214" s="155">
        <v>591</v>
      </c>
      <c r="Y214" s="155">
        <v>-23</v>
      </c>
      <c r="Z214" s="155">
        <v>20</v>
      </c>
      <c r="AA214">
        <f t="shared" si="72"/>
        <v>236400</v>
      </c>
      <c r="AB214">
        <f t="shared" si="66"/>
        <v>-9200</v>
      </c>
      <c r="AC214">
        <f t="shared" si="67"/>
        <v>8000</v>
      </c>
      <c r="AH214" s="155" t="str">
        <f t="shared" si="61"/>
        <v>Thrust Nozzle (Right)</v>
      </c>
      <c r="AI214" s="155">
        <f t="shared" si="68"/>
        <v>400</v>
      </c>
      <c r="AJ214" s="155">
        <f t="shared" si="62"/>
        <v>591</v>
      </c>
      <c r="AK214" s="155">
        <f t="shared" si="52"/>
        <v>-23</v>
      </c>
      <c r="AL214" s="155">
        <v>20</v>
      </c>
      <c r="AM214">
        <f t="shared" si="69"/>
        <v>236400</v>
      </c>
      <c r="AN214">
        <f t="shared" si="70"/>
        <v>-9200</v>
      </c>
      <c r="AO214">
        <f t="shared" si="71"/>
        <v>8000</v>
      </c>
      <c r="AU214" s="60"/>
      <c r="AW214" s="32">
        <v>100</v>
      </c>
      <c r="AX214" s="32">
        <f>((AM231-AM202)+(AZ214*AJ202))/((SUM(AI203:AI218)+SUM(AI220:AI229))+AZ214)</f>
        <v>376.336843825063</v>
      </c>
      <c r="AY214" s="32">
        <f>(AX214-WingLayout!F14)/WingLayout!F11*100</f>
        <v>13.974031657965529</v>
      </c>
      <c r="AZ214" s="26">
        <f>AV209</f>
        <v>19307</v>
      </c>
      <c r="BR214" s="220" t="s">
        <v>272</v>
      </c>
      <c r="BS214">
        <f t="shared" si="56"/>
        <v>2282</v>
      </c>
      <c r="BT214">
        <f t="shared" si="57"/>
        <v>70.926835332877474</v>
      </c>
      <c r="BU214">
        <v>17.5</v>
      </c>
      <c r="BV214">
        <v>154</v>
      </c>
      <c r="BY214">
        <f t="shared" si="53"/>
        <v>488</v>
      </c>
      <c r="BZ214">
        <v>-23</v>
      </c>
      <c r="CA214">
        <v>13</v>
      </c>
      <c r="CB214" s="212">
        <f t="shared" si="54"/>
        <v>1113616</v>
      </c>
      <c r="CC214" s="212">
        <f t="shared" si="73"/>
        <v>-52486</v>
      </c>
      <c r="CD214" s="212">
        <f t="shared" si="55"/>
        <v>29666</v>
      </c>
      <c r="CE214" t="s">
        <v>194</v>
      </c>
      <c r="CF214" s="208"/>
      <c r="CG214" s="213"/>
      <c r="CH214" s="218"/>
      <c r="CI214" s="209"/>
      <c r="CJ214" s="209"/>
      <c r="CK214" s="209"/>
      <c r="CL214" s="209"/>
      <c r="CM214" s="215"/>
      <c r="CN214" s="215"/>
      <c r="CO214" s="215"/>
      <c r="CP214" s="216"/>
      <c r="CQ214" s="216"/>
      <c r="CR214" s="216"/>
      <c r="CS214" s="209">
        <f t="shared" si="77"/>
        <v>145605.4047263836</v>
      </c>
      <c r="CT214" s="209">
        <f t="shared" si="75"/>
        <v>145605.4047263836</v>
      </c>
      <c r="CU214" s="209">
        <f t="shared" si="76"/>
        <v>10860.671660346863</v>
      </c>
      <c r="CV214" s="209"/>
    </row>
    <row r="215" spans="1:100" ht="14.5">
      <c r="J215" s="52" t="s">
        <v>270</v>
      </c>
      <c r="K215" s="52">
        <v>2282</v>
      </c>
      <c r="L215" s="52">
        <v>488</v>
      </c>
      <c r="M215" s="52">
        <v>23</v>
      </c>
      <c r="N215" s="52">
        <v>13</v>
      </c>
      <c r="O215">
        <f t="shared" si="63"/>
        <v>1113616</v>
      </c>
      <c r="P215">
        <f t="shared" si="74"/>
        <v>52486</v>
      </c>
      <c r="Q215">
        <f t="shared" si="65"/>
        <v>29666</v>
      </c>
      <c r="V215" s="52" t="s">
        <v>270</v>
      </c>
      <c r="W215" s="52">
        <v>2282</v>
      </c>
      <c r="X215" s="52">
        <v>488</v>
      </c>
      <c r="Y215" s="52">
        <v>23</v>
      </c>
      <c r="Z215" s="52">
        <v>13</v>
      </c>
      <c r="AA215">
        <f t="shared" si="72"/>
        <v>1113616</v>
      </c>
      <c r="AB215">
        <f t="shared" si="66"/>
        <v>52486</v>
      </c>
      <c r="AC215">
        <f t="shared" si="67"/>
        <v>29666</v>
      </c>
      <c r="AH215" s="52" t="str">
        <f t="shared" si="61"/>
        <v>Engine 1 (Left)</v>
      </c>
      <c r="AI215" s="52">
        <f t="shared" si="68"/>
        <v>2282</v>
      </c>
      <c r="AJ215" s="52">
        <f t="shared" si="62"/>
        <v>488</v>
      </c>
      <c r="AK215" s="52">
        <f t="shared" si="52"/>
        <v>23</v>
      </c>
      <c r="AL215" s="52">
        <v>13</v>
      </c>
      <c r="AM215">
        <f t="shared" si="69"/>
        <v>1113616</v>
      </c>
      <c r="AN215">
        <f t="shared" si="70"/>
        <v>52486</v>
      </c>
      <c r="AO215">
        <f t="shared" si="71"/>
        <v>29666</v>
      </c>
      <c r="AU215" s="26" t="s">
        <v>165</v>
      </c>
      <c r="AV215" s="33" t="s">
        <v>166</v>
      </c>
      <c r="AW215" s="32">
        <v>1</v>
      </c>
      <c r="AX215" s="32">
        <f>((AM231-AM202)+(AZ215*AJ202)-(SUM(AM217:AM218)))/((SUM(AI203:AI216)+SUM(AI220:AI229))+AZ215)</f>
        <v>378.55285766202451</v>
      </c>
      <c r="AY215" s="32">
        <f>(AX215-WingLayout!F14)/WingLayout!F11*100</f>
        <v>15.727481181194294</v>
      </c>
      <c r="AZ215" s="26">
        <f>AZ212</f>
        <v>193.07</v>
      </c>
      <c r="BR215" t="s">
        <v>273</v>
      </c>
      <c r="BS215">
        <f t="shared" si="56"/>
        <v>2187</v>
      </c>
      <c r="BT215">
        <f t="shared" si="57"/>
        <v>67.97414061043078</v>
      </c>
      <c r="BY215">
        <f t="shared" si="53"/>
        <v>330</v>
      </c>
      <c r="BZ215">
        <v>13</v>
      </c>
      <c r="CA215">
        <v>8</v>
      </c>
      <c r="CB215" s="212">
        <f t="shared" si="54"/>
        <v>721710</v>
      </c>
      <c r="CC215" s="212">
        <f t="shared" si="73"/>
        <v>28431</v>
      </c>
      <c r="CD215" s="212">
        <f t="shared" si="55"/>
        <v>17496</v>
      </c>
      <c r="CF215" s="208"/>
      <c r="CG215" s="213"/>
      <c r="CH215" s="218"/>
      <c r="CI215" s="209"/>
      <c r="CJ215" s="209"/>
      <c r="CK215" s="209"/>
      <c r="CL215" s="209"/>
      <c r="CM215" s="215"/>
      <c r="CN215" s="215"/>
      <c r="CO215" s="215"/>
      <c r="CP215" s="216"/>
      <c r="CQ215" s="216"/>
      <c r="CR215" s="216"/>
      <c r="CS215" s="209"/>
      <c r="CT215" s="209"/>
      <c r="CU215" s="209"/>
      <c r="CV215" s="209"/>
    </row>
    <row r="216" spans="1:100" ht="14.5">
      <c r="A216" t="s">
        <v>274</v>
      </c>
      <c r="J216" s="52" t="s">
        <v>272</v>
      </c>
      <c r="K216" s="52">
        <v>2282</v>
      </c>
      <c r="L216" s="52">
        <v>488</v>
      </c>
      <c r="M216" s="52">
        <v>-23</v>
      </c>
      <c r="N216" s="52">
        <v>13</v>
      </c>
      <c r="O216">
        <f t="shared" si="63"/>
        <v>1113616</v>
      </c>
      <c r="P216">
        <f t="shared" si="74"/>
        <v>-52486</v>
      </c>
      <c r="Q216">
        <f t="shared" si="65"/>
        <v>29666</v>
      </c>
      <c r="V216" s="52" t="s">
        <v>272</v>
      </c>
      <c r="W216" s="52">
        <v>2282</v>
      </c>
      <c r="X216" s="52">
        <v>488</v>
      </c>
      <c r="Y216" s="52">
        <v>-23</v>
      </c>
      <c r="Z216" s="52">
        <v>13</v>
      </c>
      <c r="AA216">
        <f t="shared" si="72"/>
        <v>1113616</v>
      </c>
      <c r="AB216">
        <f t="shared" si="66"/>
        <v>-52486</v>
      </c>
      <c r="AC216">
        <f t="shared" si="67"/>
        <v>29666</v>
      </c>
      <c r="AH216" s="52" t="str">
        <f t="shared" si="61"/>
        <v>Engine 2 (Right)</v>
      </c>
      <c r="AI216" s="52">
        <f t="shared" si="68"/>
        <v>2282</v>
      </c>
      <c r="AJ216" s="52">
        <f t="shared" si="62"/>
        <v>488</v>
      </c>
      <c r="AK216" s="52">
        <f t="shared" si="52"/>
        <v>-23</v>
      </c>
      <c r="AL216" s="52">
        <v>13</v>
      </c>
      <c r="AM216">
        <f t="shared" si="69"/>
        <v>1113616</v>
      </c>
      <c r="AN216">
        <f t="shared" si="70"/>
        <v>-52486</v>
      </c>
      <c r="AO216">
        <f t="shared" si="71"/>
        <v>29666</v>
      </c>
      <c r="AU216" s="60" t="s">
        <v>257</v>
      </c>
      <c r="AW216" s="32">
        <v>60</v>
      </c>
      <c r="AX216" s="32">
        <f>((AM231-AM202)+(AZ216*AJ202)-(SUM(AM217:AM218)))/((SUM(AI203:AI216)+SUM(AI220:AI229))+AZ216)</f>
        <v>379.07573961365858</v>
      </c>
      <c r="AY216" s="32">
        <f>(AX216-WingLayout!F14)/WingLayout!F11*100</f>
        <v>16.141218267806909</v>
      </c>
      <c r="AZ216" s="26">
        <f>AZ213</f>
        <v>11584.199999999999</v>
      </c>
      <c r="BR216" t="s">
        <v>275</v>
      </c>
      <c r="BS216">
        <f t="shared" si="56"/>
        <v>2187</v>
      </c>
      <c r="BT216">
        <f t="shared" si="57"/>
        <v>67.97414061043078</v>
      </c>
      <c r="BY216">
        <f t="shared" si="53"/>
        <v>330</v>
      </c>
      <c r="BZ216">
        <v>-13</v>
      </c>
      <c r="CA216">
        <v>8</v>
      </c>
      <c r="CB216" s="212">
        <f t="shared" si="54"/>
        <v>721710</v>
      </c>
      <c r="CC216" s="212">
        <f t="shared" si="73"/>
        <v>-28431</v>
      </c>
      <c r="CD216" s="212">
        <f t="shared" si="55"/>
        <v>17496</v>
      </c>
      <c r="CF216" s="208"/>
      <c r="CG216" s="213"/>
      <c r="CH216" s="218"/>
      <c r="CI216" s="209"/>
      <c r="CJ216" s="209"/>
      <c r="CK216" s="209"/>
      <c r="CL216" s="209"/>
      <c r="CM216" s="215"/>
      <c r="CN216" s="215"/>
      <c r="CO216" s="215"/>
      <c r="CP216" s="216"/>
      <c r="CQ216" s="216"/>
      <c r="CR216" s="216"/>
      <c r="CS216" s="209"/>
      <c r="CT216" s="209"/>
      <c r="CU216" s="209"/>
      <c r="CV216" s="209"/>
    </row>
    <row r="217" spans="1:100" ht="14.5">
      <c r="A217" t="s">
        <v>276</v>
      </c>
      <c r="B217">
        <v>350</v>
      </c>
      <c r="J217" s="157" t="s">
        <v>273</v>
      </c>
      <c r="K217" s="157">
        <f>B224/2</f>
        <v>2187</v>
      </c>
      <c r="L217" s="157">
        <v>330</v>
      </c>
      <c r="M217" s="157">
        <v>13</v>
      </c>
      <c r="N217" s="157">
        <v>8</v>
      </c>
      <c r="O217">
        <f t="shared" si="63"/>
        <v>721710</v>
      </c>
      <c r="P217">
        <f t="shared" si="74"/>
        <v>28431</v>
      </c>
      <c r="Q217">
        <f t="shared" si="65"/>
        <v>17496</v>
      </c>
      <c r="V217" s="157" t="str">
        <f t="shared" ref="V217:V229" si="78">J217</f>
        <v>Payload System 1 (Left)</v>
      </c>
      <c r="W217" s="157">
        <v>0</v>
      </c>
      <c r="X217" s="157">
        <f t="shared" ref="X217:X229" si="79">L217</f>
        <v>330</v>
      </c>
      <c r="Y217" s="157">
        <f t="shared" ref="Y217:Y229" si="80">M217</f>
        <v>13</v>
      </c>
      <c r="Z217" s="157">
        <v>8</v>
      </c>
      <c r="AA217">
        <f t="shared" si="72"/>
        <v>0</v>
      </c>
      <c r="AB217">
        <f t="shared" si="66"/>
        <v>0</v>
      </c>
      <c r="AC217">
        <f t="shared" si="67"/>
        <v>0</v>
      </c>
      <c r="AH217" s="157" t="str">
        <f t="shared" si="61"/>
        <v>Payload System 1 (Left)</v>
      </c>
      <c r="AI217" s="157">
        <f>B219/2</f>
        <v>1237</v>
      </c>
      <c r="AJ217" s="157">
        <f t="shared" si="62"/>
        <v>330</v>
      </c>
      <c r="AK217" s="157">
        <f t="shared" si="52"/>
        <v>13</v>
      </c>
      <c r="AL217" s="157">
        <v>8</v>
      </c>
      <c r="AM217">
        <f t="shared" si="69"/>
        <v>408210</v>
      </c>
      <c r="AN217">
        <f t="shared" si="70"/>
        <v>16081</v>
      </c>
      <c r="AO217">
        <f t="shared" si="71"/>
        <v>9896</v>
      </c>
      <c r="AU217" s="48"/>
      <c r="AV217" s="57"/>
      <c r="AW217" s="42">
        <v>100</v>
      </c>
      <c r="AX217" s="42">
        <f>((AM231-AM202)+(AZ217*AJ202)-(SUM(AM217:AM218)))/((SUM(AI203:AI216)+SUM(AI220:AI229))+AZ217)</f>
        <v>379.25760007921122</v>
      </c>
      <c r="AY217" s="42">
        <f>(AX217-WingLayout!F14)/WingLayout!F11*100</f>
        <v>16.285117706203312</v>
      </c>
      <c r="AZ217" s="15">
        <f>AZ214</f>
        <v>19307</v>
      </c>
      <c r="BR217" t="s">
        <v>277</v>
      </c>
      <c r="BS217">
        <f t="shared" si="56"/>
        <v>6429.4563053581278</v>
      </c>
      <c r="BT217">
        <f t="shared" si="57"/>
        <v>199.83391264244818</v>
      </c>
      <c r="BY217">
        <f t="shared" si="53"/>
        <v>488</v>
      </c>
      <c r="BZ217">
        <f>BZ214</f>
        <v>-23</v>
      </c>
      <c r="CA217">
        <f>CA214</f>
        <v>13</v>
      </c>
      <c r="CB217" s="212">
        <f t="shared" si="54"/>
        <v>3137574.6770147663</v>
      </c>
      <c r="CC217" s="212">
        <f t="shared" si="73"/>
        <v>-147877.49502323693</v>
      </c>
      <c r="CD217" s="212">
        <f t="shared" si="55"/>
        <v>83582.931969655663</v>
      </c>
      <c r="CF217" s="208"/>
      <c r="CG217" s="213"/>
      <c r="CH217" s="218"/>
      <c r="CI217" s="209"/>
      <c r="CJ217" s="209"/>
      <c r="CK217" s="209"/>
      <c r="CL217" s="209"/>
      <c r="CM217" s="215"/>
      <c r="CN217" s="215"/>
      <c r="CO217" s="215"/>
      <c r="CP217" s="216"/>
      <c r="CQ217" s="216"/>
      <c r="CR217" s="216"/>
      <c r="CS217" s="209"/>
      <c r="CT217" s="209"/>
      <c r="CU217" s="209"/>
      <c r="CV217" s="209"/>
    </row>
    <row r="218" spans="1:100" ht="15" customHeight="1">
      <c r="A218" t="s">
        <v>278</v>
      </c>
      <c r="B218">
        <v>187</v>
      </c>
      <c r="J218" s="157" t="s">
        <v>275</v>
      </c>
      <c r="K218" s="157">
        <f>B224/2</f>
        <v>2187</v>
      </c>
      <c r="L218" s="157">
        <v>330</v>
      </c>
      <c r="M218" s="157">
        <v>-13</v>
      </c>
      <c r="N218" s="157">
        <v>8</v>
      </c>
      <c r="O218">
        <f t="shared" si="63"/>
        <v>721710</v>
      </c>
      <c r="P218">
        <f t="shared" si="74"/>
        <v>-28431</v>
      </c>
      <c r="Q218">
        <f t="shared" si="65"/>
        <v>17496</v>
      </c>
      <c r="V218" s="157" t="str">
        <f t="shared" si="78"/>
        <v>Payload System 2 (Right)</v>
      </c>
      <c r="W218" s="157">
        <v>0</v>
      </c>
      <c r="X218" s="157">
        <f t="shared" si="79"/>
        <v>330</v>
      </c>
      <c r="Y218" s="157">
        <f t="shared" si="80"/>
        <v>-13</v>
      </c>
      <c r="Z218" s="157">
        <v>8</v>
      </c>
      <c r="AA218">
        <f t="shared" si="72"/>
        <v>0</v>
      </c>
      <c r="AB218">
        <f t="shared" si="66"/>
        <v>0</v>
      </c>
      <c r="AC218">
        <f t="shared" si="67"/>
        <v>0</v>
      </c>
      <c r="AH218" s="157" t="str">
        <f t="shared" si="61"/>
        <v>Payload System 2 (Right)</v>
      </c>
      <c r="AI218" s="157">
        <f>B219/2</f>
        <v>1237</v>
      </c>
      <c r="AJ218" s="157">
        <f t="shared" si="62"/>
        <v>330</v>
      </c>
      <c r="AK218" s="157">
        <f t="shared" si="52"/>
        <v>-13</v>
      </c>
      <c r="AL218" s="157">
        <v>8</v>
      </c>
      <c r="AM218">
        <f t="shared" si="69"/>
        <v>408210</v>
      </c>
      <c r="AN218">
        <f t="shared" si="70"/>
        <v>-16081</v>
      </c>
      <c r="AO218">
        <f t="shared" si="71"/>
        <v>9896</v>
      </c>
      <c r="BR218" t="s">
        <v>279</v>
      </c>
      <c r="BS218">
        <f t="shared" si="56"/>
        <v>698.0071511989787</v>
      </c>
      <c r="BT218">
        <f t="shared" si="57"/>
        <v>21.694758227108185</v>
      </c>
      <c r="BY218">
        <f t="shared" si="53"/>
        <v>212.5</v>
      </c>
      <c r="BZ218">
        <v>0</v>
      </c>
      <c r="CA218">
        <f>CA221</f>
        <v>35</v>
      </c>
      <c r="CB218" s="212">
        <f t="shared" si="54"/>
        <v>148326.51962978297</v>
      </c>
      <c r="CC218" s="212">
        <f t="shared" si="73"/>
        <v>0</v>
      </c>
      <c r="CD218" s="212">
        <f t="shared" si="55"/>
        <v>24430.250291964254</v>
      </c>
      <c r="CF218" s="208"/>
      <c r="CG218" s="213"/>
      <c r="CH218" s="218"/>
      <c r="CI218" s="209"/>
      <c r="CJ218" s="209"/>
      <c r="CK218" s="209"/>
      <c r="CL218" s="209"/>
      <c r="CM218" s="215"/>
      <c r="CN218" s="215"/>
      <c r="CO218" s="215"/>
      <c r="CP218" s="216"/>
      <c r="CQ218" s="216"/>
      <c r="CR218" s="216"/>
      <c r="CS218" s="209"/>
      <c r="CT218" s="209"/>
      <c r="CU218" s="209"/>
      <c r="CV218" s="209"/>
    </row>
    <row r="219" spans="1:100" ht="15" customHeight="1">
      <c r="A219" t="s">
        <v>280</v>
      </c>
      <c r="B219">
        <f>B218*2+B217*6</f>
        <v>2474</v>
      </c>
      <c r="J219" s="52" t="s">
        <v>277</v>
      </c>
      <c r="K219" s="52">
        <f>2.575*(K215)^0.922 *2</f>
        <v>6429.4563053581278</v>
      </c>
      <c r="L219" s="52">
        <f>L216</f>
        <v>488</v>
      </c>
      <c r="M219" s="52">
        <f>M216</f>
        <v>-23</v>
      </c>
      <c r="N219" s="52">
        <f>N216</f>
        <v>13</v>
      </c>
      <c r="O219">
        <f t="shared" si="63"/>
        <v>3137574.6770147663</v>
      </c>
      <c r="P219">
        <f t="shared" ref="P219:P229" si="81">M219*K219</f>
        <v>-147877.49502323693</v>
      </c>
      <c r="Q219">
        <f t="shared" si="65"/>
        <v>83582.931969655663</v>
      </c>
      <c r="V219" s="52" t="str">
        <f t="shared" si="78"/>
        <v>Propulsion Systems (TOTAL)</v>
      </c>
      <c r="W219" s="52">
        <f t="shared" ref="W219:W229" si="82">K219</f>
        <v>6429.4563053581278</v>
      </c>
      <c r="X219" s="52">
        <f t="shared" si="79"/>
        <v>488</v>
      </c>
      <c r="Y219" s="52">
        <f t="shared" si="80"/>
        <v>-23</v>
      </c>
      <c r="Z219" s="52">
        <f>Z216</f>
        <v>13</v>
      </c>
      <c r="AA219">
        <f t="shared" si="72"/>
        <v>3137574.6770147663</v>
      </c>
      <c r="AB219">
        <f t="shared" si="66"/>
        <v>-147877.49502323693</v>
      </c>
      <c r="AC219">
        <f t="shared" si="67"/>
        <v>83582.931969655663</v>
      </c>
      <c r="AH219" s="52" t="str">
        <f t="shared" si="61"/>
        <v>Propulsion Systems (TOTAL)</v>
      </c>
      <c r="AI219" s="52">
        <f t="shared" ref="AI219:AI229" si="83">K219</f>
        <v>6429.4563053581278</v>
      </c>
      <c r="AJ219" s="52">
        <f t="shared" si="62"/>
        <v>488</v>
      </c>
      <c r="AK219" s="52">
        <f t="shared" si="52"/>
        <v>-23</v>
      </c>
      <c r="AL219" s="52">
        <f>AL216</f>
        <v>13</v>
      </c>
      <c r="AM219">
        <f t="shared" si="69"/>
        <v>3137574.6770147663</v>
      </c>
      <c r="AN219">
        <f t="shared" si="70"/>
        <v>-147877.49502323693</v>
      </c>
      <c r="AO219">
        <f t="shared" si="71"/>
        <v>83582.931969655663</v>
      </c>
      <c r="BR219" t="s">
        <v>281</v>
      </c>
      <c r="BS219">
        <f t="shared" si="56"/>
        <v>1892.1051507342017</v>
      </c>
      <c r="BT219">
        <f t="shared" si="57"/>
        <v>58.808514661969348</v>
      </c>
      <c r="BY219">
        <f t="shared" si="53"/>
        <v>380</v>
      </c>
      <c r="BZ219">
        <v>0</v>
      </c>
      <c r="CA219">
        <v>40</v>
      </c>
      <c r="CB219" s="212">
        <f t="shared" si="54"/>
        <v>718999.95727899671</v>
      </c>
      <c r="CC219" s="212">
        <f t="shared" si="73"/>
        <v>0</v>
      </c>
      <c r="CD219" s="212">
        <f t="shared" si="55"/>
        <v>75684.20602936807</v>
      </c>
      <c r="CF219" s="208"/>
      <c r="CG219" s="213"/>
      <c r="CH219" s="218"/>
      <c r="CI219" s="209"/>
      <c r="CJ219" s="209"/>
      <c r="CK219" s="209"/>
      <c r="CL219" s="209"/>
      <c r="CM219" s="215"/>
      <c r="CN219" s="215"/>
      <c r="CO219" s="215"/>
      <c r="CP219" s="216"/>
      <c r="CQ219" s="216"/>
      <c r="CR219" s="216"/>
      <c r="CS219" s="209"/>
      <c r="CT219" s="209"/>
      <c r="CU219" s="209"/>
      <c r="CV219" s="209"/>
    </row>
    <row r="220" spans="1:100" ht="15" customHeight="1">
      <c r="J220" s="157" t="s">
        <v>279</v>
      </c>
      <c r="K220" s="157">
        <f>2.117*(C240)^0.933</f>
        <v>698.0071511989787</v>
      </c>
      <c r="L220" s="157">
        <f>(L223+L224)/2</f>
        <v>212.5</v>
      </c>
      <c r="M220" s="157">
        <v>0</v>
      </c>
      <c r="N220" s="157">
        <f>N223</f>
        <v>35</v>
      </c>
      <c r="O220">
        <f t="shared" si="63"/>
        <v>148326.51962978297</v>
      </c>
      <c r="P220">
        <f t="shared" si="81"/>
        <v>0</v>
      </c>
      <c r="Q220">
        <f t="shared" si="65"/>
        <v>24430.250291964254</v>
      </c>
      <c r="V220" s="157" t="str">
        <f t="shared" si="78"/>
        <v>Avionics System</v>
      </c>
      <c r="W220" s="157">
        <f t="shared" si="82"/>
        <v>698.0071511989787</v>
      </c>
      <c r="X220" s="157">
        <f t="shared" si="79"/>
        <v>212.5</v>
      </c>
      <c r="Y220" s="157">
        <f t="shared" si="80"/>
        <v>0</v>
      </c>
      <c r="Z220" s="157">
        <f>Z223</f>
        <v>35</v>
      </c>
      <c r="AA220">
        <f t="shared" si="72"/>
        <v>148326.51962978297</v>
      </c>
      <c r="AB220">
        <f t="shared" si="66"/>
        <v>0</v>
      </c>
      <c r="AC220">
        <f t="shared" si="67"/>
        <v>24430.250291964254</v>
      </c>
      <c r="AH220" s="157" t="str">
        <f t="shared" si="61"/>
        <v>Avionics System</v>
      </c>
      <c r="AI220" s="157">
        <f t="shared" si="83"/>
        <v>698.0071511989787</v>
      </c>
      <c r="AJ220" s="157">
        <f t="shared" si="62"/>
        <v>212.5</v>
      </c>
      <c r="AK220" s="157">
        <f t="shared" si="52"/>
        <v>0</v>
      </c>
      <c r="AL220" s="157">
        <f>AL223</f>
        <v>35</v>
      </c>
      <c r="AM220">
        <f t="shared" si="69"/>
        <v>148326.51962978297</v>
      </c>
      <c r="AN220">
        <f t="shared" si="70"/>
        <v>0</v>
      </c>
      <c r="AO220">
        <f t="shared" si="71"/>
        <v>24430.250291964254</v>
      </c>
      <c r="BR220" t="s">
        <v>282</v>
      </c>
      <c r="BS220">
        <f t="shared" si="56"/>
        <v>210.23390563713352</v>
      </c>
      <c r="BT220">
        <f t="shared" si="57"/>
        <v>6.5342794068854824</v>
      </c>
      <c r="BY220">
        <f t="shared" si="53"/>
        <v>550</v>
      </c>
      <c r="BZ220">
        <v>0</v>
      </c>
      <c r="CA220">
        <v>40</v>
      </c>
      <c r="CB220" s="212">
        <f t="shared" si="54"/>
        <v>115628.64810042344</v>
      </c>
      <c r="CC220" s="212">
        <f t="shared" si="73"/>
        <v>0</v>
      </c>
      <c r="CD220" s="212">
        <f t="shared" si="55"/>
        <v>8409.3562254853405</v>
      </c>
      <c r="CF220" s="208"/>
      <c r="CG220" s="213"/>
      <c r="CH220" s="218"/>
      <c r="CI220" s="209"/>
      <c r="CJ220" s="209"/>
      <c r="CK220" s="209"/>
      <c r="CL220" s="209"/>
      <c r="CM220" s="215"/>
      <c r="CN220" s="215"/>
      <c r="CO220" s="215"/>
      <c r="CP220" s="216"/>
      <c r="CQ220" s="216"/>
      <c r="CR220" s="216"/>
      <c r="CS220" s="209"/>
      <c r="CT220" s="209"/>
      <c r="CU220" s="209"/>
      <c r="CV220" s="209"/>
    </row>
    <row r="221" spans="1:100" ht="15" customHeight="1">
      <c r="A221" t="s">
        <v>241</v>
      </c>
      <c r="J221" s="156" t="s">
        <v>281</v>
      </c>
      <c r="K221" s="156">
        <f>C242*0.9</f>
        <v>1892.1051507342017</v>
      </c>
      <c r="L221" s="156">
        <f>L203</f>
        <v>380</v>
      </c>
      <c r="M221" s="156">
        <v>0</v>
      </c>
      <c r="N221" s="156">
        <v>40</v>
      </c>
      <c r="O221">
        <f t="shared" si="63"/>
        <v>718999.95727899671</v>
      </c>
      <c r="P221">
        <f t="shared" si="81"/>
        <v>0</v>
      </c>
      <c r="Q221">
        <f t="shared" si="65"/>
        <v>75684.20602936807</v>
      </c>
      <c r="V221" s="156" t="str">
        <f t="shared" si="78"/>
        <v>Control Surface System Wings</v>
      </c>
      <c r="W221" s="156">
        <f t="shared" si="82"/>
        <v>1892.1051507342017</v>
      </c>
      <c r="X221" s="156">
        <f t="shared" si="79"/>
        <v>380</v>
      </c>
      <c r="Y221" s="156">
        <f t="shared" si="80"/>
        <v>0</v>
      </c>
      <c r="Z221" s="156">
        <v>40</v>
      </c>
      <c r="AA221">
        <f t="shared" si="72"/>
        <v>718999.95727899671</v>
      </c>
      <c r="AB221">
        <f t="shared" si="66"/>
        <v>0</v>
      </c>
      <c r="AC221">
        <f t="shared" si="67"/>
        <v>75684.20602936807</v>
      </c>
      <c r="AH221" s="156" t="str">
        <f t="shared" si="61"/>
        <v>Control Surface System Wings</v>
      </c>
      <c r="AI221" s="156">
        <f t="shared" si="83"/>
        <v>1892.1051507342017</v>
      </c>
      <c r="AJ221" s="156">
        <f t="shared" si="62"/>
        <v>380</v>
      </c>
      <c r="AK221" s="156">
        <f t="shared" si="52"/>
        <v>0</v>
      </c>
      <c r="AL221" s="156">
        <v>40</v>
      </c>
      <c r="AM221">
        <f t="shared" si="69"/>
        <v>718999.95727899671</v>
      </c>
      <c r="AN221">
        <f t="shared" si="70"/>
        <v>0</v>
      </c>
      <c r="AO221">
        <f t="shared" si="71"/>
        <v>75684.20602936807</v>
      </c>
      <c r="BR221" t="s">
        <v>283</v>
      </c>
      <c r="BS221">
        <f t="shared" si="56"/>
        <v>25</v>
      </c>
      <c r="BT221">
        <f t="shared" si="57"/>
        <v>0.77702492695965686</v>
      </c>
      <c r="BY221">
        <f t="shared" si="53"/>
        <v>180</v>
      </c>
      <c r="BZ221">
        <f t="shared" ref="BZ221:CA221" si="84">BZ223</f>
        <v>0</v>
      </c>
      <c r="CA221">
        <f t="shared" si="84"/>
        <v>35</v>
      </c>
      <c r="CB221" s="212">
        <f t="shared" si="54"/>
        <v>4500</v>
      </c>
      <c r="CC221" s="212">
        <f t="shared" si="73"/>
        <v>0</v>
      </c>
      <c r="CD221" s="212">
        <f t="shared" si="55"/>
        <v>875</v>
      </c>
      <c r="CF221" s="208"/>
      <c r="CG221" s="213"/>
      <c r="CH221" s="218"/>
      <c r="CI221" s="209"/>
      <c r="CJ221" s="209"/>
      <c r="CK221" s="209"/>
      <c r="CL221" s="209"/>
      <c r="CM221" s="215"/>
      <c r="CN221" s="215"/>
      <c r="CO221" s="215"/>
      <c r="CP221" s="216"/>
      <c r="CQ221" s="216"/>
      <c r="CR221" s="216"/>
      <c r="CS221" s="209"/>
      <c r="CT221" s="209"/>
      <c r="CU221" s="209"/>
      <c r="CV221" s="209"/>
    </row>
    <row r="222" spans="1:100" ht="15" customHeight="1">
      <c r="A222" t="s">
        <v>284</v>
      </c>
      <c r="B222">
        <v>1000</v>
      </c>
      <c r="J222" s="156" t="s">
        <v>282</v>
      </c>
      <c r="K222" s="156">
        <f>C242*0.1</f>
        <v>210.23390563713352</v>
      </c>
      <c r="L222" s="156">
        <v>550</v>
      </c>
      <c r="M222" s="156">
        <v>0</v>
      </c>
      <c r="N222" s="156">
        <v>40</v>
      </c>
      <c r="O222">
        <f t="shared" si="63"/>
        <v>115628.64810042344</v>
      </c>
      <c r="P222">
        <f t="shared" si="81"/>
        <v>0</v>
      </c>
      <c r="Q222">
        <f t="shared" si="65"/>
        <v>8409.3562254853405</v>
      </c>
      <c r="V222" s="156" t="str">
        <f t="shared" si="78"/>
        <v>Control Surface System Empennage</v>
      </c>
      <c r="W222" s="156">
        <f t="shared" si="82"/>
        <v>210.23390563713352</v>
      </c>
      <c r="X222" s="156">
        <f t="shared" si="79"/>
        <v>550</v>
      </c>
      <c r="Y222" s="156">
        <f t="shared" si="80"/>
        <v>0</v>
      </c>
      <c r="Z222" s="156">
        <v>40</v>
      </c>
      <c r="AA222">
        <f>W222*X222</f>
        <v>115628.64810042344</v>
      </c>
      <c r="AB222">
        <f t="shared" si="66"/>
        <v>0</v>
      </c>
      <c r="AC222">
        <f t="shared" si="67"/>
        <v>8409.3562254853405</v>
      </c>
      <c r="AH222" s="156" t="str">
        <f t="shared" si="61"/>
        <v>Control Surface System Empennage</v>
      </c>
      <c r="AI222" s="156">
        <f t="shared" si="83"/>
        <v>210.23390563713352</v>
      </c>
      <c r="AJ222" s="156">
        <f t="shared" si="62"/>
        <v>550</v>
      </c>
      <c r="AK222" s="156">
        <f t="shared" si="52"/>
        <v>0</v>
      </c>
      <c r="AL222" s="156">
        <v>40</v>
      </c>
      <c r="AM222">
        <f t="shared" si="69"/>
        <v>115628.64810042344</v>
      </c>
      <c r="AN222">
        <f t="shared" si="70"/>
        <v>0</v>
      </c>
      <c r="AO222">
        <f t="shared" si="71"/>
        <v>8409.3562254853405</v>
      </c>
      <c r="BR222" t="s">
        <v>285</v>
      </c>
      <c r="BS222">
        <f t="shared" si="56"/>
        <v>25</v>
      </c>
      <c r="BT222">
        <f t="shared" si="57"/>
        <v>0.77702492695965686</v>
      </c>
      <c r="BY222">
        <f t="shared" si="53"/>
        <v>245</v>
      </c>
      <c r="BZ222">
        <f t="shared" ref="BZ222:CA222" si="85">BZ224</f>
        <v>0</v>
      </c>
      <c r="CA222">
        <f t="shared" si="85"/>
        <v>35</v>
      </c>
      <c r="CB222" s="212">
        <f t="shared" si="54"/>
        <v>6125</v>
      </c>
      <c r="CC222" s="212">
        <f t="shared" si="73"/>
        <v>0</v>
      </c>
      <c r="CD222" s="212">
        <f t="shared" si="55"/>
        <v>875</v>
      </c>
      <c r="CF222" s="208"/>
      <c r="CG222" s="213"/>
      <c r="CH222" s="218"/>
      <c r="CI222" s="209"/>
      <c r="CJ222" s="209"/>
      <c r="CK222" s="209"/>
      <c r="CL222" s="209"/>
      <c r="CM222" s="215"/>
      <c r="CN222" s="215"/>
      <c r="CO222" s="215"/>
      <c r="CP222" s="216"/>
      <c r="CQ222" s="216"/>
      <c r="CR222" s="216"/>
      <c r="CS222" s="209"/>
      <c r="CT222" s="209"/>
      <c r="CU222" s="209"/>
      <c r="CV222" s="209"/>
    </row>
    <row r="223" spans="1:100" ht="15" customHeight="1">
      <c r="A223" t="s">
        <v>278</v>
      </c>
      <c r="B223">
        <v>187</v>
      </c>
      <c r="J223" s="159" t="s">
        <v>283</v>
      </c>
      <c r="K223" s="159">
        <v>25</v>
      </c>
      <c r="L223" s="159">
        <f t="shared" ref="L223:N224" si="86">L225</f>
        <v>180</v>
      </c>
      <c r="M223" s="159">
        <f t="shared" si="86"/>
        <v>0</v>
      </c>
      <c r="N223" s="159">
        <f t="shared" si="86"/>
        <v>35</v>
      </c>
      <c r="O223">
        <f t="shared" si="63"/>
        <v>4500</v>
      </c>
      <c r="P223">
        <f t="shared" si="81"/>
        <v>0</v>
      </c>
      <c r="Q223">
        <f t="shared" si="65"/>
        <v>875</v>
      </c>
      <c r="V223" s="157" t="str">
        <f t="shared" si="78"/>
        <v>Flight Equipment (Pilot 1)</v>
      </c>
      <c r="W223" s="157">
        <f t="shared" si="82"/>
        <v>25</v>
      </c>
      <c r="X223" s="157">
        <f t="shared" si="79"/>
        <v>180</v>
      </c>
      <c r="Y223" s="157">
        <f t="shared" si="80"/>
        <v>0</v>
      </c>
      <c r="Z223" s="159">
        <f t="shared" ref="Z223" si="87">Z225</f>
        <v>35</v>
      </c>
      <c r="AA223">
        <f t="shared" si="72"/>
        <v>4500</v>
      </c>
      <c r="AB223">
        <f t="shared" si="66"/>
        <v>0</v>
      </c>
      <c r="AC223">
        <f t="shared" si="67"/>
        <v>875</v>
      </c>
      <c r="AH223" s="159" t="str">
        <f t="shared" si="61"/>
        <v>Flight Equipment (Pilot 1)</v>
      </c>
      <c r="AI223" s="159">
        <f t="shared" si="83"/>
        <v>25</v>
      </c>
      <c r="AJ223" s="159">
        <f t="shared" si="62"/>
        <v>180</v>
      </c>
      <c r="AK223" s="159">
        <f t="shared" si="52"/>
        <v>0</v>
      </c>
      <c r="AL223" s="159">
        <f t="shared" ref="AL223" si="88">AL225</f>
        <v>35</v>
      </c>
      <c r="AM223">
        <f t="shared" si="69"/>
        <v>4500</v>
      </c>
      <c r="AN223">
        <f t="shared" si="70"/>
        <v>0</v>
      </c>
      <c r="AO223">
        <f t="shared" si="71"/>
        <v>875</v>
      </c>
      <c r="BR223" t="s">
        <v>286</v>
      </c>
      <c r="BS223">
        <f t="shared" si="56"/>
        <v>93.978771221047111</v>
      </c>
      <c r="BT223">
        <f t="shared" si="57"/>
        <v>2.9209539137516973</v>
      </c>
      <c r="BY223">
        <f t="shared" si="53"/>
        <v>180</v>
      </c>
      <c r="BZ223">
        <v>0</v>
      </c>
      <c r="CA223">
        <v>35</v>
      </c>
      <c r="CB223" s="212">
        <f t="shared" si="54"/>
        <v>16916.178819788482</v>
      </c>
      <c r="CC223" s="212">
        <f t="shared" si="73"/>
        <v>0</v>
      </c>
      <c r="CD223" s="212">
        <f t="shared" si="55"/>
        <v>3289.256992736649</v>
      </c>
      <c r="CF223" s="208"/>
      <c r="CG223" s="213"/>
      <c r="CH223" s="218"/>
      <c r="CI223" s="209"/>
      <c r="CJ223" s="209"/>
      <c r="CK223" s="209"/>
      <c r="CL223" s="209"/>
      <c r="CM223" s="215"/>
      <c r="CN223" s="215"/>
      <c r="CO223" s="215"/>
      <c r="CP223" s="216"/>
      <c r="CQ223" s="216"/>
      <c r="CR223" s="216"/>
      <c r="CS223" s="209"/>
      <c r="CT223" s="209"/>
      <c r="CU223" s="209"/>
      <c r="CV223" s="209"/>
    </row>
    <row r="224" spans="1:100" ht="15" customHeight="1">
      <c r="A224" t="s">
        <v>280</v>
      </c>
      <c r="B224">
        <f>4*B222+B223*2</f>
        <v>4374</v>
      </c>
      <c r="J224" s="159" t="s">
        <v>285</v>
      </c>
      <c r="K224" s="159">
        <v>25</v>
      </c>
      <c r="L224" s="159">
        <f t="shared" si="86"/>
        <v>245</v>
      </c>
      <c r="M224" s="159">
        <f t="shared" si="86"/>
        <v>0</v>
      </c>
      <c r="N224" s="159">
        <f t="shared" si="86"/>
        <v>35</v>
      </c>
      <c r="O224">
        <f t="shared" si="63"/>
        <v>6125</v>
      </c>
      <c r="P224">
        <f t="shared" si="81"/>
        <v>0</v>
      </c>
      <c r="Q224">
        <f t="shared" si="65"/>
        <v>875</v>
      </c>
      <c r="V224" s="157" t="str">
        <f t="shared" si="78"/>
        <v>Flight Equipment (Pilot 2)</v>
      </c>
      <c r="W224" s="157">
        <f t="shared" si="82"/>
        <v>25</v>
      </c>
      <c r="X224" s="157">
        <f t="shared" si="79"/>
        <v>245</v>
      </c>
      <c r="Y224" s="157">
        <f t="shared" si="80"/>
        <v>0</v>
      </c>
      <c r="Z224" s="159">
        <f t="shared" ref="Z224" si="89">Z226</f>
        <v>35</v>
      </c>
      <c r="AA224">
        <f t="shared" si="72"/>
        <v>6125</v>
      </c>
      <c r="AB224">
        <f t="shared" si="66"/>
        <v>0</v>
      </c>
      <c r="AC224">
        <f t="shared" si="67"/>
        <v>875</v>
      </c>
      <c r="AH224" s="159" t="str">
        <f t="shared" si="61"/>
        <v>Flight Equipment (Pilot 2)</v>
      </c>
      <c r="AI224" s="159">
        <f t="shared" si="83"/>
        <v>25</v>
      </c>
      <c r="AJ224" s="159">
        <f t="shared" si="62"/>
        <v>245</v>
      </c>
      <c r="AK224" s="159">
        <f t="shared" si="52"/>
        <v>0</v>
      </c>
      <c r="AL224" s="159">
        <f t="shared" ref="AL224" si="90">AL226</f>
        <v>35</v>
      </c>
      <c r="AM224">
        <f t="shared" si="69"/>
        <v>6125</v>
      </c>
      <c r="AN224">
        <f t="shared" si="70"/>
        <v>0</v>
      </c>
      <c r="AO224">
        <f t="shared" si="71"/>
        <v>875</v>
      </c>
      <c r="BR224" t="s">
        <v>287</v>
      </c>
      <c r="BS224">
        <f t="shared" si="56"/>
        <v>93.978771221047111</v>
      </c>
      <c r="BT224">
        <f t="shared" si="57"/>
        <v>2.9209539137516973</v>
      </c>
      <c r="BY224">
        <f t="shared" si="53"/>
        <v>245</v>
      </c>
      <c r="BZ224">
        <v>0</v>
      </c>
      <c r="CA224">
        <v>35</v>
      </c>
      <c r="CB224" s="212">
        <f t="shared" si="54"/>
        <v>23024.798949156542</v>
      </c>
      <c r="CC224" s="212">
        <f t="shared" si="73"/>
        <v>0</v>
      </c>
      <c r="CD224" s="212">
        <f t="shared" si="55"/>
        <v>3289.256992736649</v>
      </c>
      <c r="CF224" s="210"/>
      <c r="CG224" s="214"/>
      <c r="CH224" s="219"/>
      <c r="CI224" s="211"/>
      <c r="CJ224" s="211"/>
      <c r="CK224" s="211"/>
      <c r="CL224" s="211"/>
      <c r="CM224" s="217"/>
      <c r="CN224" s="217"/>
      <c r="CO224" s="217"/>
      <c r="CP224" s="217"/>
      <c r="CQ224" s="217"/>
      <c r="CR224" s="217"/>
      <c r="CS224" s="211"/>
      <c r="CT224" s="211"/>
      <c r="CU224" s="211"/>
      <c r="CV224" s="211"/>
    </row>
    <row r="225" spans="1:100" ht="15" customHeight="1">
      <c r="J225" s="159" t="s">
        <v>286</v>
      </c>
      <c r="K225" s="159">
        <f>34.5*1*J38^0.25</f>
        <v>93.978771221047111</v>
      </c>
      <c r="L225" s="159">
        <v>180</v>
      </c>
      <c r="M225" s="159">
        <v>0</v>
      </c>
      <c r="N225" s="159">
        <v>35</v>
      </c>
      <c r="O225">
        <f t="shared" si="63"/>
        <v>16916.178819788482</v>
      </c>
      <c r="P225">
        <f t="shared" si="81"/>
        <v>0</v>
      </c>
      <c r="Q225">
        <f t="shared" si="65"/>
        <v>3289.256992736649</v>
      </c>
      <c r="V225" s="157" t="str">
        <f t="shared" si="78"/>
        <v>Ejection Seat 1</v>
      </c>
      <c r="W225" s="157">
        <f t="shared" si="82"/>
        <v>93.978771221047111</v>
      </c>
      <c r="X225" s="157">
        <f t="shared" si="79"/>
        <v>180</v>
      </c>
      <c r="Y225" s="157">
        <f t="shared" si="80"/>
        <v>0</v>
      </c>
      <c r="Z225" s="159">
        <v>35</v>
      </c>
      <c r="AA225">
        <f t="shared" si="72"/>
        <v>16916.178819788482</v>
      </c>
      <c r="AB225">
        <f t="shared" si="66"/>
        <v>0</v>
      </c>
      <c r="AC225">
        <f t="shared" si="67"/>
        <v>3289.256992736649</v>
      </c>
      <c r="AH225" s="159" t="str">
        <f t="shared" si="61"/>
        <v>Ejection Seat 1</v>
      </c>
      <c r="AI225" s="159">
        <f t="shared" si="83"/>
        <v>93.978771221047111</v>
      </c>
      <c r="AJ225" s="159">
        <f t="shared" si="62"/>
        <v>180</v>
      </c>
      <c r="AK225" s="159">
        <f t="shared" si="52"/>
        <v>0</v>
      </c>
      <c r="AL225" s="159">
        <v>35</v>
      </c>
      <c r="AM225">
        <f t="shared" si="69"/>
        <v>16916.178819788482</v>
      </c>
      <c r="AN225">
        <f t="shared" si="70"/>
        <v>0</v>
      </c>
      <c r="AO225">
        <f t="shared" si="71"/>
        <v>3289.256992736649</v>
      </c>
      <c r="BR225" t="s">
        <v>288</v>
      </c>
      <c r="BS225">
        <f t="shared" si="56"/>
        <v>222.07816240288378</v>
      </c>
      <c r="BT225">
        <f t="shared" si="57"/>
        <v>6.9024107168174238</v>
      </c>
      <c r="BY225">
        <f t="shared" si="53"/>
        <v>300</v>
      </c>
      <c r="BZ225">
        <v>0</v>
      </c>
      <c r="CA225">
        <v>40</v>
      </c>
      <c r="CB225" s="212">
        <f t="shared" si="54"/>
        <v>66623.448720865126</v>
      </c>
      <c r="CC225" s="212">
        <f t="shared" si="73"/>
        <v>0</v>
      </c>
      <c r="CD225" s="212">
        <f t="shared" si="55"/>
        <v>8883.1264961153502</v>
      </c>
      <c r="CF225" s="210"/>
      <c r="CG225" s="214"/>
      <c r="CH225" s="219"/>
      <c r="CI225" s="211"/>
      <c r="CJ225" s="211"/>
      <c r="CK225" s="211"/>
      <c r="CL225" s="211"/>
      <c r="CM225" s="217"/>
      <c r="CN225" s="217"/>
      <c r="CO225" s="217"/>
      <c r="CP225" s="217"/>
      <c r="CQ225" s="217"/>
      <c r="CR225" s="217"/>
      <c r="CS225" s="211"/>
      <c r="CT225" s="211"/>
      <c r="CU225" s="211"/>
      <c r="CV225" s="211"/>
    </row>
    <row r="226" spans="1:100" ht="15" customHeight="1">
      <c r="J226" s="159" t="s">
        <v>287</v>
      </c>
      <c r="K226" s="159">
        <f>K225</f>
        <v>93.978771221047111</v>
      </c>
      <c r="L226" s="159">
        <v>245</v>
      </c>
      <c r="M226" s="159">
        <v>0</v>
      </c>
      <c r="N226" s="159">
        <v>35</v>
      </c>
      <c r="O226">
        <f t="shared" si="63"/>
        <v>23024.798949156542</v>
      </c>
      <c r="P226">
        <f t="shared" si="81"/>
        <v>0</v>
      </c>
      <c r="Q226">
        <f t="shared" si="65"/>
        <v>3289.256992736649</v>
      </c>
      <c r="V226" s="157" t="str">
        <f t="shared" si="78"/>
        <v>Ejection Seat 2</v>
      </c>
      <c r="W226" s="157">
        <f t="shared" si="82"/>
        <v>93.978771221047111</v>
      </c>
      <c r="X226" s="157">
        <f t="shared" si="79"/>
        <v>245</v>
      </c>
      <c r="Y226" s="157">
        <f t="shared" si="80"/>
        <v>0</v>
      </c>
      <c r="Z226" s="159">
        <v>35</v>
      </c>
      <c r="AA226">
        <f t="shared" si="72"/>
        <v>23024.798949156542</v>
      </c>
      <c r="AB226">
        <f t="shared" si="66"/>
        <v>0</v>
      </c>
      <c r="AC226">
        <f t="shared" si="67"/>
        <v>3289.256992736649</v>
      </c>
      <c r="AH226" s="159" t="str">
        <f t="shared" si="61"/>
        <v>Ejection Seat 2</v>
      </c>
      <c r="AI226" s="159">
        <f t="shared" si="83"/>
        <v>93.978771221047111</v>
      </c>
      <c r="AJ226" s="159">
        <f t="shared" si="62"/>
        <v>245</v>
      </c>
      <c r="AK226" s="159">
        <f t="shared" si="52"/>
        <v>0</v>
      </c>
      <c r="AL226" s="159">
        <v>35</v>
      </c>
      <c r="AM226">
        <f t="shared" si="69"/>
        <v>23024.798949156542</v>
      </c>
      <c r="AN226">
        <f t="shared" si="70"/>
        <v>0</v>
      </c>
      <c r="AO226">
        <f t="shared" si="71"/>
        <v>3289.256992736649</v>
      </c>
      <c r="BR226" t="s">
        <v>289</v>
      </c>
      <c r="BS226">
        <f t="shared" si="56"/>
        <v>1159.8623436128278</v>
      </c>
      <c r="BT226">
        <f t="shared" si="57"/>
        <v>36.04967811316056</v>
      </c>
      <c r="BY226">
        <f t="shared" si="53"/>
        <v>360</v>
      </c>
      <c r="BZ226">
        <v>0</v>
      </c>
      <c r="CA226">
        <v>40</v>
      </c>
      <c r="CB226" s="212">
        <f t="shared" si="54"/>
        <v>417550.44370061799</v>
      </c>
      <c r="CC226" s="212">
        <f t="shared" si="73"/>
        <v>0</v>
      </c>
      <c r="CD226" s="212">
        <f t="shared" si="55"/>
        <v>46394.493744513107</v>
      </c>
      <c r="CF226" s="210"/>
      <c r="CG226" s="214"/>
      <c r="CH226" s="219"/>
      <c r="CI226" s="211"/>
      <c r="CJ226" s="211"/>
      <c r="CK226" s="211"/>
      <c r="CL226" s="211"/>
      <c r="CM226" s="217"/>
      <c r="CN226" s="217"/>
      <c r="CO226" s="217"/>
      <c r="CP226" s="217"/>
      <c r="CQ226" s="217"/>
      <c r="CR226" s="217"/>
      <c r="CS226" s="211"/>
      <c r="CT226" s="211"/>
      <c r="CU226" s="211"/>
      <c r="CV226" s="211"/>
    </row>
    <row r="227" spans="1:100" ht="15" customHeight="1">
      <c r="J227" s="156" t="s">
        <v>288</v>
      </c>
      <c r="K227" s="156">
        <f>0.265*C241^0.52*1^0.68*K220^0.17*0.9^0.08</f>
        <v>222.07816240288378</v>
      </c>
      <c r="L227" s="156">
        <v>300</v>
      </c>
      <c r="M227" s="156">
        <v>0</v>
      </c>
      <c r="N227" s="156">
        <v>40</v>
      </c>
      <c r="O227">
        <f t="shared" si="63"/>
        <v>66623.448720865126</v>
      </c>
      <c r="P227">
        <f t="shared" si="81"/>
        <v>0</v>
      </c>
      <c r="Q227">
        <f t="shared" si="65"/>
        <v>8883.1264961153502</v>
      </c>
      <c r="V227" s="156" t="str">
        <f t="shared" si="78"/>
        <v>De-Icing/AC System</v>
      </c>
      <c r="W227" s="156">
        <f t="shared" si="82"/>
        <v>222.07816240288378</v>
      </c>
      <c r="X227" s="156">
        <f t="shared" si="79"/>
        <v>300</v>
      </c>
      <c r="Y227" s="156">
        <f t="shared" si="80"/>
        <v>0</v>
      </c>
      <c r="Z227" s="156">
        <v>40</v>
      </c>
      <c r="AA227">
        <f t="shared" si="72"/>
        <v>66623.448720865126</v>
      </c>
      <c r="AB227">
        <f t="shared" si="66"/>
        <v>0</v>
      </c>
      <c r="AC227">
        <f t="shared" si="67"/>
        <v>8883.1264961153502</v>
      </c>
      <c r="AH227" s="156" t="str">
        <f t="shared" si="61"/>
        <v>De-Icing/AC System</v>
      </c>
      <c r="AI227" s="156">
        <f t="shared" si="83"/>
        <v>222.07816240288378</v>
      </c>
      <c r="AJ227" s="156">
        <f t="shared" si="62"/>
        <v>300</v>
      </c>
      <c r="AK227" s="156">
        <f t="shared" si="52"/>
        <v>0</v>
      </c>
      <c r="AL227" s="156">
        <v>40</v>
      </c>
      <c r="AM227">
        <f t="shared" si="69"/>
        <v>66623.448720865126</v>
      </c>
      <c r="AN227">
        <f t="shared" si="70"/>
        <v>0</v>
      </c>
      <c r="AO227">
        <f t="shared" si="71"/>
        <v>8883.1264961153502</v>
      </c>
      <c r="BR227" t="s">
        <v>290</v>
      </c>
      <c r="BS227">
        <f t="shared" si="56"/>
        <v>187.95754244209422</v>
      </c>
      <c r="BT227">
        <f t="shared" si="57"/>
        <v>5.8419078275033947</v>
      </c>
      <c r="BY227">
        <f t="shared" si="53"/>
        <v>210</v>
      </c>
      <c r="BZ227">
        <v>0</v>
      </c>
      <c r="CA227">
        <v>40</v>
      </c>
      <c r="CB227" s="212">
        <f t="shared" si="54"/>
        <v>39471.083912839786</v>
      </c>
      <c r="CC227" s="212">
        <f t="shared" si="73"/>
        <v>0</v>
      </c>
      <c r="CD227" s="212">
        <f t="shared" si="55"/>
        <v>7518.3016976837689</v>
      </c>
      <c r="CF227" s="210"/>
      <c r="CG227" s="214"/>
      <c r="CH227" s="219"/>
      <c r="CI227" s="211"/>
      <c r="CJ227" s="211"/>
      <c r="CK227" s="211"/>
      <c r="CL227" s="211"/>
      <c r="CM227" s="217"/>
      <c r="CN227" s="217"/>
      <c r="CO227" s="217"/>
      <c r="CP227" s="217"/>
      <c r="CQ227" s="217"/>
      <c r="CR227" s="217"/>
      <c r="CS227" s="211"/>
      <c r="CT227" s="211"/>
      <c r="CU227" s="211"/>
      <c r="CV227" s="211"/>
    </row>
    <row r="228" spans="1:100" ht="15" customHeight="1">
      <c r="J228" s="156" t="s">
        <v>289</v>
      </c>
      <c r="K228" s="156">
        <f>426*((K220+K219)/1000)^0.51</f>
        <v>1159.8623436128278</v>
      </c>
      <c r="L228" s="156">
        <v>360</v>
      </c>
      <c r="M228" s="156">
        <v>0</v>
      </c>
      <c r="N228" s="156">
        <v>40</v>
      </c>
      <c r="O228">
        <f t="shared" si="63"/>
        <v>417550.44370061799</v>
      </c>
      <c r="P228">
        <f t="shared" si="81"/>
        <v>0</v>
      </c>
      <c r="Q228">
        <f t="shared" si="65"/>
        <v>46394.493744513107</v>
      </c>
      <c r="V228" s="156" t="str">
        <f t="shared" si="78"/>
        <v>Electrical System</v>
      </c>
      <c r="W228" s="156">
        <f t="shared" si="82"/>
        <v>1159.8623436128278</v>
      </c>
      <c r="X228" s="156">
        <f t="shared" si="79"/>
        <v>360</v>
      </c>
      <c r="Y228" s="156">
        <f t="shared" si="80"/>
        <v>0</v>
      </c>
      <c r="Z228" s="156">
        <v>40</v>
      </c>
      <c r="AA228">
        <f t="shared" si="72"/>
        <v>417550.44370061799</v>
      </c>
      <c r="AB228">
        <f t="shared" si="66"/>
        <v>0</v>
      </c>
      <c r="AC228">
        <f t="shared" si="67"/>
        <v>46394.493744513107</v>
      </c>
      <c r="AH228" s="156" t="str">
        <f t="shared" si="61"/>
        <v>Electrical System</v>
      </c>
      <c r="AI228" s="156">
        <f t="shared" si="83"/>
        <v>1159.8623436128278</v>
      </c>
      <c r="AJ228" s="156">
        <f t="shared" si="62"/>
        <v>360</v>
      </c>
      <c r="AK228" s="156">
        <f t="shared" si="52"/>
        <v>0</v>
      </c>
      <c r="AL228" s="156">
        <v>40</v>
      </c>
      <c r="AM228">
        <f t="shared" si="69"/>
        <v>417550.44370061799</v>
      </c>
      <c r="AN228">
        <f t="shared" si="70"/>
        <v>0</v>
      </c>
      <c r="AO228">
        <f t="shared" si="71"/>
        <v>46394.493744513107</v>
      </c>
      <c r="CS228" t="s">
        <v>291</v>
      </c>
      <c r="CT228" t="s">
        <v>292</v>
      </c>
    </row>
    <row r="229" spans="1:100" ht="15" customHeight="1">
      <c r="J229" s="156" t="s">
        <v>290</v>
      </c>
      <c r="K229" s="156">
        <f>34.5*2*J38^0.25</f>
        <v>187.95754244209422</v>
      </c>
      <c r="L229" s="156">
        <v>210</v>
      </c>
      <c r="M229" s="156">
        <v>0</v>
      </c>
      <c r="N229" s="156">
        <v>40</v>
      </c>
      <c r="O229">
        <f t="shared" si="63"/>
        <v>39471.083912839786</v>
      </c>
      <c r="P229">
        <f t="shared" si="81"/>
        <v>0</v>
      </c>
      <c r="Q229">
        <f t="shared" si="65"/>
        <v>7518.3016976837689</v>
      </c>
      <c r="V229" s="156" t="str">
        <f t="shared" si="78"/>
        <v>Furnishing/Equipment</v>
      </c>
      <c r="W229" s="156">
        <f t="shared" si="82"/>
        <v>187.95754244209422</v>
      </c>
      <c r="X229" s="156">
        <f t="shared" si="79"/>
        <v>210</v>
      </c>
      <c r="Y229" s="156">
        <f t="shared" si="80"/>
        <v>0</v>
      </c>
      <c r="Z229" s="156">
        <v>40</v>
      </c>
      <c r="AA229">
        <f t="shared" si="72"/>
        <v>39471.083912839786</v>
      </c>
      <c r="AB229">
        <f t="shared" si="66"/>
        <v>0</v>
      </c>
      <c r="AC229">
        <f t="shared" si="67"/>
        <v>7518.3016976837689</v>
      </c>
      <c r="AH229" s="156" t="str">
        <f t="shared" si="61"/>
        <v>Furnishing/Equipment</v>
      </c>
      <c r="AI229" s="156">
        <f t="shared" si="83"/>
        <v>187.95754244209422</v>
      </c>
      <c r="AJ229" s="156">
        <f t="shared" si="62"/>
        <v>210</v>
      </c>
      <c r="AK229" s="156">
        <f t="shared" si="52"/>
        <v>0</v>
      </c>
      <c r="AL229" s="156">
        <v>40</v>
      </c>
      <c r="AM229">
        <f t="shared" si="69"/>
        <v>39471.083912839786</v>
      </c>
      <c r="AN229">
        <f t="shared" si="70"/>
        <v>0</v>
      </c>
      <c r="AO229">
        <f t="shared" si="71"/>
        <v>7518.3016976837689</v>
      </c>
      <c r="BR229" t="s">
        <v>280</v>
      </c>
      <c r="BS229" s="160">
        <f>SUM(BS200:BS216)+SUM(BS218:BS227)</f>
        <v>42592.201798470211</v>
      </c>
      <c r="BU229" t="s">
        <v>293</v>
      </c>
      <c r="BW229">
        <f>SUM(CB200:CB216)+SUM(CB218:CB227)</f>
        <v>15937198.079112472</v>
      </c>
      <c r="BX229">
        <f>SUM(CC200:CC216)</f>
        <v>0</v>
      </c>
      <c r="BY229">
        <f>SUM(CD200:CD216)+SUM(CD218:CD227)</f>
        <v>1351420.2484706033</v>
      </c>
      <c r="CQ229" t="s">
        <v>291</v>
      </c>
      <c r="CS229" t="s">
        <v>294</v>
      </c>
      <c r="CT229" t="s">
        <v>295</v>
      </c>
      <c r="CU229" t="s">
        <v>296</v>
      </c>
    </row>
    <row r="230" spans="1:100" ht="15" customHeight="1">
      <c r="BR230" t="s">
        <v>297</v>
      </c>
      <c r="BS230" s="160">
        <f>VALUE(BW229)/VALUE(BS229)</f>
        <v>374.18112720542405</v>
      </c>
      <c r="BU230">
        <f>BY229/BS229</f>
        <v>31.729288259503466</v>
      </c>
      <c r="CR230" t="s">
        <v>175</v>
      </c>
      <c r="CS230" s="24">
        <f>SUM(CS200:CS227)</f>
        <v>2512921.2125279731</v>
      </c>
      <c r="CT230" s="24">
        <f>SUM(CT200:CT227)</f>
        <v>2727123.6511465004</v>
      </c>
      <c r="CU230" s="24">
        <f>SUM(CU200:CU227)</f>
        <v>1946111.1147623085</v>
      </c>
    </row>
    <row r="231" spans="1:100" ht="15" customHeight="1">
      <c r="J231" t="s">
        <v>280</v>
      </c>
      <c r="K231" s="160">
        <f>SUM(K202:K218)+SUM(K220:K229)</f>
        <v>42592.201798470211</v>
      </c>
      <c r="M231" t="s">
        <v>293</v>
      </c>
      <c r="O231">
        <f>SUM(O202:O218)+SUM(O220:O229)</f>
        <v>15937198.079112472</v>
      </c>
      <c r="P231">
        <f>SUM(P202:P218)</f>
        <v>0</v>
      </c>
      <c r="Q231">
        <f>SUM(Q202:Q218)+SUM(Q220:Q229)</f>
        <v>1351420.2484706033</v>
      </c>
      <c r="V231" t="s">
        <v>280</v>
      </c>
      <c r="W231">
        <f>SUM(W202:W218)+SUM(W220:W229)</f>
        <v>19942.201798470214</v>
      </c>
      <c r="Y231" t="s">
        <v>293</v>
      </c>
      <c r="AA231">
        <f>SUM(AA202:AA218)+SUM(AA220:AA229)</f>
        <v>7548898.0791124711</v>
      </c>
      <c r="AC231">
        <f>SUM(AC202:AC218)+SUM(AC220:AC229)</f>
        <v>530560.24847060326</v>
      </c>
      <c r="AH231" t="str">
        <f>J231</f>
        <v>Total Weight</v>
      </c>
      <c r="AI231">
        <f>SUM(AI202:AI218)+SUM(AI220:AI229)</f>
        <v>41723.79042219503</v>
      </c>
      <c r="AK231" t="s">
        <v>293</v>
      </c>
      <c r="AM231">
        <f>SUM(AM202:AM218)+SUM(AM220:AM229)</f>
        <v>15702201.756127903</v>
      </c>
      <c r="AN231">
        <f>P231</f>
        <v>0</v>
      </c>
      <c r="AO231">
        <f>SUM(AO202:AO218)+SUM(AO220:AO229)</f>
        <v>1380578.5592907704</v>
      </c>
      <c r="BR231" t="s">
        <v>148</v>
      </c>
      <c r="BS231" s="51">
        <f>(BS230-WingLayout!F14)/WingLayout!F11*100</f>
        <v>12.268293085455028</v>
      </c>
    </row>
    <row r="232" spans="1:100" ht="15" customHeight="1">
      <c r="J232" t="s">
        <v>297</v>
      </c>
      <c r="K232" s="160">
        <f>VALUE(O231)/VALUE(K231)</f>
        <v>374.18112720542405</v>
      </c>
      <c r="M232">
        <f>Q231/K231</f>
        <v>31.729288259503466</v>
      </c>
      <c r="V232" t="s">
        <v>297</v>
      </c>
      <c r="W232" s="51">
        <f>VALUE(AA231)/VALUE(W231)</f>
        <v>378.53884718444453</v>
      </c>
      <c r="Y232">
        <f>AC231/W231</f>
        <v>26.604898186884412</v>
      </c>
      <c r="AH232" t="str">
        <f>J232</f>
        <v>CG Location (From Nose)</v>
      </c>
      <c r="AI232" s="51">
        <f>AM231/AI231</f>
        <v>376.33689550350857</v>
      </c>
      <c r="AK232">
        <f>AO231/AI231</f>
        <v>33.088522047516797</v>
      </c>
    </row>
    <row r="233" spans="1:100" ht="15" customHeight="1">
      <c r="J233" t="s">
        <v>148</v>
      </c>
      <c r="K233" s="51">
        <f>(K232-WingLayout!F14)/WingLayout!F11*100</f>
        <v>12.268293085455028</v>
      </c>
      <c r="V233" t="s">
        <v>148</v>
      </c>
      <c r="W233" s="51">
        <f>(W232-WingLayout!F14)/WingLayout!F11*100</f>
        <v>15.716395210148871</v>
      </c>
      <c r="AH233" t="str">
        <f>J233</f>
        <v>%MAC</v>
      </c>
      <c r="AI233" s="51">
        <f>(AI232-WingLayout!F14)/WingLayout!F11*100</f>
        <v>13.974072549201964</v>
      </c>
    </row>
    <row r="236" spans="1:100" ht="15" customHeight="1">
      <c r="A236" t="s">
        <v>298</v>
      </c>
      <c r="C236" t="s">
        <v>140</v>
      </c>
    </row>
    <row r="238" spans="1:100" ht="15" customHeight="1">
      <c r="A238" t="s">
        <v>123</v>
      </c>
      <c r="C238">
        <f>W231+0.25*F54+F57*0.5</f>
        <v>28311.246425851576</v>
      </c>
    </row>
    <row r="239" spans="1:100" ht="15" customHeight="1">
      <c r="A239" t="s">
        <v>299</v>
      </c>
      <c r="C239">
        <f>D4</f>
        <v>9</v>
      </c>
    </row>
    <row r="240" spans="1:100" ht="15" customHeight="1">
      <c r="A240" t="s">
        <v>300</v>
      </c>
      <c r="C240">
        <v>500</v>
      </c>
      <c r="J240" s="1" t="s">
        <v>180</v>
      </c>
      <c r="V240" s="1" t="s">
        <v>138</v>
      </c>
      <c r="AH240" s="1" t="s">
        <v>184</v>
      </c>
      <c r="AT240" s="1" t="s">
        <v>301</v>
      </c>
      <c r="BF240" s="1" t="s">
        <v>302</v>
      </c>
    </row>
    <row r="241" spans="1:65" ht="15" customHeight="1">
      <c r="A241" t="s">
        <v>51</v>
      </c>
      <c r="C241">
        <v>50000</v>
      </c>
      <c r="L241" s="32"/>
      <c r="M241" s="33" t="s">
        <v>222</v>
      </c>
      <c r="N241" s="36"/>
      <c r="P241" t="s">
        <v>223</v>
      </c>
      <c r="X241" s="32"/>
      <c r="Y241" s="33" t="s">
        <v>222</v>
      </c>
      <c r="Z241" s="36"/>
      <c r="AB241" t="s">
        <v>223</v>
      </c>
      <c r="AJ241" s="32"/>
      <c r="AK241" s="33" t="s">
        <v>222</v>
      </c>
      <c r="AL241" s="36"/>
      <c r="AN241" t="s">
        <v>223</v>
      </c>
      <c r="AV241" s="32"/>
      <c r="AW241" s="33" t="s">
        <v>222</v>
      </c>
      <c r="AX241" s="36"/>
      <c r="AZ241" t="s">
        <v>223</v>
      </c>
      <c r="BH241" s="32"/>
      <c r="BI241" s="33" t="s">
        <v>222</v>
      </c>
      <c r="BJ241" s="36"/>
      <c r="BL241" t="s">
        <v>223</v>
      </c>
    </row>
    <row r="242" spans="1:65" ht="15" customHeight="1">
      <c r="A242" t="s">
        <v>303</v>
      </c>
      <c r="C242">
        <f>1.08*(C241)^0.7</f>
        <v>2102.3390563713351</v>
      </c>
      <c r="J242" s="42" t="s">
        <v>242</v>
      </c>
      <c r="K242" s="15" t="s">
        <v>22</v>
      </c>
      <c r="L242" s="47" t="s">
        <v>153</v>
      </c>
      <c r="M242" s="42" t="s">
        <v>154</v>
      </c>
      <c r="N242" s="15" t="s">
        <v>155</v>
      </c>
      <c r="O242" t="s">
        <v>153</v>
      </c>
      <c r="P242" t="s">
        <v>154</v>
      </c>
      <c r="Q242" t="s">
        <v>155</v>
      </c>
      <c r="V242" s="42" t="s">
        <v>242</v>
      </c>
      <c r="W242" s="15" t="s">
        <v>22</v>
      </c>
      <c r="X242" s="47" t="s">
        <v>153</v>
      </c>
      <c r="Y242" s="42" t="s">
        <v>154</v>
      </c>
      <c r="Z242" s="15" t="s">
        <v>155</v>
      </c>
      <c r="AA242" t="s">
        <v>153</v>
      </c>
      <c r="AB242" t="s">
        <v>154</v>
      </c>
      <c r="AC242" t="s">
        <v>155</v>
      </c>
      <c r="AH242" s="42" t="s">
        <v>242</v>
      </c>
      <c r="AI242" s="15" t="s">
        <v>22</v>
      </c>
      <c r="AJ242" s="47" t="s">
        <v>153</v>
      </c>
      <c r="AK242" s="42" t="s">
        <v>154</v>
      </c>
      <c r="AL242" s="15" t="s">
        <v>155</v>
      </c>
      <c r="AM242" t="s">
        <v>153</v>
      </c>
      <c r="AN242" t="s">
        <v>154</v>
      </c>
      <c r="AO242" t="s">
        <v>155</v>
      </c>
      <c r="AT242" s="42" t="s">
        <v>242</v>
      </c>
      <c r="AU242" s="15" t="s">
        <v>22</v>
      </c>
      <c r="AV242" s="47" t="s">
        <v>153</v>
      </c>
      <c r="AW242" s="42" t="s">
        <v>154</v>
      </c>
      <c r="AX242" s="15" t="s">
        <v>155</v>
      </c>
      <c r="AY242" t="s">
        <v>153</v>
      </c>
      <c r="AZ242" t="s">
        <v>154</v>
      </c>
      <c r="BA242" t="s">
        <v>155</v>
      </c>
      <c r="BF242" s="42" t="s">
        <v>242</v>
      </c>
      <c r="BG242" s="15" t="s">
        <v>22</v>
      </c>
      <c r="BH242" s="47" t="s">
        <v>153</v>
      </c>
      <c r="BI242" s="42" t="s">
        <v>154</v>
      </c>
      <c r="BJ242" s="15" t="s">
        <v>155</v>
      </c>
      <c r="BK242" t="s">
        <v>153</v>
      </c>
      <c r="BL242" t="s">
        <v>154</v>
      </c>
      <c r="BM242" t="s">
        <v>155</v>
      </c>
    </row>
    <row r="243" spans="1:65" ht="15" customHeight="1">
      <c r="J243" s="52" t="s">
        <v>250</v>
      </c>
      <c r="K243" s="52">
        <f>18276</f>
        <v>18276</v>
      </c>
      <c r="L243" s="52">
        <v>380</v>
      </c>
      <c r="M243" s="52">
        <v>0</v>
      </c>
      <c r="N243" s="52">
        <v>43</v>
      </c>
      <c r="O243">
        <f>K243*L243</f>
        <v>6944880</v>
      </c>
      <c r="P243">
        <f>M243*K243</f>
        <v>0</v>
      </c>
      <c r="Q243">
        <f>N243*K243</f>
        <v>785868</v>
      </c>
      <c r="V243" s="52" t="s">
        <v>250</v>
      </c>
      <c r="W243" s="52">
        <f>18276*0.6</f>
        <v>10965.6</v>
      </c>
      <c r="X243" s="52">
        <v>380</v>
      </c>
      <c r="Y243" s="52">
        <v>0</v>
      </c>
      <c r="Z243" s="52">
        <v>43</v>
      </c>
      <c r="AA243">
        <f>W243*X243</f>
        <v>4166928</v>
      </c>
      <c r="AB243">
        <f>Y243*W243</f>
        <v>0</v>
      </c>
      <c r="AC243">
        <f>Z243*W243</f>
        <v>471520.8</v>
      </c>
      <c r="AH243" s="52" t="s">
        <v>250</v>
      </c>
      <c r="AI243" s="52">
        <f>18276*0.6</f>
        <v>10965.6</v>
      </c>
      <c r="AJ243" s="52">
        <v>380</v>
      </c>
      <c r="AK243" s="52">
        <v>0</v>
      </c>
      <c r="AL243" s="52">
        <v>43</v>
      </c>
      <c r="AM243">
        <f>AI243*AJ243</f>
        <v>4166928</v>
      </c>
      <c r="AN243">
        <f>AK243*AI243</f>
        <v>0</v>
      </c>
      <c r="AO243">
        <f>AL243*AI243</f>
        <v>471520.8</v>
      </c>
      <c r="AT243" s="52" t="s">
        <v>250</v>
      </c>
      <c r="AU243" s="52">
        <f>18276*1</f>
        <v>18276</v>
      </c>
      <c r="AV243" s="52">
        <v>380</v>
      </c>
      <c r="AW243" s="52">
        <v>0</v>
      </c>
      <c r="AX243" s="52">
        <v>46</v>
      </c>
      <c r="AY243">
        <f>AU243*AV243</f>
        <v>6944880</v>
      </c>
      <c r="AZ243">
        <f>AW243*AU243</f>
        <v>0</v>
      </c>
      <c r="BA243">
        <f>AX243*AU243</f>
        <v>840696</v>
      </c>
      <c r="BF243" s="52" t="s">
        <v>250</v>
      </c>
      <c r="BG243" s="52">
        <f>18276*0.25</f>
        <v>4569</v>
      </c>
      <c r="BH243" s="52">
        <v>380</v>
      </c>
      <c r="BI243" s="52">
        <v>0</v>
      </c>
      <c r="BJ243" s="52">
        <v>46</v>
      </c>
      <c r="BK243">
        <f>BG243*BH243</f>
        <v>1736220</v>
      </c>
      <c r="BL243">
        <f>BI243*BG243</f>
        <v>0</v>
      </c>
      <c r="BM243">
        <f>BJ243*BG243</f>
        <v>210174</v>
      </c>
    </row>
    <row r="244" spans="1:65" ht="15" customHeight="1">
      <c r="J244" s="155" t="s">
        <v>253</v>
      </c>
      <c r="K244" s="155">
        <v>3900</v>
      </c>
      <c r="L244" s="155">
        <f>L243</f>
        <v>380</v>
      </c>
      <c r="M244" s="155">
        <v>0</v>
      </c>
      <c r="N244" s="155">
        <v>46</v>
      </c>
      <c r="O244">
        <f>K244*L244</f>
        <v>1482000</v>
      </c>
      <c r="P244">
        <f t="shared" ref="P244:P270" si="91">M244*K244</f>
        <v>0</v>
      </c>
      <c r="Q244">
        <f t="shared" ref="Q244:Q270" si="92">N244*K244</f>
        <v>179400</v>
      </c>
      <c r="V244" s="155" t="s">
        <v>253</v>
      </c>
      <c r="W244" s="155">
        <v>3900</v>
      </c>
      <c r="X244" s="155">
        <f>X243</f>
        <v>380</v>
      </c>
      <c r="Y244" s="155">
        <v>0</v>
      </c>
      <c r="Z244" s="155">
        <v>46</v>
      </c>
      <c r="AA244">
        <f t="shared" ref="AA244:AA270" si="93">W244*X244</f>
        <v>1482000</v>
      </c>
      <c r="AB244">
        <f t="shared" ref="AB244:AB270" si="94">Y244*W244</f>
        <v>0</v>
      </c>
      <c r="AC244">
        <f t="shared" ref="AC244:AC270" si="95">Z244*W244</f>
        <v>179400</v>
      </c>
      <c r="AH244" s="155" t="s">
        <v>253</v>
      </c>
      <c r="AI244" s="155">
        <v>3900</v>
      </c>
      <c r="AJ244" s="155">
        <f>AJ243</f>
        <v>380</v>
      </c>
      <c r="AK244" s="155">
        <v>0</v>
      </c>
      <c r="AL244" s="155">
        <v>46</v>
      </c>
      <c r="AM244">
        <f t="shared" ref="AM244:AM268" si="96">AI244*AJ244</f>
        <v>1482000</v>
      </c>
      <c r="AN244">
        <f t="shared" ref="AN244:AN270" si="97">AK244*AI244</f>
        <v>0</v>
      </c>
      <c r="AO244">
        <f t="shared" ref="AO244:AO270" si="98">AL244*AI244</f>
        <v>179400</v>
      </c>
      <c r="AT244" s="155" t="s">
        <v>253</v>
      </c>
      <c r="AU244" s="155">
        <v>3900</v>
      </c>
      <c r="AV244" s="155">
        <f>AV243</f>
        <v>380</v>
      </c>
      <c r="AW244" s="155">
        <v>0</v>
      </c>
      <c r="AX244" s="155">
        <v>46</v>
      </c>
      <c r="AY244">
        <f t="shared" ref="AY244:AY268" si="99">AU244*AV244</f>
        <v>1482000</v>
      </c>
      <c r="AZ244">
        <f t="shared" ref="AZ244:AZ270" si="100">AW244*AU244</f>
        <v>0</v>
      </c>
      <c r="BA244">
        <f t="shared" ref="BA244:BA270" si="101">AX244*AU244</f>
        <v>179400</v>
      </c>
      <c r="BF244" s="155" t="s">
        <v>253</v>
      </c>
      <c r="BG244" s="155">
        <v>3900</v>
      </c>
      <c r="BH244" s="155">
        <f>BH243</f>
        <v>380</v>
      </c>
      <c r="BI244" s="155">
        <v>0</v>
      </c>
      <c r="BJ244" s="155">
        <v>46</v>
      </c>
      <c r="BK244">
        <f t="shared" ref="BK244:BK268" si="102">BG244*BH244</f>
        <v>1482000</v>
      </c>
      <c r="BL244">
        <f t="shared" ref="BL244:BL270" si="103">BI244*BG244</f>
        <v>0</v>
      </c>
      <c r="BM244">
        <f t="shared" ref="BM244:BM270" si="104">BJ244*BG244</f>
        <v>179400</v>
      </c>
    </row>
    <row r="245" spans="1:65" ht="15" customHeight="1">
      <c r="J245" s="155" t="s">
        <v>255</v>
      </c>
      <c r="K245" s="155">
        <v>480</v>
      </c>
      <c r="L245" s="155">
        <v>550</v>
      </c>
      <c r="M245" s="155">
        <v>0</v>
      </c>
      <c r="N245" s="155">
        <v>0</v>
      </c>
      <c r="O245">
        <f t="shared" ref="O245:O270" si="105">K245*L245</f>
        <v>264000</v>
      </c>
      <c r="P245">
        <f t="shared" si="91"/>
        <v>0</v>
      </c>
      <c r="Q245">
        <f t="shared" si="92"/>
        <v>0</v>
      </c>
      <c r="V245" s="155" t="s">
        <v>255</v>
      </c>
      <c r="W245" s="155">
        <v>480</v>
      </c>
      <c r="X245" s="155">
        <v>550</v>
      </c>
      <c r="Y245" s="155">
        <v>0</v>
      </c>
      <c r="Z245" s="155">
        <v>0</v>
      </c>
      <c r="AA245">
        <f t="shared" si="93"/>
        <v>264000</v>
      </c>
      <c r="AB245">
        <f t="shared" si="94"/>
        <v>0</v>
      </c>
      <c r="AC245">
        <f t="shared" si="95"/>
        <v>0</v>
      </c>
      <c r="AH245" s="155" t="s">
        <v>255</v>
      </c>
      <c r="AI245" s="155">
        <v>480</v>
      </c>
      <c r="AJ245" s="155">
        <v>550</v>
      </c>
      <c r="AK245" s="155">
        <v>0</v>
      </c>
      <c r="AL245" s="155">
        <v>0</v>
      </c>
      <c r="AM245">
        <f t="shared" si="96"/>
        <v>264000</v>
      </c>
      <c r="AN245">
        <f t="shared" si="97"/>
        <v>0</v>
      </c>
      <c r="AO245">
        <f t="shared" si="98"/>
        <v>0</v>
      </c>
      <c r="AT245" s="155" t="s">
        <v>255</v>
      </c>
      <c r="AU245" s="155">
        <v>480</v>
      </c>
      <c r="AV245" s="155">
        <v>550</v>
      </c>
      <c r="AW245" s="155">
        <v>0</v>
      </c>
      <c r="AX245" s="155">
        <v>0</v>
      </c>
      <c r="AY245">
        <f t="shared" si="99"/>
        <v>264000</v>
      </c>
      <c r="AZ245">
        <f t="shared" si="100"/>
        <v>0</v>
      </c>
      <c r="BA245">
        <f t="shared" si="101"/>
        <v>0</v>
      </c>
      <c r="BF245" s="155" t="s">
        <v>255</v>
      </c>
      <c r="BG245" s="155">
        <v>480</v>
      </c>
      <c r="BH245" s="155">
        <v>550</v>
      </c>
      <c r="BI245" s="155">
        <v>0</v>
      </c>
      <c r="BJ245" s="155">
        <v>0</v>
      </c>
      <c r="BK245">
        <f t="shared" si="102"/>
        <v>264000</v>
      </c>
      <c r="BL245">
        <f t="shared" si="103"/>
        <v>0</v>
      </c>
      <c r="BM245">
        <f t="shared" si="104"/>
        <v>0</v>
      </c>
    </row>
    <row r="246" spans="1:65" ht="15" customHeight="1">
      <c r="J246" s="155" t="s">
        <v>256</v>
      </c>
      <c r="K246" s="155">
        <v>950</v>
      </c>
      <c r="L246" s="155">
        <v>550</v>
      </c>
      <c r="M246" s="155">
        <v>0</v>
      </c>
      <c r="N246" s="155">
        <v>72</v>
      </c>
      <c r="O246">
        <f t="shared" si="105"/>
        <v>522500</v>
      </c>
      <c r="P246">
        <f t="shared" si="91"/>
        <v>0</v>
      </c>
      <c r="Q246">
        <f t="shared" si="92"/>
        <v>68400</v>
      </c>
      <c r="V246" s="155" t="s">
        <v>256</v>
      </c>
      <c r="W246" s="155">
        <v>950</v>
      </c>
      <c r="X246" s="155">
        <v>550</v>
      </c>
      <c r="Y246" s="155">
        <v>0</v>
      </c>
      <c r="Z246" s="155">
        <v>72</v>
      </c>
      <c r="AA246">
        <f t="shared" si="93"/>
        <v>522500</v>
      </c>
      <c r="AB246">
        <f t="shared" si="94"/>
        <v>0</v>
      </c>
      <c r="AC246">
        <f t="shared" si="95"/>
        <v>68400</v>
      </c>
      <c r="AH246" s="155" t="s">
        <v>256</v>
      </c>
      <c r="AI246" s="155">
        <v>950</v>
      </c>
      <c r="AJ246" s="155">
        <v>550</v>
      </c>
      <c r="AK246" s="155">
        <v>0</v>
      </c>
      <c r="AL246" s="155">
        <v>72</v>
      </c>
      <c r="AM246">
        <f t="shared" si="96"/>
        <v>522500</v>
      </c>
      <c r="AN246">
        <f t="shared" si="97"/>
        <v>0</v>
      </c>
      <c r="AO246">
        <f t="shared" si="98"/>
        <v>68400</v>
      </c>
      <c r="AT246" s="155" t="s">
        <v>256</v>
      </c>
      <c r="AU246" s="155">
        <v>950</v>
      </c>
      <c r="AV246" s="155">
        <v>550</v>
      </c>
      <c r="AW246" s="155">
        <v>0</v>
      </c>
      <c r="AX246" s="155">
        <v>72</v>
      </c>
      <c r="AY246">
        <f t="shared" si="99"/>
        <v>522500</v>
      </c>
      <c r="AZ246">
        <f t="shared" si="100"/>
        <v>0</v>
      </c>
      <c r="BA246">
        <f t="shared" si="101"/>
        <v>68400</v>
      </c>
      <c r="BF246" s="155" t="s">
        <v>256</v>
      </c>
      <c r="BG246" s="155">
        <v>950</v>
      </c>
      <c r="BH246" s="155">
        <v>550</v>
      </c>
      <c r="BI246" s="155">
        <v>0</v>
      </c>
      <c r="BJ246" s="155">
        <v>72</v>
      </c>
      <c r="BK246">
        <f t="shared" si="102"/>
        <v>522500</v>
      </c>
      <c r="BL246">
        <f t="shared" si="103"/>
        <v>0</v>
      </c>
      <c r="BM246">
        <f t="shared" si="104"/>
        <v>68400</v>
      </c>
    </row>
    <row r="247" spans="1:65" ht="15" customHeight="1">
      <c r="J247" s="155" t="s">
        <v>168</v>
      </c>
      <c r="K247" s="155">
        <v>3500</v>
      </c>
      <c r="L247" s="155">
        <v>230</v>
      </c>
      <c r="M247" s="155">
        <v>0</v>
      </c>
      <c r="N247" s="155">
        <v>0</v>
      </c>
      <c r="O247">
        <f t="shared" si="105"/>
        <v>805000</v>
      </c>
      <c r="P247">
        <f t="shared" si="91"/>
        <v>0</v>
      </c>
      <c r="Q247">
        <f t="shared" si="92"/>
        <v>0</v>
      </c>
      <c r="V247" s="155" t="s">
        <v>168</v>
      </c>
      <c r="W247" s="155">
        <v>3500</v>
      </c>
      <c r="X247" s="155">
        <v>230</v>
      </c>
      <c r="Y247" s="155">
        <v>0</v>
      </c>
      <c r="Z247" s="155">
        <v>0</v>
      </c>
      <c r="AA247">
        <f t="shared" si="93"/>
        <v>805000</v>
      </c>
      <c r="AB247">
        <f t="shared" si="94"/>
        <v>0</v>
      </c>
      <c r="AC247">
        <f t="shared" si="95"/>
        <v>0</v>
      </c>
      <c r="AH247" s="155" t="s">
        <v>168</v>
      </c>
      <c r="AI247" s="155">
        <v>3500</v>
      </c>
      <c r="AJ247" s="155">
        <v>230</v>
      </c>
      <c r="AK247" s="155">
        <v>0</v>
      </c>
      <c r="AL247" s="155">
        <v>0</v>
      </c>
      <c r="AM247">
        <f t="shared" si="96"/>
        <v>805000</v>
      </c>
      <c r="AN247">
        <f t="shared" si="97"/>
        <v>0</v>
      </c>
      <c r="AO247">
        <f t="shared" si="98"/>
        <v>0</v>
      </c>
      <c r="AT247" s="155" t="s">
        <v>168</v>
      </c>
      <c r="AU247" s="155">
        <v>3500</v>
      </c>
      <c r="AV247" s="155">
        <v>230</v>
      </c>
      <c r="AW247" s="155">
        <v>0</v>
      </c>
      <c r="AX247" s="155">
        <v>0</v>
      </c>
      <c r="AY247">
        <f t="shared" si="99"/>
        <v>805000</v>
      </c>
      <c r="AZ247">
        <f t="shared" si="100"/>
        <v>0</v>
      </c>
      <c r="BA247">
        <f t="shared" si="101"/>
        <v>0</v>
      </c>
      <c r="BF247" s="155" t="s">
        <v>168</v>
      </c>
      <c r="BG247" s="155">
        <v>3500</v>
      </c>
      <c r="BH247" s="155">
        <v>230</v>
      </c>
      <c r="BI247" s="155">
        <v>0</v>
      </c>
      <c r="BJ247" s="155">
        <v>0</v>
      </c>
      <c r="BK247">
        <f t="shared" si="102"/>
        <v>805000</v>
      </c>
      <c r="BL247">
        <f t="shared" si="103"/>
        <v>0</v>
      </c>
      <c r="BM247">
        <f t="shared" si="104"/>
        <v>0</v>
      </c>
    </row>
    <row r="248" spans="1:65" ht="15" customHeight="1">
      <c r="J248" s="156" t="s">
        <v>258</v>
      </c>
      <c r="K248" s="156">
        <v>100</v>
      </c>
      <c r="L248" s="156">
        <v>220</v>
      </c>
      <c r="M248" s="156">
        <v>0</v>
      </c>
      <c r="N248" s="156">
        <v>-15</v>
      </c>
      <c r="O248">
        <f t="shared" si="105"/>
        <v>22000</v>
      </c>
      <c r="P248">
        <f t="shared" si="91"/>
        <v>0</v>
      </c>
      <c r="Q248">
        <f t="shared" si="92"/>
        <v>-1500</v>
      </c>
      <c r="V248" s="156" t="s">
        <v>258</v>
      </c>
      <c r="W248" s="156">
        <v>100</v>
      </c>
      <c r="X248" s="156">
        <v>220</v>
      </c>
      <c r="Y248" s="156">
        <v>0</v>
      </c>
      <c r="Z248" s="156">
        <v>-15</v>
      </c>
      <c r="AA248">
        <f t="shared" si="93"/>
        <v>22000</v>
      </c>
      <c r="AB248">
        <f t="shared" si="94"/>
        <v>0</v>
      </c>
      <c r="AC248">
        <f t="shared" si="95"/>
        <v>-1500</v>
      </c>
      <c r="AH248" s="156" t="s">
        <v>258</v>
      </c>
      <c r="AI248" s="156">
        <v>100</v>
      </c>
      <c r="AJ248" s="156">
        <v>220</v>
      </c>
      <c r="AK248" s="156">
        <v>0</v>
      </c>
      <c r="AL248" s="156">
        <v>-15</v>
      </c>
      <c r="AM248">
        <f t="shared" si="96"/>
        <v>22000</v>
      </c>
      <c r="AN248">
        <f t="shared" si="97"/>
        <v>0</v>
      </c>
      <c r="AO248">
        <f t="shared" si="98"/>
        <v>-1500</v>
      </c>
      <c r="AT248" s="156" t="s">
        <v>258</v>
      </c>
      <c r="AU248" s="156">
        <v>100</v>
      </c>
      <c r="AV248" s="156">
        <f>AJ248</f>
        <v>220</v>
      </c>
      <c r="AW248" s="156">
        <v>0</v>
      </c>
      <c r="AX248" s="156">
        <v>-54</v>
      </c>
      <c r="AY248">
        <f t="shared" si="99"/>
        <v>22000</v>
      </c>
      <c r="AZ248">
        <f t="shared" si="100"/>
        <v>0</v>
      </c>
      <c r="BA248">
        <f t="shared" si="101"/>
        <v>-5400</v>
      </c>
      <c r="BF248" s="156" t="s">
        <v>258</v>
      </c>
      <c r="BG248" s="156">
        <v>100</v>
      </c>
      <c r="BH248" s="156">
        <f>AV248</f>
        <v>220</v>
      </c>
      <c r="BI248" s="156">
        <v>0</v>
      </c>
      <c r="BJ248" s="156">
        <v>-54</v>
      </c>
      <c r="BK248">
        <f t="shared" si="102"/>
        <v>22000</v>
      </c>
      <c r="BL248">
        <f t="shared" si="103"/>
        <v>0</v>
      </c>
      <c r="BM248">
        <f t="shared" si="104"/>
        <v>-5400</v>
      </c>
    </row>
    <row r="249" spans="1:65" ht="15" customHeight="1">
      <c r="J249" s="156" t="s">
        <v>259</v>
      </c>
      <c r="K249" s="156">
        <v>200</v>
      </c>
      <c r="L249" s="156">
        <v>400</v>
      </c>
      <c r="M249" s="156">
        <v>0</v>
      </c>
      <c r="N249" s="156">
        <v>-15</v>
      </c>
      <c r="O249">
        <f t="shared" si="105"/>
        <v>80000</v>
      </c>
      <c r="P249">
        <f t="shared" si="91"/>
        <v>0</v>
      </c>
      <c r="Q249">
        <f t="shared" si="92"/>
        <v>-3000</v>
      </c>
      <c r="V249" s="156" t="s">
        <v>259</v>
      </c>
      <c r="W249" s="156">
        <v>200</v>
      </c>
      <c r="X249" s="156">
        <v>400</v>
      </c>
      <c r="Y249" s="156">
        <v>0</v>
      </c>
      <c r="Z249" s="156">
        <v>-15</v>
      </c>
      <c r="AA249">
        <f t="shared" si="93"/>
        <v>80000</v>
      </c>
      <c r="AB249">
        <f t="shared" si="94"/>
        <v>0</v>
      </c>
      <c r="AC249">
        <f t="shared" si="95"/>
        <v>-3000</v>
      </c>
      <c r="AH249" s="156" t="s">
        <v>259</v>
      </c>
      <c r="AI249" s="156">
        <v>200</v>
      </c>
      <c r="AJ249" s="156">
        <v>400</v>
      </c>
      <c r="AK249" s="156">
        <v>0</v>
      </c>
      <c r="AL249" s="156">
        <v>-15</v>
      </c>
      <c r="AM249">
        <f t="shared" si="96"/>
        <v>80000</v>
      </c>
      <c r="AN249">
        <f t="shared" si="97"/>
        <v>0</v>
      </c>
      <c r="AO249">
        <f t="shared" si="98"/>
        <v>-3000</v>
      </c>
      <c r="AT249" s="156" t="s">
        <v>259</v>
      </c>
      <c r="AU249" s="156">
        <v>200</v>
      </c>
      <c r="AV249" s="156">
        <f>AJ249</f>
        <v>400</v>
      </c>
      <c r="AW249" s="156">
        <v>0</v>
      </c>
      <c r="AX249" s="156">
        <v>-54</v>
      </c>
      <c r="AY249">
        <f t="shared" si="99"/>
        <v>80000</v>
      </c>
      <c r="AZ249">
        <f t="shared" si="100"/>
        <v>0</v>
      </c>
      <c r="BA249">
        <f t="shared" si="101"/>
        <v>-10800</v>
      </c>
      <c r="BF249" s="156" t="s">
        <v>259</v>
      </c>
      <c r="BG249" s="156">
        <v>200</v>
      </c>
      <c r="BH249" s="156">
        <f>AV249</f>
        <v>400</v>
      </c>
      <c r="BI249" s="156">
        <v>0</v>
      </c>
      <c r="BJ249" s="156">
        <v>-54</v>
      </c>
      <c r="BK249">
        <f t="shared" si="102"/>
        <v>80000</v>
      </c>
      <c r="BL249">
        <f t="shared" si="103"/>
        <v>0</v>
      </c>
      <c r="BM249">
        <f t="shared" si="104"/>
        <v>-10800</v>
      </c>
    </row>
    <row r="250" spans="1:65" ht="15" customHeight="1">
      <c r="J250" s="157" t="s">
        <v>260</v>
      </c>
      <c r="K250" s="157">
        <v>220</v>
      </c>
      <c r="L250" s="157">
        <v>210</v>
      </c>
      <c r="M250" s="157">
        <v>0</v>
      </c>
      <c r="N250" s="157">
        <v>59</v>
      </c>
      <c r="O250">
        <f t="shared" si="105"/>
        <v>46200</v>
      </c>
      <c r="P250">
        <f t="shared" si="91"/>
        <v>0</v>
      </c>
      <c r="Q250">
        <f t="shared" si="92"/>
        <v>12980</v>
      </c>
      <c r="V250" s="157" t="s">
        <v>260</v>
      </c>
      <c r="W250" s="157">
        <v>220</v>
      </c>
      <c r="X250" s="157">
        <v>210</v>
      </c>
      <c r="Y250" s="157">
        <v>0</v>
      </c>
      <c r="Z250" s="157">
        <v>59</v>
      </c>
      <c r="AA250">
        <f t="shared" si="93"/>
        <v>46200</v>
      </c>
      <c r="AB250">
        <f t="shared" si="94"/>
        <v>0</v>
      </c>
      <c r="AC250">
        <f t="shared" si="95"/>
        <v>12980</v>
      </c>
      <c r="AH250" s="157" t="s">
        <v>260</v>
      </c>
      <c r="AI250" s="157">
        <v>220</v>
      </c>
      <c r="AJ250" s="157">
        <v>210</v>
      </c>
      <c r="AK250" s="157">
        <v>0</v>
      </c>
      <c r="AL250" s="157">
        <v>59</v>
      </c>
      <c r="AM250">
        <f t="shared" si="96"/>
        <v>46200</v>
      </c>
      <c r="AN250">
        <f t="shared" si="97"/>
        <v>0</v>
      </c>
      <c r="AO250">
        <f t="shared" si="98"/>
        <v>12980</v>
      </c>
      <c r="AT250" s="157" t="s">
        <v>260</v>
      </c>
      <c r="AU250" s="157">
        <v>220</v>
      </c>
      <c r="AV250" s="157">
        <v>210</v>
      </c>
      <c r="AW250" s="157">
        <v>0</v>
      </c>
      <c r="AX250" s="157">
        <v>59</v>
      </c>
      <c r="AY250">
        <f t="shared" si="99"/>
        <v>46200</v>
      </c>
      <c r="AZ250">
        <f t="shared" si="100"/>
        <v>0</v>
      </c>
      <c r="BA250">
        <f t="shared" si="101"/>
        <v>12980</v>
      </c>
      <c r="BF250" s="157" t="s">
        <v>260</v>
      </c>
      <c r="BG250" s="157">
        <v>220</v>
      </c>
      <c r="BH250" s="157">
        <v>210</v>
      </c>
      <c r="BI250" s="157">
        <v>0</v>
      </c>
      <c r="BJ250" s="157">
        <v>59</v>
      </c>
      <c r="BK250">
        <f t="shared" si="102"/>
        <v>46200</v>
      </c>
      <c r="BL250">
        <f t="shared" si="103"/>
        <v>0</v>
      </c>
      <c r="BM250">
        <f t="shared" si="104"/>
        <v>12980</v>
      </c>
    </row>
    <row r="251" spans="1:65" ht="15" customHeight="1">
      <c r="J251" s="155" t="s">
        <v>261</v>
      </c>
      <c r="K251" s="155">
        <v>220</v>
      </c>
      <c r="L251" s="155">
        <v>80</v>
      </c>
      <c r="M251" s="155">
        <v>0</v>
      </c>
      <c r="N251" s="155">
        <v>0</v>
      </c>
      <c r="O251">
        <f t="shared" si="105"/>
        <v>17600</v>
      </c>
      <c r="P251">
        <f t="shared" si="91"/>
        <v>0</v>
      </c>
      <c r="Q251">
        <f t="shared" si="92"/>
        <v>0</v>
      </c>
      <c r="V251" s="155" t="s">
        <v>261</v>
      </c>
      <c r="W251" s="155">
        <v>220</v>
      </c>
      <c r="X251" s="155">
        <v>80</v>
      </c>
      <c r="Y251" s="155">
        <v>0</v>
      </c>
      <c r="Z251" s="155">
        <v>0</v>
      </c>
      <c r="AA251">
        <f t="shared" si="93"/>
        <v>17600</v>
      </c>
      <c r="AB251">
        <f t="shared" si="94"/>
        <v>0</v>
      </c>
      <c r="AC251">
        <f t="shared" si="95"/>
        <v>0</v>
      </c>
      <c r="AH251" s="155" t="s">
        <v>261</v>
      </c>
      <c r="AI251" s="155">
        <v>220</v>
      </c>
      <c r="AJ251" s="155">
        <v>80</v>
      </c>
      <c r="AK251" s="155">
        <v>0</v>
      </c>
      <c r="AL251" s="155">
        <v>0</v>
      </c>
      <c r="AM251">
        <f t="shared" si="96"/>
        <v>17600</v>
      </c>
      <c r="AN251">
        <f t="shared" si="97"/>
        <v>0</v>
      </c>
      <c r="AO251">
        <f t="shared" si="98"/>
        <v>0</v>
      </c>
      <c r="AT251" s="155" t="s">
        <v>261</v>
      </c>
      <c r="AU251" s="155">
        <v>220</v>
      </c>
      <c r="AV251" s="155">
        <v>80</v>
      </c>
      <c r="AW251" s="155">
        <v>0</v>
      </c>
      <c r="AX251" s="155">
        <v>0</v>
      </c>
      <c r="AY251">
        <f t="shared" si="99"/>
        <v>17600</v>
      </c>
      <c r="AZ251">
        <f t="shared" si="100"/>
        <v>0</v>
      </c>
      <c r="BA251">
        <f t="shared" si="101"/>
        <v>0</v>
      </c>
      <c r="BF251" s="155" t="s">
        <v>261</v>
      </c>
      <c r="BG251" s="155">
        <v>220</v>
      </c>
      <c r="BH251" s="155">
        <v>80</v>
      </c>
      <c r="BI251" s="155">
        <v>0</v>
      </c>
      <c r="BJ251" s="155">
        <v>0</v>
      </c>
      <c r="BK251">
        <f t="shared" si="102"/>
        <v>17600</v>
      </c>
      <c r="BL251">
        <f t="shared" si="103"/>
        <v>0</v>
      </c>
      <c r="BM251">
        <f t="shared" si="104"/>
        <v>0</v>
      </c>
    </row>
    <row r="252" spans="1:65" ht="15" customHeight="1">
      <c r="J252" s="155" t="s">
        <v>262</v>
      </c>
      <c r="K252" s="155">
        <v>300</v>
      </c>
      <c r="L252" s="155">
        <v>210</v>
      </c>
      <c r="M252" s="155">
        <v>0</v>
      </c>
      <c r="N252" s="155">
        <v>59</v>
      </c>
      <c r="O252">
        <f t="shared" si="105"/>
        <v>63000</v>
      </c>
      <c r="P252">
        <f t="shared" si="91"/>
        <v>0</v>
      </c>
      <c r="Q252">
        <f t="shared" si="92"/>
        <v>17700</v>
      </c>
      <c r="V252" s="155" t="s">
        <v>262</v>
      </c>
      <c r="W252" s="155">
        <v>300</v>
      </c>
      <c r="X252" s="155">
        <v>210</v>
      </c>
      <c r="Y252" s="155">
        <v>0</v>
      </c>
      <c r="Z252" s="155">
        <v>59</v>
      </c>
      <c r="AA252">
        <f t="shared" si="93"/>
        <v>63000</v>
      </c>
      <c r="AB252">
        <f t="shared" si="94"/>
        <v>0</v>
      </c>
      <c r="AC252">
        <f t="shared" si="95"/>
        <v>17700</v>
      </c>
      <c r="AH252" s="155" t="s">
        <v>262</v>
      </c>
      <c r="AI252" s="155">
        <v>300</v>
      </c>
      <c r="AJ252" s="155">
        <v>210</v>
      </c>
      <c r="AK252" s="155">
        <v>0</v>
      </c>
      <c r="AL252" s="155">
        <v>59</v>
      </c>
      <c r="AM252">
        <f t="shared" si="96"/>
        <v>63000</v>
      </c>
      <c r="AN252">
        <f t="shared" si="97"/>
        <v>0</v>
      </c>
      <c r="AO252">
        <f t="shared" si="98"/>
        <v>17700</v>
      </c>
      <c r="AT252" s="155" t="s">
        <v>262</v>
      </c>
      <c r="AU252" s="155">
        <v>300</v>
      </c>
      <c r="AV252" s="155">
        <v>210</v>
      </c>
      <c r="AW252" s="155">
        <v>0</v>
      </c>
      <c r="AX252" s="155">
        <v>59</v>
      </c>
      <c r="AY252">
        <f t="shared" si="99"/>
        <v>63000</v>
      </c>
      <c r="AZ252">
        <f t="shared" si="100"/>
        <v>0</v>
      </c>
      <c r="BA252">
        <f t="shared" si="101"/>
        <v>17700</v>
      </c>
      <c r="BF252" s="155" t="s">
        <v>262</v>
      </c>
      <c r="BG252" s="155">
        <v>300</v>
      </c>
      <c r="BH252" s="155">
        <v>210</v>
      </c>
      <c r="BI252" s="155">
        <v>0</v>
      </c>
      <c r="BJ252" s="155">
        <v>59</v>
      </c>
      <c r="BK252">
        <f t="shared" si="102"/>
        <v>63000</v>
      </c>
      <c r="BL252">
        <f t="shared" si="103"/>
        <v>0</v>
      </c>
      <c r="BM252">
        <f t="shared" si="104"/>
        <v>17700</v>
      </c>
    </row>
    <row r="253" spans="1:65" ht="15" customHeight="1">
      <c r="J253" s="157" t="s">
        <v>264</v>
      </c>
      <c r="K253" s="157">
        <v>100</v>
      </c>
      <c r="L253" s="157">
        <v>210</v>
      </c>
      <c r="M253" s="157">
        <v>0</v>
      </c>
      <c r="N253" s="157">
        <v>16</v>
      </c>
      <c r="O253">
        <f t="shared" si="105"/>
        <v>21000</v>
      </c>
      <c r="P253">
        <f t="shared" si="91"/>
        <v>0</v>
      </c>
      <c r="Q253">
        <f t="shared" si="92"/>
        <v>1600</v>
      </c>
      <c r="V253" s="157" t="s">
        <v>264</v>
      </c>
      <c r="W253" s="157">
        <v>100</v>
      </c>
      <c r="X253" s="157">
        <v>210</v>
      </c>
      <c r="Y253" s="157">
        <v>0</v>
      </c>
      <c r="Z253" s="157">
        <v>16</v>
      </c>
      <c r="AA253">
        <f t="shared" si="93"/>
        <v>21000</v>
      </c>
      <c r="AB253">
        <f t="shared" si="94"/>
        <v>0</v>
      </c>
      <c r="AC253">
        <f t="shared" si="95"/>
        <v>1600</v>
      </c>
      <c r="AH253" s="157" t="s">
        <v>264</v>
      </c>
      <c r="AI253" s="157">
        <v>100</v>
      </c>
      <c r="AJ253" s="157">
        <v>210</v>
      </c>
      <c r="AK253" s="157">
        <v>0</v>
      </c>
      <c r="AL253" s="157">
        <v>16</v>
      </c>
      <c r="AM253">
        <f t="shared" si="96"/>
        <v>21000</v>
      </c>
      <c r="AN253">
        <f t="shared" si="97"/>
        <v>0</v>
      </c>
      <c r="AO253">
        <f t="shared" si="98"/>
        <v>1600</v>
      </c>
      <c r="AT253" s="157" t="s">
        <v>264</v>
      </c>
      <c r="AU253" s="157">
        <v>100</v>
      </c>
      <c r="AV253" s="157">
        <v>210</v>
      </c>
      <c r="AW253" s="157">
        <v>0</v>
      </c>
      <c r="AX253" s="157">
        <v>16</v>
      </c>
      <c r="AY253">
        <f t="shared" si="99"/>
        <v>21000</v>
      </c>
      <c r="AZ253">
        <f t="shared" si="100"/>
        <v>0</v>
      </c>
      <c r="BA253">
        <f t="shared" si="101"/>
        <v>1600</v>
      </c>
      <c r="BF253" s="157" t="s">
        <v>264</v>
      </c>
      <c r="BG253" s="157">
        <v>100</v>
      </c>
      <c r="BH253" s="157">
        <v>210</v>
      </c>
      <c r="BI253" s="157">
        <v>0</v>
      </c>
      <c r="BJ253" s="157">
        <v>16</v>
      </c>
      <c r="BK253">
        <f t="shared" si="102"/>
        <v>21000</v>
      </c>
      <c r="BL253">
        <f t="shared" si="103"/>
        <v>0</v>
      </c>
      <c r="BM253">
        <f t="shared" si="104"/>
        <v>1600</v>
      </c>
    </row>
    <row r="254" spans="1:65" ht="15" customHeight="1">
      <c r="J254" s="155" t="s">
        <v>266</v>
      </c>
      <c r="K254" s="155">
        <v>400</v>
      </c>
      <c r="L254" s="155">
        <v>591</v>
      </c>
      <c r="M254" s="155">
        <v>23</v>
      </c>
      <c r="N254" s="155">
        <v>20</v>
      </c>
      <c r="O254">
        <f t="shared" si="105"/>
        <v>236400</v>
      </c>
      <c r="P254">
        <f t="shared" si="91"/>
        <v>9200</v>
      </c>
      <c r="Q254">
        <f t="shared" si="92"/>
        <v>8000</v>
      </c>
      <c r="V254" s="155" t="s">
        <v>266</v>
      </c>
      <c r="W254" s="155">
        <v>400</v>
      </c>
      <c r="X254" s="155">
        <v>591</v>
      </c>
      <c r="Y254" s="155">
        <v>23</v>
      </c>
      <c r="Z254" s="155">
        <v>20</v>
      </c>
      <c r="AA254">
        <f t="shared" si="93"/>
        <v>236400</v>
      </c>
      <c r="AB254">
        <f t="shared" si="94"/>
        <v>9200</v>
      </c>
      <c r="AC254">
        <f t="shared" si="95"/>
        <v>8000</v>
      </c>
      <c r="AH254" s="155" t="s">
        <v>266</v>
      </c>
      <c r="AI254" s="155">
        <v>400</v>
      </c>
      <c r="AJ254" s="155">
        <v>591</v>
      </c>
      <c r="AK254" s="155">
        <v>23</v>
      </c>
      <c r="AL254" s="155">
        <v>20</v>
      </c>
      <c r="AM254">
        <f t="shared" si="96"/>
        <v>236400</v>
      </c>
      <c r="AN254">
        <f t="shared" si="97"/>
        <v>9200</v>
      </c>
      <c r="AO254">
        <f t="shared" si="98"/>
        <v>8000</v>
      </c>
      <c r="AT254" s="155" t="s">
        <v>266</v>
      </c>
      <c r="AU254" s="155">
        <v>400</v>
      </c>
      <c r="AV254" s="155">
        <v>591</v>
      </c>
      <c r="AW254" s="155">
        <v>23</v>
      </c>
      <c r="AX254" s="155">
        <v>20</v>
      </c>
      <c r="AY254">
        <f t="shared" si="99"/>
        <v>236400</v>
      </c>
      <c r="AZ254">
        <f t="shared" si="100"/>
        <v>9200</v>
      </c>
      <c r="BA254">
        <f t="shared" si="101"/>
        <v>8000</v>
      </c>
      <c r="BF254" s="155" t="s">
        <v>266</v>
      </c>
      <c r="BG254" s="155">
        <v>400</v>
      </c>
      <c r="BH254" s="155">
        <v>591</v>
      </c>
      <c r="BI254" s="155">
        <v>23</v>
      </c>
      <c r="BJ254" s="155">
        <v>20</v>
      </c>
      <c r="BK254">
        <f t="shared" si="102"/>
        <v>236400</v>
      </c>
      <c r="BL254">
        <f t="shared" si="103"/>
        <v>9200</v>
      </c>
      <c r="BM254">
        <f t="shared" si="104"/>
        <v>8000</v>
      </c>
    </row>
    <row r="255" spans="1:65" ht="15" customHeight="1">
      <c r="J255" s="155" t="s">
        <v>267</v>
      </c>
      <c r="K255" s="155">
        <v>400</v>
      </c>
      <c r="L255" s="155">
        <v>591</v>
      </c>
      <c r="M255" s="155">
        <v>-23</v>
      </c>
      <c r="N255" s="155">
        <v>20</v>
      </c>
      <c r="O255">
        <f t="shared" si="105"/>
        <v>236400</v>
      </c>
      <c r="P255">
        <f t="shared" si="91"/>
        <v>-9200</v>
      </c>
      <c r="Q255">
        <f t="shared" si="92"/>
        <v>8000</v>
      </c>
      <c r="V255" s="155" t="s">
        <v>267</v>
      </c>
      <c r="W255" s="155">
        <v>400</v>
      </c>
      <c r="X255" s="155">
        <v>591</v>
      </c>
      <c r="Y255" s="155">
        <v>-23</v>
      </c>
      <c r="Z255" s="155">
        <v>20</v>
      </c>
      <c r="AA255">
        <f t="shared" si="93"/>
        <v>236400</v>
      </c>
      <c r="AB255">
        <f t="shared" si="94"/>
        <v>-9200</v>
      </c>
      <c r="AC255">
        <f t="shared" si="95"/>
        <v>8000</v>
      </c>
      <c r="AH255" s="155" t="s">
        <v>267</v>
      </c>
      <c r="AI255" s="155">
        <v>400</v>
      </c>
      <c r="AJ255" s="155">
        <v>591</v>
      </c>
      <c r="AK255" s="155">
        <v>-23</v>
      </c>
      <c r="AL255" s="155">
        <v>20</v>
      </c>
      <c r="AM255">
        <f t="shared" si="96"/>
        <v>236400</v>
      </c>
      <c r="AN255">
        <f t="shared" si="97"/>
        <v>-9200</v>
      </c>
      <c r="AO255">
        <f t="shared" si="98"/>
        <v>8000</v>
      </c>
      <c r="AT255" s="155" t="s">
        <v>267</v>
      </c>
      <c r="AU255" s="155">
        <v>400</v>
      </c>
      <c r="AV255" s="155">
        <v>591</v>
      </c>
      <c r="AW255" s="155">
        <v>-23</v>
      </c>
      <c r="AX255" s="155">
        <v>20</v>
      </c>
      <c r="AY255">
        <f t="shared" si="99"/>
        <v>236400</v>
      </c>
      <c r="AZ255">
        <f t="shared" si="100"/>
        <v>-9200</v>
      </c>
      <c r="BA255">
        <f t="shared" si="101"/>
        <v>8000</v>
      </c>
      <c r="BF255" s="155" t="s">
        <v>267</v>
      </c>
      <c r="BG255" s="155">
        <v>400</v>
      </c>
      <c r="BH255" s="155">
        <v>591</v>
      </c>
      <c r="BI255" s="155">
        <v>-23</v>
      </c>
      <c r="BJ255" s="155">
        <v>20</v>
      </c>
      <c r="BK255">
        <f t="shared" si="102"/>
        <v>236400</v>
      </c>
      <c r="BL255">
        <f t="shared" si="103"/>
        <v>-9200</v>
      </c>
      <c r="BM255">
        <f t="shared" si="104"/>
        <v>8000</v>
      </c>
    </row>
    <row r="256" spans="1:65" ht="15" customHeight="1">
      <c r="J256" s="52" t="s">
        <v>270</v>
      </c>
      <c r="K256" s="52">
        <v>2282</v>
      </c>
      <c r="L256" s="52">
        <v>488</v>
      </c>
      <c r="M256" s="52">
        <v>23</v>
      </c>
      <c r="N256" s="52">
        <v>13</v>
      </c>
      <c r="O256">
        <f t="shared" si="105"/>
        <v>1113616</v>
      </c>
      <c r="P256">
        <f t="shared" si="91"/>
        <v>52486</v>
      </c>
      <c r="Q256">
        <f t="shared" si="92"/>
        <v>29666</v>
      </c>
      <c r="V256" s="52" t="s">
        <v>270</v>
      </c>
      <c r="W256" s="52">
        <v>2282</v>
      </c>
      <c r="X256" s="52">
        <v>488</v>
      </c>
      <c r="Y256" s="52">
        <v>23</v>
      </c>
      <c r="Z256" s="52">
        <v>13</v>
      </c>
      <c r="AA256">
        <f t="shared" si="93"/>
        <v>1113616</v>
      </c>
      <c r="AB256">
        <f t="shared" si="94"/>
        <v>52486</v>
      </c>
      <c r="AC256">
        <f t="shared" si="95"/>
        <v>29666</v>
      </c>
      <c r="AH256" s="52" t="s">
        <v>270</v>
      </c>
      <c r="AI256" s="52">
        <v>2282</v>
      </c>
      <c r="AJ256" s="52">
        <v>488</v>
      </c>
      <c r="AK256" s="52">
        <v>23</v>
      </c>
      <c r="AL256" s="52">
        <v>13</v>
      </c>
      <c r="AM256">
        <f t="shared" si="96"/>
        <v>1113616</v>
      </c>
      <c r="AN256">
        <f t="shared" si="97"/>
        <v>52486</v>
      </c>
      <c r="AO256">
        <f t="shared" si="98"/>
        <v>29666</v>
      </c>
      <c r="AT256" s="52" t="s">
        <v>270</v>
      </c>
      <c r="AU256" s="52">
        <v>2282</v>
      </c>
      <c r="AV256" s="52">
        <v>488</v>
      </c>
      <c r="AW256" s="52">
        <v>23</v>
      </c>
      <c r="AX256" s="52">
        <v>20</v>
      </c>
      <c r="AY256">
        <f t="shared" si="99"/>
        <v>1113616</v>
      </c>
      <c r="AZ256">
        <f t="shared" si="100"/>
        <v>52486</v>
      </c>
      <c r="BA256">
        <f t="shared" si="101"/>
        <v>45640</v>
      </c>
      <c r="BF256" s="52" t="s">
        <v>270</v>
      </c>
      <c r="BG256" s="52">
        <v>2282</v>
      </c>
      <c r="BH256" s="52">
        <v>488</v>
      </c>
      <c r="BI256" s="52">
        <v>23</v>
      </c>
      <c r="BJ256" s="52">
        <v>20</v>
      </c>
      <c r="BK256">
        <f t="shared" si="102"/>
        <v>1113616</v>
      </c>
      <c r="BL256">
        <f t="shared" si="103"/>
        <v>52486</v>
      </c>
      <c r="BM256">
        <f t="shared" si="104"/>
        <v>45640</v>
      </c>
    </row>
    <row r="257" spans="10:65" ht="15" customHeight="1">
      <c r="J257" s="52" t="s">
        <v>272</v>
      </c>
      <c r="K257" s="52">
        <v>2282</v>
      </c>
      <c r="L257" s="52">
        <v>488</v>
      </c>
      <c r="M257" s="52">
        <v>-23</v>
      </c>
      <c r="N257" s="52">
        <v>13</v>
      </c>
      <c r="O257">
        <f t="shared" si="105"/>
        <v>1113616</v>
      </c>
      <c r="P257">
        <f t="shared" si="91"/>
        <v>-52486</v>
      </c>
      <c r="Q257">
        <f t="shared" si="92"/>
        <v>29666</v>
      </c>
      <c r="V257" s="52" t="s">
        <v>272</v>
      </c>
      <c r="W257" s="52">
        <v>2282</v>
      </c>
      <c r="X257" s="52">
        <v>488</v>
      </c>
      <c r="Y257" s="52">
        <v>-23</v>
      </c>
      <c r="Z257" s="52">
        <v>13</v>
      </c>
      <c r="AA257">
        <f t="shared" si="93"/>
        <v>1113616</v>
      </c>
      <c r="AB257">
        <f t="shared" si="94"/>
        <v>-52486</v>
      </c>
      <c r="AC257">
        <f t="shared" si="95"/>
        <v>29666</v>
      </c>
      <c r="AH257" s="52" t="s">
        <v>272</v>
      </c>
      <c r="AI257" s="52">
        <v>2282</v>
      </c>
      <c r="AJ257" s="52">
        <v>488</v>
      </c>
      <c r="AK257" s="52">
        <v>-23</v>
      </c>
      <c r="AL257" s="52">
        <v>13</v>
      </c>
      <c r="AM257">
        <f t="shared" si="96"/>
        <v>1113616</v>
      </c>
      <c r="AN257">
        <f t="shared" si="97"/>
        <v>-52486</v>
      </c>
      <c r="AO257">
        <f t="shared" si="98"/>
        <v>29666</v>
      </c>
      <c r="AT257" s="52" t="s">
        <v>272</v>
      </c>
      <c r="AU257" s="52">
        <v>2282</v>
      </c>
      <c r="AV257" s="52">
        <v>488</v>
      </c>
      <c r="AW257" s="52">
        <v>-23</v>
      </c>
      <c r="AX257" s="52">
        <v>20</v>
      </c>
      <c r="AY257">
        <f t="shared" si="99"/>
        <v>1113616</v>
      </c>
      <c r="AZ257">
        <f t="shared" si="100"/>
        <v>-52486</v>
      </c>
      <c r="BA257">
        <f t="shared" si="101"/>
        <v>45640</v>
      </c>
      <c r="BF257" s="52" t="s">
        <v>272</v>
      </c>
      <c r="BG257" s="52">
        <v>2282</v>
      </c>
      <c r="BH257" s="52">
        <v>488</v>
      </c>
      <c r="BI257" s="52">
        <v>-23</v>
      </c>
      <c r="BJ257" s="52">
        <v>20</v>
      </c>
      <c r="BK257">
        <f t="shared" si="102"/>
        <v>1113616</v>
      </c>
      <c r="BL257">
        <f t="shared" si="103"/>
        <v>-52486</v>
      </c>
      <c r="BM257">
        <f t="shared" si="104"/>
        <v>45640</v>
      </c>
    </row>
    <row r="258" spans="10:65" ht="15" customHeight="1">
      <c r="J258" s="157" t="s">
        <v>273</v>
      </c>
      <c r="K258" s="157">
        <v>0</v>
      </c>
      <c r="L258" s="157">
        <v>330</v>
      </c>
      <c r="M258" s="157">
        <v>13</v>
      </c>
      <c r="N258" s="157">
        <v>8</v>
      </c>
      <c r="O258">
        <f t="shared" si="105"/>
        <v>0</v>
      </c>
      <c r="P258">
        <f t="shared" si="91"/>
        <v>0</v>
      </c>
      <c r="Q258">
        <f t="shared" si="92"/>
        <v>0</v>
      </c>
      <c r="V258" s="157" t="s">
        <v>273</v>
      </c>
      <c r="W258" s="157">
        <v>0</v>
      </c>
      <c r="X258" s="157">
        <v>330</v>
      </c>
      <c r="Y258" s="157">
        <v>13</v>
      </c>
      <c r="Z258" s="157">
        <v>8</v>
      </c>
      <c r="AA258">
        <f t="shared" si="93"/>
        <v>0</v>
      </c>
      <c r="AB258">
        <f t="shared" si="94"/>
        <v>0</v>
      </c>
      <c r="AC258">
        <f t="shared" si="95"/>
        <v>0</v>
      </c>
      <c r="AH258" s="157" t="s">
        <v>273</v>
      </c>
      <c r="AI258" s="157">
        <f>B224/2</f>
        <v>2187</v>
      </c>
      <c r="AJ258" s="157">
        <v>330</v>
      </c>
      <c r="AK258" s="157">
        <v>13</v>
      </c>
      <c r="AL258" s="157">
        <v>8</v>
      </c>
      <c r="AM258">
        <f t="shared" si="96"/>
        <v>721710</v>
      </c>
      <c r="AN258">
        <f t="shared" si="97"/>
        <v>28431</v>
      </c>
      <c r="AO258">
        <f t="shared" si="98"/>
        <v>17496</v>
      </c>
      <c r="AT258" s="157" t="s">
        <v>273</v>
      </c>
      <c r="AU258" s="157">
        <f>B224/2</f>
        <v>2187</v>
      </c>
      <c r="AV258" s="157">
        <v>330</v>
      </c>
      <c r="AW258" s="157">
        <v>13</v>
      </c>
      <c r="AX258" s="157">
        <v>13</v>
      </c>
      <c r="AY258">
        <f t="shared" si="99"/>
        <v>721710</v>
      </c>
      <c r="AZ258">
        <f t="shared" si="100"/>
        <v>28431</v>
      </c>
      <c r="BA258">
        <f t="shared" si="101"/>
        <v>28431</v>
      </c>
      <c r="BF258" s="157" t="s">
        <v>273</v>
      </c>
      <c r="BG258" s="157">
        <f>B224/2</f>
        <v>2187</v>
      </c>
      <c r="BH258" s="157">
        <v>330</v>
      </c>
      <c r="BI258" s="157">
        <v>13</v>
      </c>
      <c r="BJ258" s="157">
        <v>13</v>
      </c>
      <c r="BK258">
        <f t="shared" si="102"/>
        <v>721710</v>
      </c>
      <c r="BL258">
        <f t="shared" si="103"/>
        <v>28431</v>
      </c>
      <c r="BM258">
        <f t="shared" si="104"/>
        <v>28431</v>
      </c>
    </row>
    <row r="259" spans="10:65" ht="15" customHeight="1">
      <c r="J259" s="157" t="s">
        <v>275</v>
      </c>
      <c r="K259" s="157">
        <v>0</v>
      </c>
      <c r="L259" s="157">
        <v>330</v>
      </c>
      <c r="M259" s="157">
        <v>-13</v>
      </c>
      <c r="N259" s="157">
        <v>8</v>
      </c>
      <c r="O259">
        <f t="shared" si="105"/>
        <v>0</v>
      </c>
      <c r="P259">
        <f t="shared" si="91"/>
        <v>0</v>
      </c>
      <c r="Q259">
        <f t="shared" si="92"/>
        <v>0</v>
      </c>
      <c r="V259" s="157" t="s">
        <v>275</v>
      </c>
      <c r="W259" s="157">
        <v>0</v>
      </c>
      <c r="X259" s="157">
        <v>330</v>
      </c>
      <c r="Y259" s="157">
        <v>-13</v>
      </c>
      <c r="Z259" s="157">
        <v>8</v>
      </c>
      <c r="AA259">
        <f t="shared" si="93"/>
        <v>0</v>
      </c>
      <c r="AB259">
        <f t="shared" si="94"/>
        <v>0</v>
      </c>
      <c r="AC259">
        <f t="shared" si="95"/>
        <v>0</v>
      </c>
      <c r="AH259" s="157" t="s">
        <v>275</v>
      </c>
      <c r="AI259" s="157">
        <f>B224/2</f>
        <v>2187</v>
      </c>
      <c r="AJ259" s="157">
        <v>330</v>
      </c>
      <c r="AK259" s="157">
        <v>-13</v>
      </c>
      <c r="AL259" s="157">
        <v>8</v>
      </c>
      <c r="AM259">
        <f t="shared" si="96"/>
        <v>721710</v>
      </c>
      <c r="AN259">
        <f t="shared" si="97"/>
        <v>-28431</v>
      </c>
      <c r="AO259">
        <f t="shared" si="98"/>
        <v>17496</v>
      </c>
      <c r="AT259" s="157" t="s">
        <v>275</v>
      </c>
      <c r="AU259" s="157">
        <f>B224/2</f>
        <v>2187</v>
      </c>
      <c r="AV259" s="157">
        <v>330</v>
      </c>
      <c r="AW259" s="157">
        <v>-13</v>
      </c>
      <c r="AX259" s="157">
        <v>13</v>
      </c>
      <c r="AY259">
        <f t="shared" si="99"/>
        <v>721710</v>
      </c>
      <c r="AZ259">
        <f t="shared" si="100"/>
        <v>-28431</v>
      </c>
      <c r="BA259">
        <f t="shared" si="101"/>
        <v>28431</v>
      </c>
      <c r="BF259" s="157" t="s">
        <v>275</v>
      </c>
      <c r="BG259" s="157">
        <f>B224/2</f>
        <v>2187</v>
      </c>
      <c r="BH259" s="157">
        <v>330</v>
      </c>
      <c r="BI259" s="157">
        <v>-13</v>
      </c>
      <c r="BJ259" s="157">
        <v>13</v>
      </c>
      <c r="BK259">
        <f t="shared" si="102"/>
        <v>721710</v>
      </c>
      <c r="BL259">
        <f t="shared" si="103"/>
        <v>-28431</v>
      </c>
      <c r="BM259">
        <f t="shared" si="104"/>
        <v>28431</v>
      </c>
    </row>
    <row r="260" spans="10:65" ht="15" customHeight="1">
      <c r="J260" s="52" t="s">
        <v>277</v>
      </c>
      <c r="K260" s="52">
        <f>2.575*(K256)^0.922 *2</f>
        <v>6429.4563053581278</v>
      </c>
      <c r="L260" s="52">
        <f>L257</f>
        <v>488</v>
      </c>
      <c r="M260" s="52">
        <f>M257</f>
        <v>-23</v>
      </c>
      <c r="N260" s="52">
        <f>N257</f>
        <v>13</v>
      </c>
      <c r="O260">
        <f t="shared" si="105"/>
        <v>3137574.6770147663</v>
      </c>
      <c r="P260">
        <f t="shared" si="91"/>
        <v>-147877.49502323693</v>
      </c>
      <c r="Q260">
        <f t="shared" si="92"/>
        <v>83582.931969655663</v>
      </c>
      <c r="V260" s="52" t="s">
        <v>277</v>
      </c>
      <c r="W260" s="52">
        <f>2.575*(W256)^0.922 *2</f>
        <v>6429.4563053581278</v>
      </c>
      <c r="X260" s="52">
        <f>X257</f>
        <v>488</v>
      </c>
      <c r="Y260" s="52">
        <f>Y257</f>
        <v>-23</v>
      </c>
      <c r="Z260" s="52">
        <f>Z257</f>
        <v>13</v>
      </c>
      <c r="AA260">
        <f t="shared" si="93"/>
        <v>3137574.6770147663</v>
      </c>
      <c r="AB260">
        <f t="shared" si="94"/>
        <v>-147877.49502323693</v>
      </c>
      <c r="AC260">
        <f t="shared" si="95"/>
        <v>83582.931969655663</v>
      </c>
      <c r="AH260" s="52" t="s">
        <v>277</v>
      </c>
      <c r="AI260" s="52">
        <f>2.575*(AI256)^0.922 *2</f>
        <v>6429.4563053581278</v>
      </c>
      <c r="AJ260" s="52">
        <f>AJ257</f>
        <v>488</v>
      </c>
      <c r="AK260" s="52">
        <f>AK257</f>
        <v>-23</v>
      </c>
      <c r="AL260" s="52">
        <f>AL257</f>
        <v>13</v>
      </c>
      <c r="AM260">
        <f t="shared" si="96"/>
        <v>3137574.6770147663</v>
      </c>
      <c r="AN260">
        <f t="shared" si="97"/>
        <v>-147877.49502323693</v>
      </c>
      <c r="AO260">
        <f t="shared" si="98"/>
        <v>83582.931969655663</v>
      </c>
      <c r="AT260" s="52" t="s">
        <v>277</v>
      </c>
      <c r="AU260" s="52">
        <f>2.575*(AU256)^0.922 *2</f>
        <v>6429.4563053581278</v>
      </c>
      <c r="AV260" s="52">
        <f>AV257</f>
        <v>488</v>
      </c>
      <c r="AW260" s="52">
        <f>AW257</f>
        <v>-23</v>
      </c>
      <c r="AX260" s="52">
        <f>AX257</f>
        <v>20</v>
      </c>
      <c r="AY260">
        <f t="shared" si="99"/>
        <v>3137574.6770147663</v>
      </c>
      <c r="AZ260">
        <f t="shared" si="100"/>
        <v>-147877.49502323693</v>
      </c>
      <c r="BA260">
        <f t="shared" si="101"/>
        <v>128589.12610716256</v>
      </c>
      <c r="BF260" s="52" t="s">
        <v>277</v>
      </c>
      <c r="BG260" s="52">
        <f>2.575*(BG256)^0.922 *2</f>
        <v>6429.4563053581278</v>
      </c>
      <c r="BH260" s="52">
        <f>BH257</f>
        <v>488</v>
      </c>
      <c r="BI260" s="52">
        <f>BI257</f>
        <v>-23</v>
      </c>
      <c r="BJ260" s="52">
        <f>BJ257</f>
        <v>20</v>
      </c>
      <c r="BK260">
        <f t="shared" si="102"/>
        <v>3137574.6770147663</v>
      </c>
      <c r="BL260">
        <f t="shared" si="103"/>
        <v>-147877.49502323693</v>
      </c>
      <c r="BM260">
        <f t="shared" si="104"/>
        <v>128589.12610716256</v>
      </c>
    </row>
    <row r="261" spans="10:65" ht="15" customHeight="1">
      <c r="J261" s="157" t="s">
        <v>279</v>
      </c>
      <c r="K261" s="157">
        <v>698.0071511989787</v>
      </c>
      <c r="L261" s="157">
        <f>(L264+L265)/2</f>
        <v>212.5</v>
      </c>
      <c r="M261" s="157">
        <v>0</v>
      </c>
      <c r="N261" s="157">
        <f>N264</f>
        <v>35</v>
      </c>
      <c r="O261">
        <f t="shared" si="105"/>
        <v>148326.51962978297</v>
      </c>
      <c r="P261">
        <f t="shared" si="91"/>
        <v>0</v>
      </c>
      <c r="Q261">
        <f t="shared" si="92"/>
        <v>24430.250291964254</v>
      </c>
      <c r="V261" s="157" t="s">
        <v>279</v>
      </c>
      <c r="W261" s="157">
        <v>698.0071511989787</v>
      </c>
      <c r="X261" s="157">
        <f>(X264+X265)/2</f>
        <v>212.5</v>
      </c>
      <c r="Y261" s="157">
        <v>0</v>
      </c>
      <c r="Z261" s="157">
        <f>Z264</f>
        <v>35</v>
      </c>
      <c r="AA261">
        <f t="shared" si="93"/>
        <v>148326.51962978297</v>
      </c>
      <c r="AB261">
        <f t="shared" si="94"/>
        <v>0</v>
      </c>
      <c r="AC261">
        <f t="shared" si="95"/>
        <v>24430.250291964254</v>
      </c>
      <c r="AH261" s="157" t="s">
        <v>279</v>
      </c>
      <c r="AI261" s="157">
        <v>698.0071511989787</v>
      </c>
      <c r="AJ261" s="157">
        <f>(AJ264+AJ265)/2</f>
        <v>212.5</v>
      </c>
      <c r="AK261" s="157">
        <v>0</v>
      </c>
      <c r="AL261" s="157">
        <f>AL264</f>
        <v>35</v>
      </c>
      <c r="AM261">
        <f t="shared" si="96"/>
        <v>148326.51962978297</v>
      </c>
      <c r="AN261">
        <f t="shared" si="97"/>
        <v>0</v>
      </c>
      <c r="AO261">
        <f t="shared" si="98"/>
        <v>24430.250291964254</v>
      </c>
      <c r="AT261" s="157" t="s">
        <v>279</v>
      </c>
      <c r="AU261" s="157">
        <v>698.0071511989787</v>
      </c>
      <c r="AV261" s="157">
        <f>(AV264+AV265)/2</f>
        <v>212.5</v>
      </c>
      <c r="AW261" s="157">
        <v>0</v>
      </c>
      <c r="AX261" s="157">
        <f>AX264</f>
        <v>35</v>
      </c>
      <c r="AY261">
        <f t="shared" si="99"/>
        <v>148326.51962978297</v>
      </c>
      <c r="AZ261">
        <f t="shared" si="100"/>
        <v>0</v>
      </c>
      <c r="BA261">
        <f t="shared" si="101"/>
        <v>24430.250291964254</v>
      </c>
      <c r="BF261" s="157" t="s">
        <v>279</v>
      </c>
      <c r="BG261" s="157">
        <v>698.0071511989787</v>
      </c>
      <c r="BH261" s="157">
        <f>(BH264+BH265)/2</f>
        <v>212.5</v>
      </c>
      <c r="BI261" s="157">
        <v>0</v>
      </c>
      <c r="BJ261" s="157">
        <f>BJ264</f>
        <v>35</v>
      </c>
      <c r="BK261">
        <f t="shared" si="102"/>
        <v>148326.51962978297</v>
      </c>
      <c r="BL261">
        <f t="shared" si="103"/>
        <v>0</v>
      </c>
      <c r="BM261">
        <f t="shared" si="104"/>
        <v>24430.250291964254</v>
      </c>
    </row>
    <row r="262" spans="10:65" ht="15" customHeight="1">
      <c r="J262" s="156" t="s">
        <v>281</v>
      </c>
      <c r="K262" s="156">
        <v>1892.1051507342017</v>
      </c>
      <c r="L262" s="156">
        <f>L244</f>
        <v>380</v>
      </c>
      <c r="M262" s="156">
        <v>0</v>
      </c>
      <c r="N262" s="156">
        <v>40</v>
      </c>
      <c r="O262">
        <f t="shared" si="105"/>
        <v>718999.95727899671</v>
      </c>
      <c r="P262">
        <f t="shared" si="91"/>
        <v>0</v>
      </c>
      <c r="Q262">
        <f t="shared" si="92"/>
        <v>75684.20602936807</v>
      </c>
      <c r="V262" s="156" t="s">
        <v>281</v>
      </c>
      <c r="W262" s="156">
        <v>1892.1051507342017</v>
      </c>
      <c r="X262" s="156">
        <f>X244</f>
        <v>380</v>
      </c>
      <c r="Y262" s="156">
        <v>0</v>
      </c>
      <c r="Z262" s="156">
        <v>40</v>
      </c>
      <c r="AA262">
        <f t="shared" si="93"/>
        <v>718999.95727899671</v>
      </c>
      <c r="AB262">
        <f t="shared" si="94"/>
        <v>0</v>
      </c>
      <c r="AC262">
        <f t="shared" si="95"/>
        <v>75684.20602936807</v>
      </c>
      <c r="AH262" s="156" t="s">
        <v>281</v>
      </c>
      <c r="AI262" s="156">
        <v>1892.1051507342017</v>
      </c>
      <c r="AJ262" s="156">
        <f>AJ244</f>
        <v>380</v>
      </c>
      <c r="AK262" s="156">
        <v>0</v>
      </c>
      <c r="AL262" s="156">
        <v>40</v>
      </c>
      <c r="AM262">
        <f t="shared" si="96"/>
        <v>718999.95727899671</v>
      </c>
      <c r="AN262">
        <f t="shared" si="97"/>
        <v>0</v>
      </c>
      <c r="AO262">
        <f t="shared" si="98"/>
        <v>75684.20602936807</v>
      </c>
      <c r="AT262" s="156" t="s">
        <v>281</v>
      </c>
      <c r="AU262" s="156">
        <v>1892.1051507342017</v>
      </c>
      <c r="AV262" s="156">
        <f>AV244</f>
        <v>380</v>
      </c>
      <c r="AW262" s="156">
        <v>0</v>
      </c>
      <c r="AX262" s="156">
        <f>AX244</f>
        <v>46</v>
      </c>
      <c r="AY262">
        <f t="shared" si="99"/>
        <v>718999.95727899671</v>
      </c>
      <c r="AZ262">
        <f t="shared" si="100"/>
        <v>0</v>
      </c>
      <c r="BA262">
        <f t="shared" si="101"/>
        <v>87036.836933773273</v>
      </c>
      <c r="BF262" s="156" t="s">
        <v>281</v>
      </c>
      <c r="BG262" s="156">
        <v>1892.1051507342017</v>
      </c>
      <c r="BH262" s="156">
        <f>BH244</f>
        <v>380</v>
      </c>
      <c r="BI262" s="156">
        <v>0</v>
      </c>
      <c r="BJ262" s="156">
        <f>BJ244</f>
        <v>46</v>
      </c>
      <c r="BK262">
        <f t="shared" si="102"/>
        <v>718999.95727899671</v>
      </c>
      <c r="BL262">
        <f t="shared" si="103"/>
        <v>0</v>
      </c>
      <c r="BM262">
        <f t="shared" si="104"/>
        <v>87036.836933773273</v>
      </c>
    </row>
    <row r="263" spans="10:65" ht="15" customHeight="1">
      <c r="J263" s="156" t="s">
        <v>282</v>
      </c>
      <c r="K263" s="156">
        <v>210.23390563713352</v>
      </c>
      <c r="L263" s="156">
        <v>550</v>
      </c>
      <c r="M263" s="156">
        <v>0</v>
      </c>
      <c r="N263" s="156">
        <v>40</v>
      </c>
      <c r="O263">
        <f t="shared" si="105"/>
        <v>115628.64810042344</v>
      </c>
      <c r="P263">
        <f t="shared" si="91"/>
        <v>0</v>
      </c>
      <c r="Q263">
        <f t="shared" si="92"/>
        <v>8409.3562254853405</v>
      </c>
      <c r="V263" s="156" t="s">
        <v>282</v>
      </c>
      <c r="W263" s="156">
        <v>210.23390563713352</v>
      </c>
      <c r="X263" s="156">
        <v>550</v>
      </c>
      <c r="Y263" s="156">
        <v>0</v>
      </c>
      <c r="Z263" s="156">
        <v>40</v>
      </c>
      <c r="AA263">
        <f t="shared" si="93"/>
        <v>115628.64810042344</v>
      </c>
      <c r="AB263">
        <f t="shared" si="94"/>
        <v>0</v>
      </c>
      <c r="AC263">
        <f t="shared" si="95"/>
        <v>8409.3562254853405</v>
      </c>
      <c r="AH263" s="156" t="s">
        <v>282</v>
      </c>
      <c r="AI263" s="156">
        <v>210.23390563713352</v>
      </c>
      <c r="AJ263" s="156">
        <v>550</v>
      </c>
      <c r="AK263" s="156">
        <v>0</v>
      </c>
      <c r="AL263" s="156">
        <v>40</v>
      </c>
      <c r="AM263">
        <f t="shared" si="96"/>
        <v>115628.64810042344</v>
      </c>
      <c r="AN263">
        <f t="shared" si="97"/>
        <v>0</v>
      </c>
      <c r="AO263">
        <f t="shared" si="98"/>
        <v>8409.3562254853405</v>
      </c>
      <c r="AT263" s="156" t="s">
        <v>282</v>
      </c>
      <c r="AU263" s="156">
        <v>210.23390563713352</v>
      </c>
      <c r="AV263" s="156">
        <v>550</v>
      </c>
      <c r="AW263" s="156">
        <v>0</v>
      </c>
      <c r="AX263" s="156">
        <v>40</v>
      </c>
      <c r="AY263">
        <f t="shared" si="99"/>
        <v>115628.64810042344</v>
      </c>
      <c r="AZ263">
        <f t="shared" si="100"/>
        <v>0</v>
      </c>
      <c r="BA263">
        <f t="shared" si="101"/>
        <v>8409.3562254853405</v>
      </c>
      <c r="BF263" s="156" t="s">
        <v>282</v>
      </c>
      <c r="BG263" s="156">
        <v>210.23390563713352</v>
      </c>
      <c r="BH263" s="156">
        <v>550</v>
      </c>
      <c r="BI263" s="156">
        <v>0</v>
      </c>
      <c r="BJ263" s="156">
        <v>40</v>
      </c>
      <c r="BK263">
        <f t="shared" si="102"/>
        <v>115628.64810042344</v>
      </c>
      <c r="BL263">
        <f t="shared" si="103"/>
        <v>0</v>
      </c>
      <c r="BM263">
        <f t="shared" si="104"/>
        <v>8409.3562254853405</v>
      </c>
    </row>
    <row r="264" spans="10:65" ht="15" customHeight="1">
      <c r="J264" s="159" t="s">
        <v>283</v>
      </c>
      <c r="K264" s="159">
        <v>25</v>
      </c>
      <c r="L264" s="159">
        <f t="shared" ref="L264:N265" si="106">L266</f>
        <v>180</v>
      </c>
      <c r="M264" s="159">
        <f t="shared" si="106"/>
        <v>0</v>
      </c>
      <c r="N264" s="159">
        <f t="shared" si="106"/>
        <v>35</v>
      </c>
      <c r="O264">
        <f t="shared" si="105"/>
        <v>4500</v>
      </c>
      <c r="P264">
        <f t="shared" si="91"/>
        <v>0</v>
      </c>
      <c r="Q264">
        <f t="shared" si="92"/>
        <v>875</v>
      </c>
      <c r="V264" s="159" t="s">
        <v>283</v>
      </c>
      <c r="W264" s="159">
        <v>25</v>
      </c>
      <c r="X264" s="159">
        <f t="shared" ref="X264:Z265" si="107">X266</f>
        <v>180</v>
      </c>
      <c r="Y264" s="159">
        <f t="shared" si="107"/>
        <v>0</v>
      </c>
      <c r="Z264" s="159">
        <f t="shared" si="107"/>
        <v>35</v>
      </c>
      <c r="AA264">
        <f t="shared" si="93"/>
        <v>4500</v>
      </c>
      <c r="AB264">
        <f t="shared" si="94"/>
        <v>0</v>
      </c>
      <c r="AC264">
        <f t="shared" si="95"/>
        <v>875</v>
      </c>
      <c r="AH264" s="159" t="s">
        <v>283</v>
      </c>
      <c r="AI264" s="159">
        <v>25</v>
      </c>
      <c r="AJ264" s="159">
        <f t="shared" ref="AJ264:AL265" si="108">AJ266</f>
        <v>180</v>
      </c>
      <c r="AK264" s="159">
        <f t="shared" si="108"/>
        <v>0</v>
      </c>
      <c r="AL264" s="159">
        <f t="shared" si="108"/>
        <v>35</v>
      </c>
      <c r="AM264">
        <f t="shared" si="96"/>
        <v>4500</v>
      </c>
      <c r="AN264">
        <f t="shared" si="97"/>
        <v>0</v>
      </c>
      <c r="AO264">
        <f t="shared" si="98"/>
        <v>875</v>
      </c>
      <c r="AT264" s="159" t="s">
        <v>283</v>
      </c>
      <c r="AU264" s="159">
        <v>25</v>
      </c>
      <c r="AV264" s="159">
        <f t="shared" ref="AV264:AX265" si="109">AV266</f>
        <v>180</v>
      </c>
      <c r="AW264" s="159">
        <f t="shared" si="109"/>
        <v>0</v>
      </c>
      <c r="AX264" s="159">
        <f t="shared" si="109"/>
        <v>35</v>
      </c>
      <c r="AY264">
        <f t="shared" si="99"/>
        <v>4500</v>
      </c>
      <c r="AZ264">
        <f t="shared" si="100"/>
        <v>0</v>
      </c>
      <c r="BA264">
        <f t="shared" si="101"/>
        <v>875</v>
      </c>
      <c r="BF264" s="159" t="s">
        <v>283</v>
      </c>
      <c r="BG264" s="159">
        <v>25</v>
      </c>
      <c r="BH264" s="159">
        <f t="shared" ref="BH264:BJ265" si="110">BH266</f>
        <v>180</v>
      </c>
      <c r="BI264" s="159">
        <f t="shared" si="110"/>
        <v>0</v>
      </c>
      <c r="BJ264" s="159">
        <f t="shared" si="110"/>
        <v>35</v>
      </c>
      <c r="BK264">
        <f t="shared" si="102"/>
        <v>4500</v>
      </c>
      <c r="BL264">
        <f t="shared" si="103"/>
        <v>0</v>
      </c>
      <c r="BM264">
        <f t="shared" si="104"/>
        <v>875</v>
      </c>
    </row>
    <row r="265" spans="10:65" ht="15" customHeight="1">
      <c r="J265" s="159" t="s">
        <v>285</v>
      </c>
      <c r="K265" s="159">
        <v>25</v>
      </c>
      <c r="L265" s="159">
        <f t="shared" si="106"/>
        <v>245</v>
      </c>
      <c r="M265" s="159">
        <f t="shared" si="106"/>
        <v>0</v>
      </c>
      <c r="N265" s="159">
        <f t="shared" si="106"/>
        <v>35</v>
      </c>
      <c r="O265">
        <f t="shared" si="105"/>
        <v>6125</v>
      </c>
      <c r="P265">
        <f t="shared" si="91"/>
        <v>0</v>
      </c>
      <c r="Q265">
        <f t="shared" si="92"/>
        <v>875</v>
      </c>
      <c r="V265" s="159" t="s">
        <v>285</v>
      </c>
      <c r="W265" s="159">
        <v>25</v>
      </c>
      <c r="X265" s="159">
        <f t="shared" si="107"/>
        <v>245</v>
      </c>
      <c r="Y265" s="159">
        <f t="shared" si="107"/>
        <v>0</v>
      </c>
      <c r="Z265" s="159">
        <f t="shared" si="107"/>
        <v>35</v>
      </c>
      <c r="AA265">
        <f t="shared" si="93"/>
        <v>6125</v>
      </c>
      <c r="AB265">
        <f t="shared" si="94"/>
        <v>0</v>
      </c>
      <c r="AC265">
        <f t="shared" si="95"/>
        <v>875</v>
      </c>
      <c r="AH265" s="159" t="s">
        <v>285</v>
      </c>
      <c r="AI265" s="159">
        <v>25</v>
      </c>
      <c r="AJ265" s="159">
        <f t="shared" si="108"/>
        <v>245</v>
      </c>
      <c r="AK265" s="159">
        <f t="shared" si="108"/>
        <v>0</v>
      </c>
      <c r="AL265" s="159">
        <f t="shared" si="108"/>
        <v>35</v>
      </c>
      <c r="AM265">
        <f t="shared" si="96"/>
        <v>6125</v>
      </c>
      <c r="AN265">
        <f t="shared" si="97"/>
        <v>0</v>
      </c>
      <c r="AO265">
        <f t="shared" si="98"/>
        <v>875</v>
      </c>
      <c r="AT265" s="159" t="s">
        <v>285</v>
      </c>
      <c r="AU265" s="159">
        <v>25</v>
      </c>
      <c r="AV265" s="159">
        <f t="shared" si="109"/>
        <v>245</v>
      </c>
      <c r="AW265" s="159">
        <f t="shared" si="109"/>
        <v>0</v>
      </c>
      <c r="AX265" s="159">
        <f t="shared" si="109"/>
        <v>35</v>
      </c>
      <c r="AY265">
        <f t="shared" si="99"/>
        <v>6125</v>
      </c>
      <c r="AZ265">
        <f t="shared" si="100"/>
        <v>0</v>
      </c>
      <c r="BA265">
        <f t="shared" si="101"/>
        <v>875</v>
      </c>
      <c r="BF265" s="159" t="s">
        <v>285</v>
      </c>
      <c r="BG265" s="159">
        <v>25</v>
      </c>
      <c r="BH265" s="159">
        <f t="shared" si="110"/>
        <v>245</v>
      </c>
      <c r="BI265" s="159">
        <f t="shared" si="110"/>
        <v>0</v>
      </c>
      <c r="BJ265" s="159">
        <f t="shared" si="110"/>
        <v>35</v>
      </c>
      <c r="BK265">
        <f t="shared" si="102"/>
        <v>6125</v>
      </c>
      <c r="BL265">
        <f t="shared" si="103"/>
        <v>0</v>
      </c>
      <c r="BM265">
        <f t="shared" si="104"/>
        <v>875</v>
      </c>
    </row>
    <row r="266" spans="10:65" ht="15" customHeight="1">
      <c r="J266" s="159" t="s">
        <v>286</v>
      </c>
      <c r="K266" s="159">
        <v>87.795245931610637</v>
      </c>
      <c r="L266" s="159">
        <v>180</v>
      </c>
      <c r="M266" s="159">
        <v>0</v>
      </c>
      <c r="N266" s="159">
        <v>35</v>
      </c>
      <c r="O266">
        <f t="shared" si="105"/>
        <v>15803.144267689915</v>
      </c>
      <c r="P266">
        <f t="shared" si="91"/>
        <v>0</v>
      </c>
      <c r="Q266">
        <f t="shared" si="92"/>
        <v>3072.8336076063724</v>
      </c>
      <c r="V266" s="159" t="s">
        <v>286</v>
      </c>
      <c r="W266" s="159">
        <v>87.795245931610637</v>
      </c>
      <c r="X266" s="159">
        <v>180</v>
      </c>
      <c r="Y266" s="159">
        <v>0</v>
      </c>
      <c r="Z266" s="159">
        <v>35</v>
      </c>
      <c r="AA266">
        <f t="shared" si="93"/>
        <v>15803.144267689915</v>
      </c>
      <c r="AB266">
        <f t="shared" si="94"/>
        <v>0</v>
      </c>
      <c r="AC266">
        <f t="shared" si="95"/>
        <v>3072.8336076063724</v>
      </c>
      <c r="AH266" s="159" t="s">
        <v>286</v>
      </c>
      <c r="AI266" s="159">
        <v>87.795245931610637</v>
      </c>
      <c r="AJ266" s="159">
        <v>180</v>
      </c>
      <c r="AK266" s="159">
        <v>0</v>
      </c>
      <c r="AL266" s="159">
        <v>35</v>
      </c>
      <c r="AM266">
        <f t="shared" si="96"/>
        <v>15803.144267689915</v>
      </c>
      <c r="AN266">
        <f t="shared" si="97"/>
        <v>0</v>
      </c>
      <c r="AO266">
        <f t="shared" si="98"/>
        <v>3072.8336076063724</v>
      </c>
      <c r="AT266" s="159" t="s">
        <v>286</v>
      </c>
      <c r="AU266" s="159">
        <v>87.795245931610637</v>
      </c>
      <c r="AV266" s="159">
        <v>180</v>
      </c>
      <c r="AW266" s="159">
        <v>0</v>
      </c>
      <c r="AX266" s="159">
        <v>35</v>
      </c>
      <c r="AY266">
        <f t="shared" si="99"/>
        <v>15803.144267689915</v>
      </c>
      <c r="AZ266">
        <f t="shared" si="100"/>
        <v>0</v>
      </c>
      <c r="BA266">
        <f t="shared" si="101"/>
        <v>3072.8336076063724</v>
      </c>
      <c r="BF266" s="159" t="s">
        <v>286</v>
      </c>
      <c r="BG266" s="159">
        <v>87.795245931610637</v>
      </c>
      <c r="BH266" s="159">
        <v>180</v>
      </c>
      <c r="BI266" s="159">
        <v>0</v>
      </c>
      <c r="BJ266" s="159">
        <v>35</v>
      </c>
      <c r="BK266">
        <f t="shared" si="102"/>
        <v>15803.144267689915</v>
      </c>
      <c r="BL266">
        <f t="shared" si="103"/>
        <v>0</v>
      </c>
      <c r="BM266">
        <f t="shared" si="104"/>
        <v>3072.8336076063724</v>
      </c>
    </row>
    <row r="267" spans="10:65" ht="15" customHeight="1">
      <c r="J267" s="159" t="s">
        <v>287</v>
      </c>
      <c r="K267" s="159">
        <v>87.795245931610637</v>
      </c>
      <c r="L267" s="159">
        <v>245</v>
      </c>
      <c r="M267" s="159">
        <v>0</v>
      </c>
      <c r="N267" s="159">
        <v>35</v>
      </c>
      <c r="O267">
        <f t="shared" si="105"/>
        <v>21509.835253244608</v>
      </c>
      <c r="P267">
        <f t="shared" si="91"/>
        <v>0</v>
      </c>
      <c r="Q267">
        <f t="shared" si="92"/>
        <v>3072.8336076063724</v>
      </c>
      <c r="V267" s="159" t="s">
        <v>287</v>
      </c>
      <c r="W267" s="159">
        <v>87.795245931610637</v>
      </c>
      <c r="X267" s="159">
        <v>245</v>
      </c>
      <c r="Y267" s="159">
        <v>0</v>
      </c>
      <c r="Z267" s="159">
        <v>35</v>
      </c>
      <c r="AA267">
        <f t="shared" si="93"/>
        <v>21509.835253244608</v>
      </c>
      <c r="AB267">
        <f t="shared" si="94"/>
        <v>0</v>
      </c>
      <c r="AC267">
        <f t="shared" si="95"/>
        <v>3072.8336076063724</v>
      </c>
      <c r="AH267" s="159" t="s">
        <v>287</v>
      </c>
      <c r="AI267" s="159">
        <v>87.795245931610637</v>
      </c>
      <c r="AJ267" s="159">
        <v>245</v>
      </c>
      <c r="AK267" s="159">
        <v>0</v>
      </c>
      <c r="AL267" s="159">
        <v>35</v>
      </c>
      <c r="AM267">
        <f t="shared" si="96"/>
        <v>21509.835253244608</v>
      </c>
      <c r="AN267">
        <f t="shared" si="97"/>
        <v>0</v>
      </c>
      <c r="AO267">
        <f t="shared" si="98"/>
        <v>3072.8336076063724</v>
      </c>
      <c r="AT267" s="159" t="s">
        <v>287</v>
      </c>
      <c r="AU267" s="159">
        <v>87.795245931610637</v>
      </c>
      <c r="AV267" s="159">
        <v>245</v>
      </c>
      <c r="AW267" s="159">
        <v>0</v>
      </c>
      <c r="AX267" s="159">
        <v>35</v>
      </c>
      <c r="AY267">
        <f t="shared" si="99"/>
        <v>21509.835253244608</v>
      </c>
      <c r="AZ267">
        <f t="shared" si="100"/>
        <v>0</v>
      </c>
      <c r="BA267">
        <f t="shared" si="101"/>
        <v>3072.8336076063724</v>
      </c>
      <c r="BF267" s="159" t="s">
        <v>287</v>
      </c>
      <c r="BG267" s="159">
        <v>87.795245931610637</v>
      </c>
      <c r="BH267" s="159">
        <v>245</v>
      </c>
      <c r="BI267" s="159">
        <v>0</v>
      </c>
      <c r="BJ267" s="159">
        <v>35</v>
      </c>
      <c r="BK267">
        <f t="shared" si="102"/>
        <v>21509.835253244608</v>
      </c>
      <c r="BL267">
        <f t="shared" si="103"/>
        <v>0</v>
      </c>
      <c r="BM267">
        <f t="shared" si="104"/>
        <v>3072.8336076063724</v>
      </c>
    </row>
    <row r="268" spans="10:65" ht="15" customHeight="1">
      <c r="J268" s="156" t="s">
        <v>288</v>
      </c>
      <c r="K268" s="156">
        <v>222.07816240288378</v>
      </c>
      <c r="L268" s="156">
        <v>300</v>
      </c>
      <c r="M268" s="156">
        <v>0</v>
      </c>
      <c r="N268" s="156">
        <v>40</v>
      </c>
      <c r="O268">
        <f t="shared" si="105"/>
        <v>66623.448720865126</v>
      </c>
      <c r="P268">
        <f t="shared" si="91"/>
        <v>0</v>
      </c>
      <c r="Q268">
        <f t="shared" si="92"/>
        <v>8883.1264961153502</v>
      </c>
      <c r="V268" s="156" t="s">
        <v>288</v>
      </c>
      <c r="W268" s="156">
        <v>222.07816240288378</v>
      </c>
      <c r="X268" s="156">
        <v>300</v>
      </c>
      <c r="Y268" s="156">
        <v>0</v>
      </c>
      <c r="Z268" s="156">
        <v>40</v>
      </c>
      <c r="AA268">
        <f t="shared" si="93"/>
        <v>66623.448720865126</v>
      </c>
      <c r="AB268">
        <f t="shared" si="94"/>
        <v>0</v>
      </c>
      <c r="AC268">
        <f t="shared" si="95"/>
        <v>8883.1264961153502</v>
      </c>
      <c r="AH268" s="156" t="s">
        <v>288</v>
      </c>
      <c r="AI268" s="156">
        <v>222.07816240288378</v>
      </c>
      <c r="AJ268" s="156">
        <v>300</v>
      </c>
      <c r="AK268" s="156">
        <v>0</v>
      </c>
      <c r="AL268" s="156">
        <v>40</v>
      </c>
      <c r="AM268">
        <f t="shared" si="96"/>
        <v>66623.448720865126</v>
      </c>
      <c r="AN268">
        <f t="shared" si="97"/>
        <v>0</v>
      </c>
      <c r="AO268">
        <f t="shared" si="98"/>
        <v>8883.1264961153502</v>
      </c>
      <c r="AT268" s="156" t="s">
        <v>288</v>
      </c>
      <c r="AU268" s="156">
        <v>222.07816240288378</v>
      </c>
      <c r="AV268" s="156">
        <v>300</v>
      </c>
      <c r="AW268" s="156">
        <v>0</v>
      </c>
      <c r="AX268" s="156">
        <v>0</v>
      </c>
      <c r="AY268">
        <f t="shared" si="99"/>
        <v>66623.448720865126</v>
      </c>
      <c r="AZ268">
        <f t="shared" si="100"/>
        <v>0</v>
      </c>
      <c r="BA268">
        <f t="shared" si="101"/>
        <v>0</v>
      </c>
      <c r="BF268" s="156" t="s">
        <v>288</v>
      </c>
      <c r="BG268" s="156">
        <v>222.07816240288378</v>
      </c>
      <c r="BH268" s="156">
        <v>300</v>
      </c>
      <c r="BI268" s="156">
        <v>0</v>
      </c>
      <c r="BJ268" s="156">
        <v>0</v>
      </c>
      <c r="BK268">
        <f t="shared" si="102"/>
        <v>66623.448720865126</v>
      </c>
      <c r="BL268">
        <f t="shared" si="103"/>
        <v>0</v>
      </c>
      <c r="BM268">
        <f t="shared" si="104"/>
        <v>0</v>
      </c>
    </row>
    <row r="269" spans="10:65" ht="15" customHeight="1">
      <c r="J269" s="156" t="s">
        <v>289</v>
      </c>
      <c r="K269" s="156">
        <v>1159.8623436128278</v>
      </c>
      <c r="L269" s="156">
        <v>360</v>
      </c>
      <c r="M269" s="156">
        <v>0</v>
      </c>
      <c r="N269" s="156">
        <v>40</v>
      </c>
      <c r="O269">
        <f t="shared" si="105"/>
        <v>417550.44370061799</v>
      </c>
      <c r="P269">
        <f t="shared" si="91"/>
        <v>0</v>
      </c>
      <c r="Q269">
        <f t="shared" si="92"/>
        <v>46394.493744513107</v>
      </c>
      <c r="V269" s="156" t="s">
        <v>289</v>
      </c>
      <c r="W269" s="156">
        <v>1159.8623436128278</v>
      </c>
      <c r="X269" s="156">
        <v>360</v>
      </c>
      <c r="Y269" s="156">
        <v>0</v>
      </c>
      <c r="Z269" s="156">
        <v>40</v>
      </c>
      <c r="AA269">
        <f>W269*X269</f>
        <v>417550.44370061799</v>
      </c>
      <c r="AB269">
        <f t="shared" si="94"/>
        <v>0</v>
      </c>
      <c r="AC269">
        <f t="shared" si="95"/>
        <v>46394.493744513107</v>
      </c>
      <c r="AH269" s="156" t="s">
        <v>289</v>
      </c>
      <c r="AI269" s="156">
        <v>1159.8623436128278</v>
      </c>
      <c r="AJ269" s="156">
        <v>360</v>
      </c>
      <c r="AK269" s="156">
        <v>0</v>
      </c>
      <c r="AL269" s="156">
        <v>40</v>
      </c>
      <c r="AM269">
        <f>AI269*AJ269</f>
        <v>417550.44370061799</v>
      </c>
      <c r="AN269">
        <f t="shared" si="97"/>
        <v>0</v>
      </c>
      <c r="AO269">
        <f t="shared" si="98"/>
        <v>46394.493744513107</v>
      </c>
      <c r="AT269" s="156" t="s">
        <v>289</v>
      </c>
      <c r="AU269" s="156">
        <v>1159.8623436128278</v>
      </c>
      <c r="AV269" s="156">
        <v>360</v>
      </c>
      <c r="AW269" s="156">
        <v>0</v>
      </c>
      <c r="AX269" s="156">
        <v>0</v>
      </c>
      <c r="AY269">
        <f>AU269*AV269</f>
        <v>417550.44370061799</v>
      </c>
      <c r="AZ269">
        <f t="shared" si="100"/>
        <v>0</v>
      </c>
      <c r="BA269">
        <f t="shared" si="101"/>
        <v>0</v>
      </c>
      <c r="BF269" s="156" t="s">
        <v>289</v>
      </c>
      <c r="BG269" s="156">
        <v>1159.8623436128278</v>
      </c>
      <c r="BH269" s="156">
        <v>360</v>
      </c>
      <c r="BI269" s="156">
        <v>0</v>
      </c>
      <c r="BJ269" s="156">
        <v>0</v>
      </c>
      <c r="BK269">
        <f>BG269*BH269</f>
        <v>417550.44370061799</v>
      </c>
      <c r="BL269">
        <f t="shared" si="103"/>
        <v>0</v>
      </c>
      <c r="BM269">
        <f t="shared" si="104"/>
        <v>0</v>
      </c>
    </row>
    <row r="270" spans="10:65" ht="15" customHeight="1">
      <c r="J270" s="156" t="s">
        <v>290</v>
      </c>
      <c r="K270" s="156">
        <v>175.59049186322127</v>
      </c>
      <c r="L270" s="156">
        <v>210</v>
      </c>
      <c r="M270" s="156">
        <v>0</v>
      </c>
      <c r="N270" s="156">
        <v>40</v>
      </c>
      <c r="O270">
        <f t="shared" si="105"/>
        <v>36874.003291276465</v>
      </c>
      <c r="P270">
        <f t="shared" si="91"/>
        <v>0</v>
      </c>
      <c r="Q270">
        <f t="shared" si="92"/>
        <v>7023.6196745288507</v>
      </c>
      <c r="V270" s="156" t="s">
        <v>290</v>
      </c>
      <c r="W270" s="156">
        <v>175.59049186322127</v>
      </c>
      <c r="X270" s="156">
        <v>210</v>
      </c>
      <c r="Y270" s="156">
        <v>0</v>
      </c>
      <c r="Z270" s="156">
        <v>40</v>
      </c>
      <c r="AA270">
        <f t="shared" si="93"/>
        <v>36874.003291276465</v>
      </c>
      <c r="AB270">
        <f t="shared" si="94"/>
        <v>0</v>
      </c>
      <c r="AC270">
        <f t="shared" si="95"/>
        <v>7023.6196745288507</v>
      </c>
      <c r="AH270" s="156" t="s">
        <v>290</v>
      </c>
      <c r="AI270" s="156">
        <v>175.59049186322127</v>
      </c>
      <c r="AJ270" s="156">
        <v>210</v>
      </c>
      <c r="AK270" s="156">
        <v>0</v>
      </c>
      <c r="AL270" s="156">
        <v>40</v>
      </c>
      <c r="AM270">
        <f t="shared" ref="AM270" si="111">AI270*AJ270</f>
        <v>36874.003291276465</v>
      </c>
      <c r="AN270">
        <f t="shared" si="97"/>
        <v>0</v>
      </c>
      <c r="AO270">
        <f t="shared" si="98"/>
        <v>7023.6196745288507</v>
      </c>
      <c r="AT270" s="156" t="s">
        <v>290</v>
      </c>
      <c r="AU270" s="156">
        <v>175.59049186322127</v>
      </c>
      <c r="AV270" s="156">
        <v>210</v>
      </c>
      <c r="AW270" s="156">
        <v>0</v>
      </c>
      <c r="AX270" s="156">
        <v>45</v>
      </c>
      <c r="AY270">
        <f t="shared" ref="AY270" si="112">AU270*AV270</f>
        <v>36874.003291276465</v>
      </c>
      <c r="AZ270">
        <f t="shared" si="100"/>
        <v>0</v>
      </c>
      <c r="BA270">
        <f t="shared" si="101"/>
        <v>7901.5721338449575</v>
      </c>
      <c r="BF270" s="156" t="s">
        <v>290</v>
      </c>
      <c r="BG270" s="156">
        <v>175.59049186322127</v>
      </c>
      <c r="BH270" s="156">
        <v>210</v>
      </c>
      <c r="BI270" s="156">
        <v>0</v>
      </c>
      <c r="BJ270" s="156">
        <v>45</v>
      </c>
      <c r="BK270">
        <f t="shared" ref="BK270" si="113">BG270*BH270</f>
        <v>36874.003291276465</v>
      </c>
      <c r="BL270">
        <f t="shared" si="103"/>
        <v>0</v>
      </c>
      <c r="BM270">
        <f t="shared" si="104"/>
        <v>7901.5721338449575</v>
      </c>
    </row>
    <row r="272" spans="10:65" ht="15" customHeight="1">
      <c r="J272" t="s">
        <v>280</v>
      </c>
      <c r="K272" s="160">
        <f>SUM(K243:K259)+SUM(K261:K270)</f>
        <v>38193.467697312466</v>
      </c>
      <c r="M272" t="s">
        <v>293</v>
      </c>
      <c r="O272">
        <f>SUM(O243:O259)+SUM(O261:O270)</f>
        <v>14520153.000242896</v>
      </c>
      <c r="P272">
        <f>SUM(P243:P259)</f>
        <v>0</v>
      </c>
      <c r="Q272">
        <f>SUM(Q243:Q259)+SUM(Q261:Q270)</f>
        <v>1315500.7196771877</v>
      </c>
      <c r="V272" t="s">
        <v>280</v>
      </c>
      <c r="W272" s="160">
        <f>SUM(W243:W259)+SUM(W261:W270)</f>
        <v>30883.067697312465</v>
      </c>
      <c r="Y272" t="s">
        <v>293</v>
      </c>
      <c r="AA272">
        <f>SUM(AA243:AA259)+SUM(AA261:AA270)</f>
        <v>11742201.000242896</v>
      </c>
      <c r="AB272">
        <f>SUM(AB243:AB259)</f>
        <v>0</v>
      </c>
      <c r="AC272">
        <f>SUM(AC243:AC259)+SUM(AC261:AC270)</f>
        <v>1001153.5196771878</v>
      </c>
      <c r="AH272" t="s">
        <v>280</v>
      </c>
      <c r="AI272" s="160">
        <f>SUM(AI243:AI259)+SUM(AI261:AI270)</f>
        <v>35257.067697312465</v>
      </c>
      <c r="AK272" t="s">
        <v>293</v>
      </c>
      <c r="AM272">
        <f>SUM(AM243:AM259)+SUM(AM261:AM270)</f>
        <v>13185621.000242896</v>
      </c>
      <c r="AN272">
        <f>SUM(AN243:AN259)</f>
        <v>0</v>
      </c>
      <c r="AO272">
        <f>SUM(AO243:AO259)+SUM(AO261:AO270)</f>
        <v>1036145.5196771878</v>
      </c>
      <c r="AT272" t="s">
        <v>280</v>
      </c>
      <c r="AU272" s="160">
        <f>SUM(AU243:AU259)+SUM(AU261:AU270)</f>
        <v>42567.467697312466</v>
      </c>
      <c r="AW272" t="s">
        <v>293</v>
      </c>
      <c r="AY272">
        <f>SUM(AY243:AY259)+SUM(AY261:AY270)</f>
        <v>15963573.000242896</v>
      </c>
      <c r="AZ272">
        <f>SUM(AZ243:AZ259)</f>
        <v>0</v>
      </c>
      <c r="BA272">
        <f>SUM(BA243:BA259)+SUM(BA261:BA270)</f>
        <v>1404391.6828002806</v>
      </c>
      <c r="BF272" t="s">
        <v>280</v>
      </c>
      <c r="BG272" s="160">
        <f>SUM(BG243:BG259)+SUM(BG261:BG270)</f>
        <v>28860.467697312466</v>
      </c>
      <c r="BI272" t="s">
        <v>293</v>
      </c>
      <c r="BK272">
        <f>SUM(BK243:BK259)+SUM(BK261:BK270)</f>
        <v>10754913.000242896</v>
      </c>
      <c r="BL272">
        <f>SUM(BL243:BL259)</f>
        <v>0</v>
      </c>
      <c r="BM272">
        <f>SUM(BM243:BM259)+SUM(BM261:BM270)</f>
        <v>773869.68280028063</v>
      </c>
    </row>
    <row r="273" spans="10:61" ht="15" customHeight="1">
      <c r="J273" t="s">
        <v>297</v>
      </c>
      <c r="K273" s="160">
        <f>VALUE(O272)/VALUE(K272)</f>
        <v>380.17372801330174</v>
      </c>
      <c r="M273">
        <f>Q272/K272</f>
        <v>34.443081474106492</v>
      </c>
      <c r="V273" t="s">
        <v>297</v>
      </c>
      <c r="W273" s="160">
        <f>VALUE(AA272)/VALUE(W272)</f>
        <v>380.21485155973471</v>
      </c>
      <c r="Y273">
        <f>AC272/W272</f>
        <v>32.417554159113251</v>
      </c>
      <c r="AH273" t="s">
        <v>297</v>
      </c>
      <c r="AI273" s="160">
        <f>VALUE(AM272)/VALUE(AI272)</f>
        <v>373.98518542277964</v>
      </c>
      <c r="AK273">
        <f>AO272/AI272</f>
        <v>29.388306723992532</v>
      </c>
      <c r="AT273" t="s">
        <v>297</v>
      </c>
      <c r="AU273" s="160">
        <f>VALUE(AY272)/VALUE(AU272)</f>
        <v>375.01815033387032</v>
      </c>
      <c r="AW273">
        <f>BA272/AU272</f>
        <v>32.992135984846193</v>
      </c>
      <c r="BF273" t="s">
        <v>297</v>
      </c>
      <c r="BG273" s="160">
        <f>VALUE(BK272)/VALUE(BG272)</f>
        <v>372.65206901842453</v>
      </c>
      <c r="BI273">
        <f>BM272/BG272</f>
        <v>26.814176780383384</v>
      </c>
    </row>
    <row r="274" spans="10:61" ht="15" customHeight="1">
      <c r="J274" t="s">
        <v>148</v>
      </c>
      <c r="K274" s="51">
        <f>(K273-WingLayout!F14)/WingLayout!F11*100</f>
        <v>17.010015747205699</v>
      </c>
      <c r="V274" t="s">
        <v>148</v>
      </c>
      <c r="W274" s="51">
        <f>(W273-WingLayout!F14)/WingLayout!F11*100</f>
        <v>17.042555283594716</v>
      </c>
      <c r="AH274" t="s">
        <v>148</v>
      </c>
      <c r="AI274" s="51">
        <f>(AI273-WingLayout!F14)/WingLayout!F11*100</f>
        <v>12.113251623336032</v>
      </c>
      <c r="AT274" t="s">
        <v>148</v>
      </c>
      <c r="AU274" s="51">
        <f>(AU273-WingLayout!F14)/WingLayout!F11*100</f>
        <v>12.930598428962259</v>
      </c>
      <c r="BF274" t="s">
        <v>148</v>
      </c>
      <c r="BG274" s="51">
        <f>(BG273-WingLayout!F14)/WingLayout!F11*100</f>
        <v>11.058406078314503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DE2A-5D96-40AF-846D-FF9E78CEB7B6}">
  <dimension ref="A1:AX101"/>
  <sheetViews>
    <sheetView workbookViewId="0">
      <selection activeCell="U62" sqref="U62"/>
    </sheetView>
  </sheetViews>
  <sheetFormatPr defaultRowHeight="14.5"/>
  <cols>
    <col min="2" max="2" width="11.1796875" customWidth="1"/>
    <col min="4" max="4" width="15.26953125" customWidth="1"/>
    <col min="5" max="5" width="23.1796875" customWidth="1"/>
    <col min="8" max="8" width="11.81640625" customWidth="1"/>
    <col min="9" max="9" width="13.81640625" customWidth="1"/>
    <col min="10" max="10" width="11.81640625" customWidth="1"/>
    <col min="11" max="11" width="11.453125" customWidth="1"/>
    <col min="13" max="13" width="11.1796875" customWidth="1"/>
    <col min="14" max="14" width="15.54296875" customWidth="1"/>
    <col min="15" max="15" width="15.7265625" customWidth="1"/>
    <col min="18" max="18" width="12.453125" customWidth="1"/>
    <col min="27" max="27" width="16" bestFit="1" customWidth="1"/>
    <col min="32" max="32" width="15.7265625" customWidth="1"/>
  </cols>
  <sheetData>
    <row r="1" spans="1:50" ht="21">
      <c r="A1" s="55"/>
      <c r="B1" s="2">
        <v>4.0999999999999996</v>
      </c>
      <c r="I1" s="1"/>
      <c r="K1" s="2">
        <v>4.2</v>
      </c>
      <c r="Z1" s="13"/>
      <c r="AK1" s="14"/>
      <c r="AQ1" s="13"/>
      <c r="AX1" s="13"/>
    </row>
    <row r="2" spans="1:50">
      <c r="A2" s="10"/>
      <c r="B2" s="1" t="s">
        <v>304</v>
      </c>
      <c r="F2" t="s">
        <v>140</v>
      </c>
      <c r="M2" s="13"/>
      <c r="N2" t="s">
        <v>140</v>
      </c>
      <c r="O2" t="s">
        <v>305</v>
      </c>
      <c r="P2" t="s">
        <v>306</v>
      </c>
      <c r="Q2" t="s">
        <v>307</v>
      </c>
      <c r="R2" t="s">
        <v>308</v>
      </c>
      <c r="S2" s="13"/>
      <c r="T2" t="s">
        <v>309</v>
      </c>
      <c r="U2" t="s">
        <v>310</v>
      </c>
      <c r="V2" t="s">
        <v>311</v>
      </c>
      <c r="W2" t="s">
        <v>312</v>
      </c>
      <c r="Z2" s="13"/>
      <c r="AA2" s="1" t="s">
        <v>313</v>
      </c>
      <c r="AC2" s="1" t="s">
        <v>314</v>
      </c>
      <c r="AF2" s="84"/>
      <c r="AK2" s="14"/>
      <c r="AL2" s="1" t="s">
        <v>315</v>
      </c>
      <c r="AQ2" s="13"/>
      <c r="AR2" s="1" t="s">
        <v>316</v>
      </c>
      <c r="AX2" s="13"/>
    </row>
    <row r="3" spans="1:50">
      <c r="A3" s="10"/>
      <c r="B3" s="42" t="s">
        <v>141</v>
      </c>
      <c r="C3" s="47"/>
      <c r="D3" s="47"/>
      <c r="E3" s="56"/>
      <c r="F3" s="102">
        <f>F4+F5+F6</f>
        <v>26236.178509525438</v>
      </c>
      <c r="K3" s="15" t="s">
        <v>317</v>
      </c>
      <c r="M3" s="13"/>
      <c r="N3" s="17">
        <f>K50</f>
        <v>2464.3685356487563</v>
      </c>
      <c r="O3" s="17">
        <f>AI6</f>
        <v>420</v>
      </c>
      <c r="P3" s="18">
        <f>AO6</f>
        <v>120</v>
      </c>
      <c r="Q3" s="19">
        <v>0</v>
      </c>
      <c r="R3" s="17">
        <f>AV6</f>
        <v>95.974032248036053</v>
      </c>
      <c r="S3" s="13"/>
      <c r="T3" s="17">
        <f>O3*N3</f>
        <v>1035034.7849724776</v>
      </c>
      <c r="U3" s="20">
        <f>P3*N3</f>
        <v>295724.22427785076</v>
      </c>
      <c r="V3" s="17">
        <f>Q3*N3</f>
        <v>0</v>
      </c>
      <c r="W3" s="21">
        <f>R3*N3</f>
        <v>236515.38531139912</v>
      </c>
      <c r="Z3" s="13"/>
      <c r="AC3" s="5" t="s">
        <v>318</v>
      </c>
      <c r="AE3" s="1"/>
      <c r="AK3" s="14"/>
      <c r="AQ3" s="13"/>
      <c r="AX3" s="13"/>
    </row>
    <row r="4" spans="1:50">
      <c r="A4" s="10"/>
      <c r="C4" s="49" t="s">
        <v>150</v>
      </c>
      <c r="D4" s="57"/>
      <c r="E4" s="58"/>
      <c r="F4" s="102">
        <f>[1]Estimator!E7</f>
        <v>25876.178509525438</v>
      </c>
      <c r="K4" s="15" t="s">
        <v>319</v>
      </c>
      <c r="M4" s="13"/>
      <c r="N4" s="16">
        <v>800</v>
      </c>
      <c r="O4" s="22">
        <f>AI15</f>
        <v>593.19684338060699</v>
      </c>
      <c r="P4" s="20">
        <f>AO15</f>
        <v>33.255813953488364</v>
      </c>
      <c r="Q4" s="17">
        <v>0</v>
      </c>
      <c r="R4" s="21">
        <f>AV15</f>
        <v>90.525377003672759</v>
      </c>
      <c r="S4" s="13"/>
      <c r="T4" s="17">
        <f>O4*N4</f>
        <v>474557.47470448562</v>
      </c>
      <c r="U4" s="20">
        <f>P4*N4</f>
        <v>26604.651162790691</v>
      </c>
      <c r="V4" s="17">
        <f t="shared" ref="V4:V10" si="0">Q4*N4</f>
        <v>0</v>
      </c>
      <c r="W4" s="21">
        <f>R4*N4</f>
        <v>72420.301602938212</v>
      </c>
      <c r="Z4" s="13"/>
      <c r="AA4" s="5"/>
      <c r="AC4" s="5" t="s">
        <v>320</v>
      </c>
      <c r="AK4" s="14"/>
      <c r="AQ4" s="13"/>
      <c r="AX4" s="13"/>
    </row>
    <row r="5" spans="1:50">
      <c r="A5" s="10"/>
      <c r="C5" s="49" t="s">
        <v>158</v>
      </c>
      <c r="D5" s="57"/>
      <c r="E5" s="58"/>
      <c r="F5" s="181">
        <v>120</v>
      </c>
      <c r="K5" s="15" t="s">
        <v>321</v>
      </c>
      <c r="M5" s="13"/>
      <c r="N5" s="23">
        <v>700</v>
      </c>
      <c r="O5" s="17">
        <f>AI24</f>
        <v>617.15829205504065</v>
      </c>
      <c r="P5" s="24">
        <f>AO24</f>
        <v>28.575757575757578</v>
      </c>
      <c r="Q5" s="17">
        <v>0</v>
      </c>
      <c r="R5" s="25">
        <f>AV24</f>
        <v>123.57575757575758</v>
      </c>
      <c r="S5" s="13"/>
      <c r="T5" s="17">
        <f>O5*N5</f>
        <v>432010.80443852843</v>
      </c>
      <c r="U5" s="20">
        <f>P5*N5</f>
        <v>20003.030303030304</v>
      </c>
      <c r="V5" s="17">
        <f t="shared" si="0"/>
        <v>0</v>
      </c>
      <c r="W5" s="21">
        <f>R5*N5</f>
        <v>86503.030303030304</v>
      </c>
      <c r="Z5" s="13"/>
      <c r="AA5" s="78" t="s">
        <v>322</v>
      </c>
      <c r="AB5" s="47"/>
      <c r="AC5" s="43"/>
      <c r="AE5" s="1" t="s">
        <v>323</v>
      </c>
      <c r="AF5" s="1" t="s">
        <v>324</v>
      </c>
      <c r="AG5" s="1" t="s">
        <v>325</v>
      </c>
      <c r="AH5" s="1" t="s">
        <v>326</v>
      </c>
      <c r="AI5" s="1" t="s">
        <v>327</v>
      </c>
      <c r="AK5" s="14"/>
      <c r="AL5" s="5" t="s">
        <v>328</v>
      </c>
      <c r="AO5" s="1" t="s">
        <v>329</v>
      </c>
      <c r="AQ5" s="13"/>
      <c r="AR5" s="5" t="s">
        <v>328</v>
      </c>
      <c r="AV5" s="1" t="s">
        <v>330</v>
      </c>
      <c r="AX5" s="13"/>
    </row>
    <row r="6" spans="1:50">
      <c r="A6" s="10"/>
      <c r="C6" s="49" t="s">
        <v>161</v>
      </c>
      <c r="D6" s="57"/>
      <c r="E6" s="58"/>
      <c r="F6" s="30">
        <v>240</v>
      </c>
      <c r="K6" s="26" t="s">
        <v>168</v>
      </c>
      <c r="M6" s="13"/>
      <c r="N6" s="31">
        <f>E50</f>
        <v>4881.7404151829651</v>
      </c>
      <c r="O6" s="64">
        <f>AE33</f>
        <v>254.99</v>
      </c>
      <c r="P6" s="29"/>
      <c r="Q6" s="17">
        <v>0</v>
      </c>
      <c r="R6" s="30"/>
      <c r="S6" s="13"/>
      <c r="T6" s="17">
        <f t="shared" ref="T6:T10" si="1">O6*N6</f>
        <v>1244794.9884675043</v>
      </c>
      <c r="U6" s="31"/>
      <c r="V6" s="17">
        <f t="shared" si="0"/>
        <v>0</v>
      </c>
      <c r="W6" s="21"/>
      <c r="Z6" s="13"/>
      <c r="AA6" s="62" t="s">
        <v>331</v>
      </c>
      <c r="AC6" s="86">
        <f>WingLayout!C7</f>
        <v>45</v>
      </c>
      <c r="AE6" s="34">
        <f>WingLayout!C8</f>
        <v>0.5</v>
      </c>
      <c r="AF6" s="34">
        <f>(2/3) * AC7 * (( 1 + AE6 + AE6^2) / (1 + AE6))</f>
        <v>10.531687242798355</v>
      </c>
      <c r="AG6" s="34">
        <f xml:space="preserve"> (AC6/6) * ((1 + 2*AE6) / (1 + AE6))</f>
        <v>10</v>
      </c>
      <c r="AH6" s="34">
        <f xml:space="preserve"> AC11 + (AG6 * TAN(RADIANS(AC9)) * 12)</f>
        <v>358.67642811194429</v>
      </c>
      <c r="AI6" s="34">
        <f>AH6 + (AC10*AF6*12)</f>
        <v>420</v>
      </c>
      <c r="AK6" s="14"/>
      <c r="AL6" s="26" t="s">
        <v>325</v>
      </c>
      <c r="AM6" s="35">
        <f>AG6</f>
        <v>10</v>
      </c>
      <c r="AO6" s="34">
        <f>(AM7*(1+2*AE6))/(3*(1+AE6))*12</f>
        <v>120</v>
      </c>
      <c r="AQ6" s="13"/>
      <c r="AR6" s="32" t="s">
        <v>331</v>
      </c>
      <c r="AS6" s="33"/>
      <c r="AT6" s="34">
        <f>AC6</f>
        <v>45</v>
      </c>
      <c r="AV6" s="34">
        <f>AT11 + (AG6*TAN(RADIANS(AT7))) * 12 + AT9 * AT8 * AF6 * 12</f>
        <v>95.974032248036053</v>
      </c>
      <c r="AX6" s="13"/>
    </row>
    <row r="7" spans="1:50">
      <c r="A7" s="10"/>
      <c r="B7" s="32" t="s">
        <v>163</v>
      </c>
      <c r="E7" s="58"/>
      <c r="F7" s="102">
        <f>[1]Estimator!E8</f>
        <v>18276.178509525438</v>
      </c>
      <c r="K7" s="32" t="s">
        <v>332</v>
      </c>
      <c r="L7" s="36"/>
      <c r="M7" s="13"/>
      <c r="N7" s="27">
        <v>6000</v>
      </c>
      <c r="O7" s="70">
        <f>AE33</f>
        <v>254.99</v>
      </c>
      <c r="P7" s="29"/>
      <c r="Q7" s="17">
        <v>0</v>
      </c>
      <c r="R7" s="30"/>
      <c r="S7" s="13"/>
      <c r="T7" s="17">
        <f t="shared" si="1"/>
        <v>1529940</v>
      </c>
      <c r="U7" s="31"/>
      <c r="V7" s="17">
        <f t="shared" si="0"/>
        <v>0</v>
      </c>
      <c r="W7" s="21"/>
      <c r="Z7" s="13"/>
      <c r="AA7" s="32" t="s">
        <v>333</v>
      </c>
      <c r="AB7" s="33"/>
      <c r="AC7" s="34">
        <f>WingLayout!F8</f>
        <v>13.540740740740741</v>
      </c>
      <c r="AD7">
        <v>11.5</v>
      </c>
      <c r="AK7" s="14"/>
      <c r="AL7" s="15" t="s">
        <v>334</v>
      </c>
      <c r="AM7" s="34">
        <f>AC6/2</f>
        <v>22.5</v>
      </c>
      <c r="AQ7" s="13"/>
      <c r="AR7" s="32" t="s">
        <v>335</v>
      </c>
      <c r="AS7" s="33"/>
      <c r="AT7" s="16">
        <v>4</v>
      </c>
      <c r="AX7" s="13"/>
    </row>
    <row r="8" spans="1:50">
      <c r="A8" s="10"/>
      <c r="B8" s="32" t="s">
        <v>167</v>
      </c>
      <c r="C8" s="33"/>
      <c r="D8" s="33"/>
      <c r="E8" s="58"/>
      <c r="F8" s="102">
        <f>F3+(F7*0.6)</f>
        <v>37201.885615240702</v>
      </c>
      <c r="K8" s="32" t="s">
        <v>336</v>
      </c>
      <c r="L8" s="36"/>
      <c r="M8" s="13"/>
      <c r="N8" s="37">
        <f>F12*0.18</f>
        <v>405.1000918543121</v>
      </c>
      <c r="O8" s="65">
        <v>180</v>
      </c>
      <c r="P8" s="38"/>
      <c r="Q8" s="17">
        <v>0</v>
      </c>
      <c r="R8" s="30"/>
      <c r="S8" s="13"/>
      <c r="T8" s="17">
        <f t="shared" si="1"/>
        <v>72918.016533776172</v>
      </c>
      <c r="U8" s="31"/>
      <c r="V8" s="17">
        <f t="shared" si="0"/>
        <v>0</v>
      </c>
      <c r="W8" s="21"/>
      <c r="Z8" s="13"/>
      <c r="AA8" s="32" t="s">
        <v>337</v>
      </c>
      <c r="AB8" s="33"/>
      <c r="AC8" s="34">
        <f>WingLayout!F16</f>
        <v>6.7703703703703697</v>
      </c>
      <c r="AD8">
        <v>4.5</v>
      </c>
      <c r="AK8" s="14"/>
      <c r="AQ8" s="13"/>
      <c r="AR8" s="32" t="s">
        <v>338</v>
      </c>
      <c r="AS8" s="33"/>
      <c r="AT8" s="16">
        <v>0.12</v>
      </c>
      <c r="AX8" s="13"/>
    </row>
    <row r="9" spans="1:50">
      <c r="A9" s="10"/>
      <c r="B9" s="32" t="s">
        <v>169</v>
      </c>
      <c r="C9" s="33"/>
      <c r="D9" s="33"/>
      <c r="E9" s="58"/>
      <c r="F9" s="102">
        <f>F3+F7</f>
        <v>44512.357019050876</v>
      </c>
      <c r="K9" s="32" t="s">
        <v>339</v>
      </c>
      <c r="L9" s="36"/>
      <c r="M9" s="13"/>
      <c r="N9" s="39">
        <f>F12*0.82</f>
        <v>1845.4559740029772</v>
      </c>
      <c r="O9" s="66">
        <v>330</v>
      </c>
      <c r="P9" s="40"/>
      <c r="Q9" s="17">
        <v>0</v>
      </c>
      <c r="R9" s="41"/>
      <c r="S9" s="13"/>
      <c r="T9" s="17">
        <f t="shared" si="1"/>
        <v>609000.4714209825</v>
      </c>
      <c r="U9" s="31"/>
      <c r="V9" s="17">
        <f t="shared" si="0"/>
        <v>0</v>
      </c>
      <c r="W9" s="21"/>
      <c r="Z9" s="13"/>
      <c r="AA9" s="32" t="s">
        <v>340</v>
      </c>
      <c r="AB9" s="33"/>
      <c r="AC9" s="34">
        <f>WingLayout!C9</f>
        <v>20</v>
      </c>
      <c r="AD9">
        <v>40</v>
      </c>
      <c r="AK9" s="14"/>
      <c r="AQ9" s="13"/>
      <c r="AR9" s="32" t="s">
        <v>341</v>
      </c>
      <c r="AS9" s="33"/>
      <c r="AT9" s="16">
        <v>0.5</v>
      </c>
      <c r="AX9" s="13"/>
    </row>
    <row r="10" spans="1:50">
      <c r="A10" s="10"/>
      <c r="B10" s="42" t="s">
        <v>172</v>
      </c>
      <c r="C10" s="47"/>
      <c r="D10" s="47"/>
      <c r="E10" s="58"/>
      <c r="F10" s="102">
        <f>[1]Estimator!B14</f>
        <v>5500</v>
      </c>
      <c r="K10" s="42" t="s">
        <v>342</v>
      </c>
      <c r="L10" s="43"/>
      <c r="M10" s="13"/>
      <c r="N10" s="16"/>
      <c r="O10" s="28"/>
      <c r="P10" s="44"/>
      <c r="Q10" s="17">
        <v>0</v>
      </c>
      <c r="R10" s="30"/>
      <c r="S10" s="13"/>
      <c r="T10" s="17">
        <f t="shared" si="1"/>
        <v>0</v>
      </c>
      <c r="U10" s="45"/>
      <c r="V10" s="17">
        <f t="shared" si="0"/>
        <v>0</v>
      </c>
      <c r="W10" s="46"/>
      <c r="Z10" s="13"/>
      <c r="AA10" s="32" t="s">
        <v>343</v>
      </c>
      <c r="AB10" s="33"/>
      <c r="AC10" s="34">
        <f>(420-WingLayout!F14)/WingLayout!F11</f>
        <v>0.48523067002701153</v>
      </c>
      <c r="AK10" s="14"/>
      <c r="AQ10" s="13"/>
      <c r="AR10" s="32" t="s">
        <v>324</v>
      </c>
      <c r="AS10" s="33"/>
      <c r="AT10" s="35">
        <v>8.51</v>
      </c>
      <c r="AX10" s="13"/>
    </row>
    <row r="11" spans="1:50">
      <c r="A11" s="10"/>
      <c r="B11" s="62" t="s">
        <v>174</v>
      </c>
      <c r="E11" s="59"/>
      <c r="F11" s="103">
        <f>F3+F7+F10</f>
        <v>50012.357019050876</v>
      </c>
      <c r="M11" s="13"/>
      <c r="S11" s="13"/>
      <c r="T11" s="47"/>
      <c r="U11" s="47"/>
      <c r="W11" s="47"/>
      <c r="Z11" s="13"/>
      <c r="AA11" s="32" t="s">
        <v>344</v>
      </c>
      <c r="AB11" s="47"/>
      <c r="AC11" s="34">
        <f>WingLayout!C10</f>
        <v>315</v>
      </c>
      <c r="AK11" s="14"/>
      <c r="AQ11" s="13"/>
      <c r="AR11" s="42" t="s">
        <v>345</v>
      </c>
      <c r="AS11" s="47"/>
      <c r="AT11" s="16">
        <v>80</v>
      </c>
      <c r="AX11" s="13"/>
    </row>
    <row r="12" spans="1:50">
      <c r="A12" s="10"/>
      <c r="B12" s="42" t="s">
        <v>346</v>
      </c>
      <c r="C12" s="47"/>
      <c r="D12" s="43"/>
      <c r="E12" s="13"/>
      <c r="F12" s="34">
        <f>F11*0.045</f>
        <v>2250.5560658572895</v>
      </c>
      <c r="K12" s="15" t="s">
        <v>175</v>
      </c>
      <c r="M12" s="13"/>
      <c r="N12" s="15">
        <f>SUM(N3:N10)</f>
        <v>17096.66501668901</v>
      </c>
      <c r="O12" s="15">
        <f>T12/N12</f>
        <v>315.7490969886943</v>
      </c>
      <c r="P12" s="42"/>
      <c r="Q12" s="15"/>
      <c r="R12" s="43"/>
      <c r="S12" s="13"/>
      <c r="T12" s="48">
        <f>SUM(T3:T10)</f>
        <v>5398256.540537755</v>
      </c>
      <c r="U12" s="49"/>
      <c r="V12" s="15"/>
      <c r="W12" s="50"/>
      <c r="Z12" s="13"/>
      <c r="AA12" s="33"/>
      <c r="AK12" s="14"/>
      <c r="AQ12" s="13"/>
      <c r="AX12" s="13"/>
    </row>
    <row r="13" spans="1:50">
      <c r="Z13" s="13"/>
      <c r="AK13" s="14"/>
      <c r="AQ13" s="13"/>
      <c r="AX13" s="13"/>
    </row>
    <row r="14" spans="1:50">
      <c r="Z14" s="13"/>
      <c r="AA14" s="78" t="s">
        <v>347</v>
      </c>
      <c r="AB14" s="47"/>
      <c r="AC14" s="43"/>
      <c r="AE14" s="1" t="s">
        <v>323</v>
      </c>
      <c r="AF14" s="1" t="s">
        <v>324</v>
      </c>
      <c r="AG14" s="1" t="s">
        <v>325</v>
      </c>
      <c r="AH14" s="1" t="s">
        <v>326</v>
      </c>
      <c r="AI14" s="1" t="s">
        <v>327</v>
      </c>
      <c r="AK14" s="14"/>
      <c r="AL14" s="5" t="s">
        <v>348</v>
      </c>
      <c r="AO14" s="1" t="s">
        <v>329</v>
      </c>
      <c r="AQ14" s="13"/>
      <c r="AR14" s="5" t="s">
        <v>348</v>
      </c>
      <c r="AV14" s="1" t="s">
        <v>330</v>
      </c>
      <c r="AX14" s="13"/>
    </row>
    <row r="15" spans="1:50">
      <c r="K15" t="s">
        <v>349</v>
      </c>
      <c r="Z15" s="13"/>
      <c r="AA15" s="62" t="s">
        <v>331</v>
      </c>
      <c r="AC15" s="86">
        <v>13</v>
      </c>
      <c r="AE15" s="34">
        <f t="shared" ref="AE15:AE24" si="2">AC17/AC16</f>
        <v>0.38709677419354838</v>
      </c>
      <c r="AF15" s="34">
        <f t="shared" ref="AF15:AF24" si="3">(2/3) * AC16 * (( 1 + AE15 + AE15^2) / (1 + AE15))</f>
        <v>5.7248062015503862</v>
      </c>
      <c r="AG15" s="34">
        <f t="shared" ref="AG15:AG24" si="4" xml:space="preserve"> (AC15/6) * ((1 + 2*AE15) / (1 + AE15))</f>
        <v>2.7713178294573639</v>
      </c>
      <c r="AH15" s="34">
        <f t="shared" ref="AH15:AH24" si="5" xml:space="preserve"> AC20 + (AG15 * TAN(RADIANS(AC18)) * 12)</f>
        <v>565.71777361316515</v>
      </c>
      <c r="AI15" s="34">
        <f t="shared" ref="AI15:AI24" si="6">AH15 + (AC19*AF15*12)</f>
        <v>593.19684338060699</v>
      </c>
      <c r="AK15" s="14"/>
      <c r="AL15" s="26" t="s">
        <v>325</v>
      </c>
      <c r="AM15" s="35">
        <f>AG15</f>
        <v>2.7713178294573639</v>
      </c>
      <c r="AO15" s="34">
        <f>(AM16*(1+2*AE15))/(3*(1+AE15))*12</f>
        <v>33.255813953488364</v>
      </c>
      <c r="AQ15" s="13"/>
      <c r="AR15" s="32" t="s">
        <v>331</v>
      </c>
      <c r="AS15" s="33"/>
      <c r="AT15" s="34">
        <f>AC15</f>
        <v>13</v>
      </c>
      <c r="AV15" s="34">
        <f>AT20 + (AG15*TAN(RADIANS(AT16))) * 12 + AT18 * AT17 * AF15 * 12</f>
        <v>90.525377003672759</v>
      </c>
      <c r="AX15" s="13"/>
    </row>
    <row r="16" spans="1:50">
      <c r="B16" s="5" t="s">
        <v>350</v>
      </c>
      <c r="F16" t="s">
        <v>140</v>
      </c>
      <c r="K16" s="1" t="s">
        <v>351</v>
      </c>
      <c r="Z16" s="13"/>
      <c r="AA16" s="32" t="s">
        <v>333</v>
      </c>
      <c r="AB16" s="33"/>
      <c r="AC16" s="34">
        <v>7.75</v>
      </c>
      <c r="AK16" s="14"/>
      <c r="AL16" s="15" t="s">
        <v>334</v>
      </c>
      <c r="AM16" s="34">
        <f>AC15/2</f>
        <v>6.5</v>
      </c>
      <c r="AQ16" s="13"/>
      <c r="AR16" s="32" t="s">
        <v>335</v>
      </c>
      <c r="AS16" s="33"/>
      <c r="AT16" s="16">
        <v>-5</v>
      </c>
      <c r="AX16" s="13"/>
    </row>
    <row r="17" spans="2:50">
      <c r="B17" s="42" t="s">
        <v>141</v>
      </c>
      <c r="C17" s="47"/>
      <c r="D17" s="47"/>
      <c r="E17" s="56"/>
      <c r="F17" s="102">
        <f>F18+F19+F20</f>
        <v>25167.58862372482</v>
      </c>
      <c r="K17" s="51"/>
      <c r="L17" t="s">
        <v>352</v>
      </c>
      <c r="Z17" s="13"/>
      <c r="AA17" s="32" t="s">
        <v>337</v>
      </c>
      <c r="AB17" s="33"/>
      <c r="AC17" s="34">
        <v>3</v>
      </c>
      <c r="AK17" s="14"/>
      <c r="AQ17" s="13"/>
      <c r="AR17" s="32" t="s">
        <v>338</v>
      </c>
      <c r="AS17" s="33"/>
      <c r="AT17" s="16">
        <v>0.1</v>
      </c>
      <c r="AX17" s="13"/>
    </row>
    <row r="18" spans="2:50">
      <c r="C18" s="49" t="s">
        <v>150</v>
      </c>
      <c r="D18" s="57"/>
      <c r="E18" s="58"/>
      <c r="F18" s="102">
        <f>[1]Estimator!B7</f>
        <v>24807.58862372482</v>
      </c>
      <c r="K18" s="52"/>
      <c r="L18" t="s">
        <v>353</v>
      </c>
      <c r="Z18" s="13"/>
      <c r="AA18" s="32" t="s">
        <v>340</v>
      </c>
      <c r="AB18" s="33"/>
      <c r="AC18" s="34">
        <v>35</v>
      </c>
      <c r="AK18" s="14"/>
      <c r="AQ18" s="13"/>
      <c r="AR18" s="32" t="s">
        <v>341</v>
      </c>
      <c r="AS18" s="33"/>
      <c r="AT18" s="16">
        <v>0.5</v>
      </c>
      <c r="AX18" s="13"/>
    </row>
    <row r="19" spans="2:50">
      <c r="C19" s="49" t="s">
        <v>158</v>
      </c>
      <c r="D19" s="57"/>
      <c r="E19" s="58"/>
      <c r="F19" s="181">
        <v>120</v>
      </c>
      <c r="K19" s="19"/>
      <c r="L19" t="s">
        <v>354</v>
      </c>
      <c r="Z19" s="13"/>
      <c r="AA19" s="32" t="s">
        <v>355</v>
      </c>
      <c r="AB19" s="33"/>
      <c r="AC19" s="34">
        <v>0.4</v>
      </c>
      <c r="AK19" s="14"/>
      <c r="AQ19" s="13"/>
      <c r="AR19" s="32" t="s">
        <v>324</v>
      </c>
      <c r="AS19" s="33"/>
      <c r="AT19" s="35">
        <f>AF15</f>
        <v>5.7248062015503862</v>
      </c>
      <c r="AX19" s="13"/>
    </row>
    <row r="20" spans="2:50">
      <c r="C20" s="49" t="s">
        <v>161</v>
      </c>
      <c r="D20" s="57"/>
      <c r="E20" s="58"/>
      <c r="F20" s="30">
        <v>240</v>
      </c>
      <c r="K20" s="24"/>
      <c r="L20" t="s">
        <v>356</v>
      </c>
      <c r="Z20" s="13"/>
      <c r="AA20" s="32" t="s">
        <v>344</v>
      </c>
      <c r="AB20" s="47"/>
      <c r="AC20" s="34">
        <f>WingLayout!B53</f>
        <v>542.43180199363292</v>
      </c>
      <c r="AK20" s="14"/>
      <c r="AQ20" s="13"/>
      <c r="AR20" s="42" t="s">
        <v>345</v>
      </c>
      <c r="AS20" s="47"/>
      <c r="AT20" s="16">
        <v>90</v>
      </c>
      <c r="AX20" s="13"/>
    </row>
    <row r="21" spans="2:50">
      <c r="B21" s="32" t="s">
        <v>163</v>
      </c>
      <c r="E21" s="58"/>
      <c r="F21" s="102">
        <f>[1]Estimator!B8</f>
        <v>19307.58862372482</v>
      </c>
      <c r="Z21" s="13"/>
      <c r="AA21" s="33"/>
      <c r="AK21" s="14"/>
      <c r="AQ21" s="13"/>
      <c r="AX21" s="13"/>
    </row>
    <row r="22" spans="2:50">
      <c r="B22" s="32" t="s">
        <v>167</v>
      </c>
      <c r="C22" s="33"/>
      <c r="D22" s="33"/>
      <c r="E22" s="58"/>
      <c r="F22" s="102">
        <f>F17+(F21*0.6)</f>
        <v>36752.14179795971</v>
      </c>
      <c r="Z22" s="13"/>
      <c r="AK22" s="14"/>
      <c r="AQ22" s="13"/>
      <c r="AX22" s="13"/>
    </row>
    <row r="23" spans="2:50">
      <c r="B23" s="32" t="s">
        <v>169</v>
      </c>
      <c r="C23" s="33"/>
      <c r="D23" s="33"/>
      <c r="E23" s="58"/>
      <c r="F23" s="102">
        <f>F17+F21</f>
        <v>44475.177247449639</v>
      </c>
      <c r="Z23" s="13"/>
      <c r="AA23" s="78" t="s">
        <v>357</v>
      </c>
      <c r="AB23" s="47"/>
      <c r="AC23" s="43"/>
      <c r="AE23" s="1" t="s">
        <v>323</v>
      </c>
      <c r="AF23" s="1" t="s">
        <v>324</v>
      </c>
      <c r="AG23" s="1" t="s">
        <v>325</v>
      </c>
      <c r="AH23" s="1" t="s">
        <v>326</v>
      </c>
      <c r="AI23" s="1" t="s">
        <v>327</v>
      </c>
      <c r="AK23" s="14"/>
      <c r="AL23" s="5" t="s">
        <v>358</v>
      </c>
      <c r="AO23" s="1" t="s">
        <v>329</v>
      </c>
      <c r="AQ23" s="13"/>
      <c r="AR23" s="5" t="s">
        <v>358</v>
      </c>
      <c r="AV23" s="1" t="s">
        <v>330</v>
      </c>
      <c r="AX23" s="13"/>
    </row>
    <row r="24" spans="2:50">
      <c r="B24" s="42" t="s">
        <v>172</v>
      </c>
      <c r="C24" s="47"/>
      <c r="D24" s="47"/>
      <c r="E24" s="58"/>
      <c r="F24" s="102">
        <f>[1]Estimator!B39</f>
        <v>7600</v>
      </c>
      <c r="K24" s="5" t="s">
        <v>359</v>
      </c>
      <c r="M24" t="s">
        <v>360</v>
      </c>
      <c r="N24" t="s">
        <v>361</v>
      </c>
      <c r="O24" t="s">
        <v>362</v>
      </c>
      <c r="P24" t="s">
        <v>363</v>
      </c>
      <c r="Z24" s="13"/>
      <c r="AA24" s="62" t="s">
        <v>331</v>
      </c>
      <c r="AC24" s="86">
        <v>11.5</v>
      </c>
      <c r="AE24" s="34">
        <f t="shared" si="2"/>
        <v>0.32</v>
      </c>
      <c r="AF24" s="34">
        <f t="shared" si="3"/>
        <v>8.9797979797979792</v>
      </c>
      <c r="AG24" s="34">
        <f t="shared" si="4"/>
        <v>2.3813131313131315</v>
      </c>
      <c r="AH24" s="34">
        <f t="shared" si="5"/>
        <v>574.05526175201032</v>
      </c>
      <c r="AI24" s="34">
        <f t="shared" si="6"/>
        <v>617.15829205504065</v>
      </c>
      <c r="AK24" s="14"/>
      <c r="AL24" s="26" t="s">
        <v>325</v>
      </c>
      <c r="AM24" s="35">
        <f>AG24</f>
        <v>2.3813131313131315</v>
      </c>
      <c r="AO24" s="34">
        <f>(AM25*(1+2*AE24))/(3*(1+AE24))*12</f>
        <v>28.575757575757578</v>
      </c>
      <c r="AQ24" s="13"/>
      <c r="AR24" s="32" t="s">
        <v>364</v>
      </c>
      <c r="AS24" s="36"/>
      <c r="AT24" s="53">
        <v>95</v>
      </c>
      <c r="AV24" s="34">
        <f>AT24+(AT29*12)</f>
        <v>123.57575757575758</v>
      </c>
      <c r="AX24" s="13"/>
    </row>
    <row r="25" spans="2:50">
      <c r="B25" s="49" t="s">
        <v>174</v>
      </c>
      <c r="C25" s="57"/>
      <c r="D25" s="57"/>
      <c r="E25" s="59"/>
      <c r="F25" s="102">
        <f>F17+F21+F24</f>
        <v>52075.177247449639</v>
      </c>
      <c r="K25" s="146" t="s">
        <v>317</v>
      </c>
      <c r="L25" s="33"/>
      <c r="M25" s="18">
        <f>O1</f>
        <v>0</v>
      </c>
      <c r="N25" s="15">
        <f>(M25/2)*M1</f>
        <v>0</v>
      </c>
      <c r="O25" s="42">
        <f>(M25/2)*M1*(-1)</f>
        <v>0</v>
      </c>
      <c r="P25" s="15">
        <f>N25+O25</f>
        <v>0</v>
      </c>
      <c r="Z25" s="13"/>
      <c r="AA25" s="32" t="s">
        <v>333</v>
      </c>
      <c r="AB25" s="33"/>
      <c r="AC25" s="34">
        <v>12.5</v>
      </c>
      <c r="AK25" s="14"/>
      <c r="AL25" s="15" t="s">
        <v>334</v>
      </c>
      <c r="AM25" s="34">
        <f>AC24/2</f>
        <v>5.75</v>
      </c>
      <c r="AQ25" s="13"/>
      <c r="AR25" s="32" t="s">
        <v>365</v>
      </c>
      <c r="AS25" s="36"/>
      <c r="AT25" s="54">
        <v>11.5</v>
      </c>
      <c r="AX25" s="13"/>
    </row>
    <row r="26" spans="2:50">
      <c r="K26" s="32" t="s">
        <v>319</v>
      </c>
      <c r="L26" s="33"/>
      <c r="M26" s="18" t="str">
        <f>O2</f>
        <v>X (Frame Station)</v>
      </c>
      <c r="N26" s="15" t="e">
        <f t="shared" ref="N26:N27" si="7">(M26/2)*M2</f>
        <v>#VALUE!</v>
      </c>
      <c r="O26" s="42" t="e">
        <f t="shared" ref="O26:O27" si="8">(M26/2)*M2*(-1)</f>
        <v>#VALUE!</v>
      </c>
      <c r="P26" s="15" t="e">
        <f>N26+O26</f>
        <v>#VALUE!</v>
      </c>
      <c r="Z26" s="13"/>
      <c r="AA26" s="32" t="s">
        <v>337</v>
      </c>
      <c r="AB26" s="33"/>
      <c r="AC26" s="34">
        <v>4</v>
      </c>
      <c r="AK26" s="14"/>
      <c r="AQ26" s="13"/>
      <c r="AR26" s="32" t="s">
        <v>366</v>
      </c>
      <c r="AS26" s="36"/>
      <c r="AT26" s="30">
        <v>12.5</v>
      </c>
      <c r="AX26" s="13"/>
    </row>
    <row r="27" spans="2:50">
      <c r="K27" s="42" t="s">
        <v>321</v>
      </c>
      <c r="L27" s="47"/>
      <c r="M27" s="18">
        <f>O3</f>
        <v>420</v>
      </c>
      <c r="N27" s="15">
        <f t="shared" si="7"/>
        <v>0</v>
      </c>
      <c r="O27" s="42">
        <f t="shared" si="8"/>
        <v>0</v>
      </c>
      <c r="P27" s="15">
        <f>N27+O27</f>
        <v>0</v>
      </c>
      <c r="Z27" s="13"/>
      <c r="AA27" s="32" t="s">
        <v>340</v>
      </c>
      <c r="AB27" s="33"/>
      <c r="AC27" s="34">
        <v>50</v>
      </c>
      <c r="AK27" s="14"/>
      <c r="AQ27" s="13"/>
      <c r="AR27" s="32" t="s">
        <v>367</v>
      </c>
      <c r="AS27" s="36"/>
      <c r="AT27" s="30">
        <v>4</v>
      </c>
      <c r="AX27" s="13"/>
    </row>
    <row r="28" spans="2:50">
      <c r="K28" s="5" t="s">
        <v>368</v>
      </c>
      <c r="Z28" s="13"/>
      <c r="AA28" s="32" t="s">
        <v>355</v>
      </c>
      <c r="AB28" s="33"/>
      <c r="AC28" s="34">
        <v>0.4</v>
      </c>
      <c r="AK28" s="14"/>
      <c r="AQ28" s="13"/>
      <c r="AR28" s="32" t="s">
        <v>369</v>
      </c>
      <c r="AS28" s="36"/>
      <c r="AT28" s="41">
        <f>AT27/AT26</f>
        <v>0.32</v>
      </c>
      <c r="AX28" s="13"/>
    </row>
    <row r="29" spans="2:50">
      <c r="Z29" s="13"/>
      <c r="AA29" s="32" t="s">
        <v>344</v>
      </c>
      <c r="AB29" s="47"/>
      <c r="AC29" s="34">
        <v>540</v>
      </c>
      <c r="AK29" s="14"/>
      <c r="AQ29" s="13"/>
      <c r="AR29" s="42" t="s">
        <v>370</v>
      </c>
      <c r="AS29" s="43"/>
      <c r="AT29" s="53">
        <f xml:space="preserve"> (AT25/6) * ((1+2*AT28)/(1+AT28))</f>
        <v>2.3813131313131315</v>
      </c>
      <c r="AX29" s="13"/>
    </row>
    <row r="30" spans="2:50">
      <c r="L30" s="5"/>
      <c r="Z30" s="13"/>
      <c r="AA30" s="3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2:50">
      <c r="Z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2:50">
      <c r="Y32" s="8"/>
      <c r="Z32" s="13"/>
      <c r="AA32" s="61" t="s">
        <v>371</v>
      </c>
      <c r="AB32" s="43"/>
      <c r="AE32" s="63" t="s">
        <v>372</v>
      </c>
      <c r="AK32" s="13"/>
    </row>
    <row r="33" spans="2:41" ht="21">
      <c r="B33" s="2">
        <v>4.3</v>
      </c>
      <c r="Z33" s="13"/>
      <c r="AA33" s="62" t="s">
        <v>373</v>
      </c>
      <c r="AB33" s="67">
        <v>0.43</v>
      </c>
      <c r="AE33" s="15">
        <f>AB34*AB33</f>
        <v>254.99</v>
      </c>
      <c r="AK33" s="13"/>
    </row>
    <row r="34" spans="2:41">
      <c r="D34" s="1" t="s">
        <v>374</v>
      </c>
      <c r="J34" s="5" t="s">
        <v>375</v>
      </c>
      <c r="P34" s="1" t="s">
        <v>376</v>
      </c>
      <c r="Z34" s="13"/>
      <c r="AA34" s="32" t="s">
        <v>377</v>
      </c>
      <c r="AB34" s="16">
        <v>593</v>
      </c>
      <c r="AK34" s="13"/>
    </row>
    <row r="35" spans="2:41">
      <c r="Z35" s="13"/>
      <c r="AA35" s="42" t="s">
        <v>378</v>
      </c>
      <c r="AB35" s="68">
        <v>0</v>
      </c>
      <c r="AK35" s="13"/>
    </row>
    <row r="36" spans="2:41">
      <c r="B36" s="42" t="s">
        <v>144</v>
      </c>
      <c r="C36" s="42" t="s">
        <v>145</v>
      </c>
      <c r="D36" s="32" t="s">
        <v>146</v>
      </c>
      <c r="E36" s="32" t="s">
        <v>147</v>
      </c>
      <c r="F36" s="26" t="s">
        <v>148</v>
      </c>
      <c r="H36" s="42" t="s">
        <v>144</v>
      </c>
      <c r="I36" s="42" t="s">
        <v>145</v>
      </c>
      <c r="J36" s="32" t="s">
        <v>146</v>
      </c>
      <c r="K36" s="32" t="s">
        <v>147</v>
      </c>
      <c r="L36" s="26" t="s">
        <v>148</v>
      </c>
      <c r="N36" s="42" t="s">
        <v>144</v>
      </c>
      <c r="O36" s="42" t="s">
        <v>145</v>
      </c>
      <c r="P36" s="32" t="s">
        <v>146</v>
      </c>
      <c r="Q36" s="32" t="s">
        <v>147</v>
      </c>
      <c r="R36" s="26" t="s">
        <v>148</v>
      </c>
      <c r="Z36" s="13"/>
      <c r="AK36" s="13"/>
    </row>
    <row r="37" spans="2:41">
      <c r="B37" s="60" t="s">
        <v>156</v>
      </c>
      <c r="C37" t="s">
        <v>157</v>
      </c>
      <c r="D37" s="32">
        <v>1</v>
      </c>
      <c r="E37" s="32"/>
      <c r="F37" s="26"/>
      <c r="H37" s="60" t="s">
        <v>156</v>
      </c>
      <c r="I37" t="s">
        <v>157</v>
      </c>
      <c r="J37" s="32">
        <v>1</v>
      </c>
      <c r="K37" s="32"/>
      <c r="L37" s="26"/>
      <c r="N37" s="60" t="s">
        <v>156</v>
      </c>
      <c r="O37" t="s">
        <v>157</v>
      </c>
      <c r="P37" s="32">
        <v>1</v>
      </c>
      <c r="Q37" s="32"/>
      <c r="R37" s="26"/>
      <c r="Z37" s="13"/>
      <c r="AK37" s="13"/>
    </row>
    <row r="38" spans="2:41">
      <c r="B38" s="60"/>
      <c r="D38" s="32">
        <v>60</v>
      </c>
      <c r="E38" s="32"/>
      <c r="F38" s="26"/>
      <c r="H38" s="60"/>
      <c r="J38" s="32">
        <v>60</v>
      </c>
      <c r="K38" s="32"/>
      <c r="L38" s="26"/>
      <c r="N38" s="60"/>
      <c r="P38" s="32">
        <v>60</v>
      </c>
      <c r="Q38" s="32"/>
      <c r="R38" s="26"/>
      <c r="AA38" s="1" t="s">
        <v>379</v>
      </c>
    </row>
    <row r="39" spans="2:41">
      <c r="B39" s="60"/>
      <c r="D39" s="32">
        <v>100</v>
      </c>
      <c r="E39" s="32"/>
      <c r="F39" s="26"/>
      <c r="H39" s="60"/>
      <c r="J39" s="32">
        <v>100</v>
      </c>
      <c r="K39" s="32"/>
      <c r="L39" s="26"/>
      <c r="N39" s="60"/>
      <c r="P39" s="32">
        <v>100</v>
      </c>
      <c r="Q39" s="32"/>
      <c r="R39" s="26"/>
      <c r="AA39" t="s">
        <v>373</v>
      </c>
      <c r="AB39" s="69">
        <v>0.5</v>
      </c>
    </row>
    <row r="40" spans="2:41">
      <c r="B40" s="26" t="s">
        <v>165</v>
      </c>
      <c r="C40" s="33" t="s">
        <v>166</v>
      </c>
      <c r="D40" s="32">
        <v>1</v>
      </c>
      <c r="E40" s="32"/>
      <c r="F40" s="26"/>
      <c r="H40" s="26" t="s">
        <v>165</v>
      </c>
      <c r="I40" s="33" t="s">
        <v>166</v>
      </c>
      <c r="J40" s="32">
        <v>1</v>
      </c>
      <c r="K40" s="32"/>
      <c r="L40" s="26"/>
      <c r="N40" s="26" t="s">
        <v>165</v>
      </c>
      <c r="O40" s="33" t="s">
        <v>166</v>
      </c>
      <c r="P40" s="32">
        <v>1</v>
      </c>
      <c r="Q40" s="32"/>
      <c r="R40" s="26"/>
    </row>
    <row r="41" spans="2:41">
      <c r="B41" s="60"/>
      <c r="D41" s="32">
        <v>60</v>
      </c>
      <c r="E41" s="32"/>
      <c r="F41" s="26"/>
      <c r="H41" s="60"/>
      <c r="J41" s="32">
        <v>60</v>
      </c>
      <c r="K41" s="32"/>
      <c r="L41" s="26"/>
      <c r="N41" s="60"/>
      <c r="P41" s="32">
        <v>60</v>
      </c>
      <c r="Q41" s="32"/>
      <c r="R41" s="26"/>
    </row>
    <row r="42" spans="2:41">
      <c r="B42" s="48"/>
      <c r="C42" s="57"/>
      <c r="D42" s="42">
        <v>100</v>
      </c>
      <c r="E42" s="42"/>
      <c r="F42" s="15"/>
      <c r="H42" s="48"/>
      <c r="I42" s="57"/>
      <c r="J42" s="42">
        <v>100</v>
      </c>
      <c r="K42" s="42"/>
      <c r="L42" s="15"/>
      <c r="N42" s="48"/>
      <c r="O42" s="57"/>
      <c r="P42" s="42">
        <v>100</v>
      </c>
      <c r="Q42" s="42"/>
      <c r="R42" s="15"/>
    </row>
    <row r="46" spans="2:41">
      <c r="AO46" s="1" t="s">
        <v>380</v>
      </c>
    </row>
    <row r="47" spans="2:41">
      <c r="B47" s="5" t="s">
        <v>381</v>
      </c>
      <c r="J47">
        <f>2.1+(24000/(50000+10000))</f>
        <v>2.5</v>
      </c>
    </row>
    <row r="49" spans="2:17">
      <c r="B49" s="1" t="s">
        <v>242</v>
      </c>
      <c r="C49" s="1" t="s">
        <v>382</v>
      </c>
      <c r="E49" s="73" t="s">
        <v>140</v>
      </c>
      <c r="H49" s="1" t="s">
        <v>242</v>
      </c>
      <c r="I49" s="1" t="s">
        <v>382</v>
      </c>
      <c r="K49" s="74" t="s">
        <v>140</v>
      </c>
      <c r="N49" s="1" t="s">
        <v>242</v>
      </c>
      <c r="O49" s="1" t="s">
        <v>382</v>
      </c>
      <c r="Q49" s="74" t="s">
        <v>140</v>
      </c>
    </row>
    <row r="50" spans="2:17">
      <c r="B50" s="72" t="s">
        <v>168</v>
      </c>
      <c r="C50" s="33"/>
      <c r="D50" s="15"/>
      <c r="E50" s="50">
        <f>10.43*(D51)^(1.42)*(D54/100)^(0.283)*(D52/1000)^(0.95)*(D53)^0.71</f>
        <v>4881.7404151829651</v>
      </c>
      <c r="H50" s="32" t="s">
        <v>253</v>
      </c>
      <c r="I50" s="36"/>
      <c r="K50" s="85">
        <f>19.29*
((((J51*J52)/J55)*
 ((TAN(RADIANS(J57)) - (2*(1-J56)/(J54*(1+J56))))^2 + 1) *
 0.000001)^0.464) *
(((1+J56)*J54)^0.7) *
(J53^0.58)</f>
        <v>2464.3685356487563</v>
      </c>
      <c r="N50" s="42" t="s">
        <v>383</v>
      </c>
      <c r="O50" s="43"/>
      <c r="Q50" s="15">
        <f>0.0034*(P51*P52)^0.813 *
  P53^0.584 *
  (P54/P55)^0.033 *
  (P56/P57)^0.28 *
  (1+P58)^0.915</f>
        <v>1081.8569480751987</v>
      </c>
    </row>
    <row r="51" spans="2:17">
      <c r="C51" s="32" t="s">
        <v>118</v>
      </c>
      <c r="D51" s="75">
        <v>1.25</v>
      </c>
      <c r="I51" s="33" t="s">
        <v>384</v>
      </c>
      <c r="J51" s="76">
        <v>9</v>
      </c>
      <c r="O51" s="62" t="s">
        <v>384</v>
      </c>
      <c r="P51" s="76">
        <v>3</v>
      </c>
    </row>
    <row r="52" spans="2:17">
      <c r="C52" s="32" t="s">
        <v>52</v>
      </c>
      <c r="D52" s="35">
        <f>F11</f>
        <v>50012.357019050876</v>
      </c>
      <c r="I52" s="32" t="s">
        <v>52</v>
      </c>
      <c r="J52" s="35">
        <f>D52</f>
        <v>50012.357019050876</v>
      </c>
      <c r="O52" s="32" t="s">
        <v>52</v>
      </c>
      <c r="P52" s="35">
        <f>J52</f>
        <v>50012.357019050876</v>
      </c>
    </row>
    <row r="53" spans="2:17">
      <c r="C53" s="32" t="s">
        <v>385</v>
      </c>
      <c r="D53" s="39">
        <v>9</v>
      </c>
      <c r="I53" s="32" t="s">
        <v>61</v>
      </c>
      <c r="J53" s="87">
        <f>WingLayout!C6</f>
        <v>457</v>
      </c>
      <c r="O53" s="32" t="s">
        <v>386</v>
      </c>
      <c r="P53" s="87">
        <f>WingLayout!C30</f>
        <v>110</v>
      </c>
    </row>
    <row r="54" spans="2:17">
      <c r="C54" s="42" t="s">
        <v>121</v>
      </c>
      <c r="D54" s="34">
        <f>(1/2)*F61*(F60)^2</f>
        <v>710.78841834761261</v>
      </c>
      <c r="I54" s="32" t="s">
        <v>387</v>
      </c>
      <c r="J54" s="87">
        <f>WingLayout!F6</f>
        <v>4.4310722100656452</v>
      </c>
      <c r="O54" s="32" t="s">
        <v>388</v>
      </c>
      <c r="P54" s="87">
        <f>WingLayout!C31</f>
        <v>19</v>
      </c>
    </row>
    <row r="55" spans="2:17">
      <c r="I55" s="32" t="s">
        <v>389</v>
      </c>
      <c r="J55" s="87">
        <f>WingLayout!F10/WingLayout!F9</f>
        <v>0.5</v>
      </c>
      <c r="O55" s="32" t="s">
        <v>390</v>
      </c>
      <c r="P55" s="39">
        <v>0.1</v>
      </c>
    </row>
    <row r="56" spans="2:17">
      <c r="C56" s="61" t="s">
        <v>391</v>
      </c>
      <c r="D56" s="36"/>
      <c r="E56" s="1" t="s">
        <v>392</v>
      </c>
      <c r="F56" s="1" t="s">
        <v>48</v>
      </c>
      <c r="I56" s="32" t="s">
        <v>393</v>
      </c>
      <c r="J56" s="87">
        <f>WingLayout!C8</f>
        <v>0.5</v>
      </c>
      <c r="O56" s="32" t="s">
        <v>394</v>
      </c>
      <c r="P56" s="87">
        <f>WingLayout!F35</f>
        <v>72.046783625730995</v>
      </c>
    </row>
    <row r="57" spans="2:17">
      <c r="D57" s="32" t="s">
        <v>395</v>
      </c>
      <c r="E57" s="32" t="s">
        <v>396</v>
      </c>
      <c r="F57" s="39">
        <v>0.9</v>
      </c>
      <c r="I57" s="42" t="s">
        <v>397</v>
      </c>
      <c r="J57" s="16">
        <f>WingLayout!C9</f>
        <v>20</v>
      </c>
      <c r="O57" s="32" t="s">
        <v>398</v>
      </c>
      <c r="P57" s="87">
        <f>WingLayout!C35</f>
        <v>216.96</v>
      </c>
    </row>
    <row r="58" spans="2:17">
      <c r="B58" s="5"/>
      <c r="D58" s="32" t="s">
        <v>246</v>
      </c>
      <c r="E58" s="32" t="s">
        <v>399</v>
      </c>
      <c r="F58" s="39">
        <v>969</v>
      </c>
      <c r="J58">
        <v>1</v>
      </c>
      <c r="O58" s="42" t="s">
        <v>400</v>
      </c>
      <c r="P58" s="87">
        <f>WingLayout!C32</f>
        <v>0.5</v>
      </c>
    </row>
    <row r="59" spans="2:17">
      <c r="B59" s="4"/>
      <c r="D59" s="32" t="s">
        <v>401</v>
      </c>
      <c r="E59" s="32" t="s">
        <v>402</v>
      </c>
      <c r="F59" s="39">
        <v>1.45</v>
      </c>
      <c r="P59" s="15"/>
    </row>
    <row r="60" spans="2:17">
      <c r="D60" s="32" t="s">
        <v>403</v>
      </c>
      <c r="E60" s="32" t="s">
        <v>404</v>
      </c>
      <c r="F60" s="39">
        <f>F59*F58*F57</f>
        <v>1264.5450000000001</v>
      </c>
    </row>
    <row r="61" spans="2:17">
      <c r="D61" s="42" t="s">
        <v>405</v>
      </c>
      <c r="E61" s="42" t="s">
        <v>406</v>
      </c>
      <c r="F61" s="16">
        <v>8.8900000000000003E-4</v>
      </c>
      <c r="N61" s="77" t="s">
        <v>407</v>
      </c>
      <c r="O61" s="33"/>
      <c r="P61" s="78" t="s">
        <v>48</v>
      </c>
      <c r="Q61" s="43"/>
    </row>
    <row r="62" spans="2:17">
      <c r="B62" s="5"/>
      <c r="N62" s="71" t="s">
        <v>388</v>
      </c>
      <c r="O62" s="15"/>
      <c r="Q62" s="48">
        <f>SQRT(P63*P64)</f>
        <v>0</v>
      </c>
    </row>
    <row r="63" spans="2:17">
      <c r="O63" s="62" t="s">
        <v>408</v>
      </c>
      <c r="P63" s="26"/>
    </row>
    <row r="64" spans="2:17">
      <c r="O64" s="32" t="s">
        <v>386</v>
      </c>
      <c r="P64" s="15"/>
    </row>
    <row r="65" spans="14:17">
      <c r="N65" s="42" t="s">
        <v>390</v>
      </c>
      <c r="O65" s="26"/>
      <c r="Q65" s="15">
        <f>P66*P67</f>
        <v>0</v>
      </c>
    </row>
    <row r="66" spans="14:17">
      <c r="O66" s="32" t="s">
        <v>409</v>
      </c>
      <c r="P66" s="26"/>
    </row>
    <row r="67" spans="14:17">
      <c r="O67" s="42" t="s">
        <v>410</v>
      </c>
      <c r="P67" s="15"/>
    </row>
    <row r="81" spans="2:18">
      <c r="D81" t="s">
        <v>411</v>
      </c>
      <c r="G81" t="s">
        <v>412</v>
      </c>
      <c r="J81" s="26" t="s">
        <v>413</v>
      </c>
    </row>
    <row r="82" spans="2:18">
      <c r="C82" s="15" t="s">
        <v>414</v>
      </c>
      <c r="D82" s="33" t="s">
        <v>146</v>
      </c>
      <c r="E82" s="15" t="s">
        <v>415</v>
      </c>
      <c r="G82" s="32" t="s">
        <v>52</v>
      </c>
      <c r="H82" s="26">
        <f>F11</f>
        <v>50012.357019050876</v>
      </c>
      <c r="J82" s="15">
        <f>O12</f>
        <v>315.7490969886943</v>
      </c>
    </row>
    <row r="83" spans="2:18">
      <c r="C83" s="48">
        <v>18276.18</v>
      </c>
      <c r="D83" s="33">
        <v>1</v>
      </c>
      <c r="E83" s="60">
        <f>C83*0.01</f>
        <v>182.76179999999999</v>
      </c>
      <c r="G83" s="32" t="s">
        <v>373</v>
      </c>
      <c r="H83" s="26">
        <v>4.4999999999999998E-2</v>
      </c>
    </row>
    <row r="84" spans="2:18">
      <c r="D84" s="32">
        <v>60</v>
      </c>
      <c r="E84" s="26">
        <f>C83*0.6</f>
        <v>10965.708000000001</v>
      </c>
      <c r="G84" s="42" t="s">
        <v>416</v>
      </c>
      <c r="H84" s="15">
        <f>H82*H83</f>
        <v>2250.5560658572895</v>
      </c>
    </row>
    <row r="85" spans="2:18">
      <c r="D85" s="42">
        <v>100</v>
      </c>
      <c r="E85" s="15">
        <f>C83</f>
        <v>18276.18</v>
      </c>
    </row>
    <row r="90" spans="2:18">
      <c r="D90" s="1" t="s">
        <v>374</v>
      </c>
    </row>
    <row r="92" spans="2:18" ht="21">
      <c r="B92" s="2">
        <v>4.3</v>
      </c>
      <c r="D92" s="32" t="s">
        <v>146</v>
      </c>
      <c r="E92" s="32" t="s">
        <v>147</v>
      </c>
    </row>
    <row r="93" spans="2:18">
      <c r="D93" s="32">
        <v>1</v>
      </c>
      <c r="E93" s="32"/>
      <c r="J93" s="5" t="s">
        <v>375</v>
      </c>
      <c r="P93" s="1" t="s">
        <v>376</v>
      </c>
    </row>
    <row r="94" spans="2:18">
      <c r="D94" s="32">
        <v>60</v>
      </c>
      <c r="E94" s="32"/>
      <c r="F94" s="26" t="s">
        <v>148</v>
      </c>
    </row>
    <row r="95" spans="2:18">
      <c r="B95" s="42" t="s">
        <v>144</v>
      </c>
      <c r="C95" s="42" t="s">
        <v>145</v>
      </c>
      <c r="D95" s="32">
        <v>100</v>
      </c>
      <c r="E95" s="32"/>
      <c r="F95" s="26"/>
      <c r="H95" s="42" t="s">
        <v>144</v>
      </c>
      <c r="I95" s="42" t="s">
        <v>145</v>
      </c>
      <c r="J95" s="32" t="s">
        <v>146</v>
      </c>
      <c r="K95" s="32" t="s">
        <v>147</v>
      </c>
      <c r="L95" s="26" t="s">
        <v>148</v>
      </c>
      <c r="N95" s="42" t="s">
        <v>144</v>
      </c>
      <c r="O95" s="42" t="s">
        <v>145</v>
      </c>
      <c r="P95" s="32" t="s">
        <v>146</v>
      </c>
      <c r="Q95" s="32" t="s">
        <v>147</v>
      </c>
      <c r="R95" s="26" t="s">
        <v>148</v>
      </c>
    </row>
    <row r="96" spans="2:18">
      <c r="B96" s="60" t="s">
        <v>156</v>
      </c>
      <c r="C96" t="s">
        <v>157</v>
      </c>
      <c r="D96" s="32">
        <v>1</v>
      </c>
      <c r="E96" s="32"/>
      <c r="F96" s="26"/>
      <c r="H96" s="60" t="s">
        <v>156</v>
      </c>
      <c r="I96" t="s">
        <v>157</v>
      </c>
      <c r="J96" s="32">
        <v>1</v>
      </c>
      <c r="K96" s="32"/>
      <c r="L96" s="26"/>
      <c r="N96" s="60" t="s">
        <v>156</v>
      </c>
      <c r="O96" t="s">
        <v>157</v>
      </c>
      <c r="P96" s="32">
        <v>1</v>
      </c>
      <c r="Q96" s="32"/>
      <c r="R96" s="26"/>
    </row>
    <row r="97" spans="2:18">
      <c r="B97" s="60"/>
      <c r="D97" s="32">
        <v>60</v>
      </c>
      <c r="E97" s="32"/>
      <c r="F97" s="26"/>
      <c r="H97" s="60"/>
      <c r="J97" s="32">
        <v>60</v>
      </c>
      <c r="K97" s="32"/>
      <c r="L97" s="26"/>
      <c r="N97" s="60"/>
      <c r="P97" s="32">
        <v>60</v>
      </c>
      <c r="Q97" s="32"/>
      <c r="R97" s="26"/>
    </row>
    <row r="98" spans="2:18">
      <c r="B98" s="60"/>
      <c r="D98" s="42">
        <v>100</v>
      </c>
      <c r="E98" s="42"/>
      <c r="F98" s="26"/>
      <c r="H98" s="60"/>
      <c r="J98" s="32">
        <v>100</v>
      </c>
      <c r="K98" s="32"/>
      <c r="L98" s="26"/>
      <c r="N98" s="60"/>
      <c r="P98" s="32">
        <v>100</v>
      </c>
      <c r="Q98" s="32"/>
      <c r="R98" s="26"/>
    </row>
    <row r="99" spans="2:18">
      <c r="B99" s="26" t="s">
        <v>165</v>
      </c>
      <c r="C99" s="33" t="s">
        <v>166</v>
      </c>
      <c r="F99" s="26"/>
      <c r="H99" s="26" t="s">
        <v>165</v>
      </c>
      <c r="I99" s="33" t="s">
        <v>166</v>
      </c>
      <c r="J99" s="32">
        <v>1</v>
      </c>
      <c r="K99" s="32"/>
      <c r="L99" s="26"/>
      <c r="N99" s="26" t="s">
        <v>165</v>
      </c>
      <c r="O99" s="33" t="s">
        <v>166</v>
      </c>
      <c r="P99" s="32">
        <v>1</v>
      </c>
      <c r="Q99" s="32"/>
      <c r="R99" s="26"/>
    </row>
    <row r="100" spans="2:18">
      <c r="B100" s="60"/>
      <c r="F100" s="15"/>
      <c r="H100" s="60"/>
      <c r="J100" s="32">
        <v>60</v>
      </c>
      <c r="K100" s="32"/>
      <c r="L100" s="26"/>
      <c r="N100" s="60"/>
      <c r="P100" s="32">
        <v>60</v>
      </c>
      <c r="Q100" s="32"/>
      <c r="R100" s="26"/>
    </row>
    <row r="101" spans="2:18">
      <c r="B101" s="48"/>
      <c r="C101" s="57"/>
      <c r="H101" s="48"/>
      <c r="I101" s="57"/>
      <c r="J101" s="42">
        <v>100</v>
      </c>
      <c r="K101" s="42"/>
      <c r="L101" s="15"/>
      <c r="N101" s="48"/>
      <c r="O101" s="57"/>
      <c r="P101" s="42">
        <v>100</v>
      </c>
      <c r="Q101" s="42"/>
      <c r="R101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A318-7E5C-4A61-871B-F3B3903E5C98}">
  <dimension ref="A1:J60"/>
  <sheetViews>
    <sheetView workbookViewId="0">
      <selection activeCell="C13" sqref="C13"/>
    </sheetView>
  </sheetViews>
  <sheetFormatPr defaultRowHeight="14.5"/>
  <cols>
    <col min="1" max="1" width="31" customWidth="1"/>
    <col min="2" max="2" width="24.453125" customWidth="1"/>
    <col min="3" max="3" width="20" customWidth="1"/>
    <col min="4" max="4" width="20.81640625" customWidth="1"/>
    <col min="5" max="5" width="15" customWidth="1"/>
    <col min="6" max="6" width="13" customWidth="1"/>
    <col min="7" max="7" width="14.7265625" customWidth="1"/>
    <col min="8" max="8" width="11.54296875" customWidth="1"/>
    <col min="9" max="9" width="22.453125" customWidth="1"/>
    <col min="10" max="10" width="17.26953125" customWidth="1"/>
  </cols>
  <sheetData>
    <row r="1" spans="1:10" ht="21">
      <c r="A1" s="2" t="s">
        <v>417</v>
      </c>
    </row>
    <row r="2" spans="1:10">
      <c r="A2" s="92" t="s">
        <v>418</v>
      </c>
    </row>
    <row r="3" spans="1:10">
      <c r="A3" s="92" t="s">
        <v>419</v>
      </c>
    </row>
    <row r="5" spans="1:10" ht="16">
      <c r="A5" s="93" t="s">
        <v>420</v>
      </c>
      <c r="J5" s="1"/>
    </row>
    <row r="6" spans="1:10">
      <c r="A6" s="88" t="s">
        <v>421</v>
      </c>
      <c r="B6" s="147">
        <f>B32</f>
        <v>49615.177247449639</v>
      </c>
      <c r="D6" s="148" t="s">
        <v>422</v>
      </c>
      <c r="E6" s="94">
        <f>B58</f>
        <v>51752.357019050876</v>
      </c>
    </row>
    <row r="7" spans="1:10">
      <c r="A7" s="88" t="s">
        <v>423</v>
      </c>
      <c r="B7" s="147">
        <f>B33</f>
        <v>24807.58862372482</v>
      </c>
      <c r="D7" s="148" t="s">
        <v>424</v>
      </c>
      <c r="E7" s="147">
        <f>B59</f>
        <v>25876.178509525438</v>
      </c>
    </row>
    <row r="8" spans="1:10">
      <c r="A8" s="88" t="s">
        <v>425</v>
      </c>
      <c r="B8" s="147">
        <f>B34</f>
        <v>19307.58862372482</v>
      </c>
      <c r="D8" s="88" t="s">
        <v>426</v>
      </c>
      <c r="E8" s="147">
        <f>B60</f>
        <v>18276.178509525438</v>
      </c>
    </row>
    <row r="9" spans="1:10">
      <c r="A9" s="95"/>
    </row>
    <row r="10" spans="1:10">
      <c r="F10" s="1"/>
    </row>
    <row r="12" spans="1:10" ht="16">
      <c r="A12" s="93" t="s">
        <v>427</v>
      </c>
    </row>
    <row r="13" spans="1:10">
      <c r="A13" s="149" t="s">
        <v>428</v>
      </c>
    </row>
    <row r="14" spans="1:10">
      <c r="A14" s="88" t="s">
        <v>429</v>
      </c>
      <c r="B14" s="96">
        <v>5500</v>
      </c>
    </row>
    <row r="15" spans="1:10">
      <c r="A15" s="88" t="s">
        <v>430</v>
      </c>
      <c r="B15" s="96">
        <v>0.5</v>
      </c>
    </row>
    <row r="16" spans="1:10">
      <c r="A16" s="88" t="s">
        <v>431</v>
      </c>
      <c r="B16" s="96">
        <v>0.06</v>
      </c>
    </row>
    <row r="18" spans="1:10">
      <c r="A18" s="149" t="s">
        <v>432</v>
      </c>
      <c r="B18" s="149" t="s">
        <v>433</v>
      </c>
      <c r="C18" s="149" t="s">
        <v>434</v>
      </c>
      <c r="D18" s="149" t="s">
        <v>80</v>
      </c>
      <c r="E18" s="149" t="s">
        <v>435</v>
      </c>
      <c r="F18" s="149" t="s">
        <v>436</v>
      </c>
      <c r="G18" s="149" t="s">
        <v>437</v>
      </c>
      <c r="H18" s="149" t="s">
        <v>23</v>
      </c>
      <c r="I18" s="149" t="s">
        <v>438</v>
      </c>
      <c r="J18" s="149" t="s">
        <v>439</v>
      </c>
    </row>
    <row r="19" spans="1:10">
      <c r="A19" s="88" t="s">
        <v>440</v>
      </c>
      <c r="B19" s="97" t="s">
        <v>441</v>
      </c>
      <c r="C19" s="98"/>
      <c r="D19" s="98"/>
      <c r="E19" s="98"/>
      <c r="F19" s="98"/>
      <c r="G19" s="98"/>
      <c r="H19" s="98">
        <v>0.99</v>
      </c>
      <c r="I19" s="99">
        <f t="shared" ref="I19:I26" si="0">IF(B19="range",(C19/D19)*(F19/E19),IF(B19="endurance",(C19/D19)*G19,0))</f>
        <v>0</v>
      </c>
      <c r="J19" s="99">
        <f t="shared" ref="J19:J26" si="1">IF(OR(B19="range",B19="endurance"),EXP(-I19),H19)</f>
        <v>0.99</v>
      </c>
    </row>
    <row r="20" spans="1:10">
      <c r="A20" s="88" t="s">
        <v>442</v>
      </c>
      <c r="B20" s="97" t="s">
        <v>441</v>
      </c>
      <c r="C20" s="98"/>
      <c r="D20" s="98"/>
      <c r="E20" s="98"/>
      <c r="F20" s="98"/>
      <c r="G20" s="98"/>
      <c r="H20" s="98">
        <v>0.995</v>
      </c>
      <c r="I20" s="99">
        <f t="shared" si="0"/>
        <v>0</v>
      </c>
      <c r="J20" s="99">
        <f t="shared" si="1"/>
        <v>0.995</v>
      </c>
    </row>
    <row r="21" spans="1:10">
      <c r="A21" s="88" t="s">
        <v>443</v>
      </c>
      <c r="B21" s="97" t="s">
        <v>441</v>
      </c>
      <c r="C21" s="98"/>
      <c r="D21" s="98"/>
      <c r="E21" s="98"/>
      <c r="F21" s="98"/>
      <c r="G21" s="98"/>
      <c r="H21" s="98">
        <v>0.98</v>
      </c>
      <c r="I21" s="99">
        <f t="shared" si="0"/>
        <v>0</v>
      </c>
      <c r="J21" s="99">
        <f t="shared" si="1"/>
        <v>0.98</v>
      </c>
    </row>
    <row r="22" spans="1:10">
      <c r="A22" s="88" t="s">
        <v>444</v>
      </c>
      <c r="B22" s="97" t="s">
        <v>445</v>
      </c>
      <c r="C22" s="100">
        <v>0.8</v>
      </c>
      <c r="D22" s="100">
        <v>11</v>
      </c>
      <c r="E22" s="98">
        <v>500</v>
      </c>
      <c r="F22" s="98">
        <v>1000</v>
      </c>
      <c r="G22" s="98"/>
      <c r="H22" s="98"/>
      <c r="I22" s="99">
        <f t="shared" si="0"/>
        <v>0.14545454545454548</v>
      </c>
      <c r="J22" s="99">
        <f t="shared" si="1"/>
        <v>0.86462919050759635</v>
      </c>
    </row>
    <row r="23" spans="1:10">
      <c r="A23" s="88" t="s">
        <v>446</v>
      </c>
      <c r="B23" s="97" t="s">
        <v>447</v>
      </c>
      <c r="C23" s="100">
        <v>2.2000000000000002</v>
      </c>
      <c r="D23" s="100">
        <v>5</v>
      </c>
      <c r="E23" s="98"/>
      <c r="F23" s="98"/>
      <c r="G23" s="101">
        <v>8.3333333333333329E-2</v>
      </c>
      <c r="H23" s="98"/>
      <c r="I23" s="99">
        <f t="shared" si="0"/>
        <v>3.6666666666666667E-2</v>
      </c>
      <c r="J23" s="99">
        <f t="shared" si="1"/>
        <v>0.96399741427101537</v>
      </c>
    </row>
    <row r="24" spans="1:10">
      <c r="A24" s="88" t="s">
        <v>448</v>
      </c>
      <c r="B24" s="97" t="s">
        <v>445</v>
      </c>
      <c r="C24" s="100">
        <v>0.8</v>
      </c>
      <c r="D24" s="100">
        <v>11</v>
      </c>
      <c r="E24" s="98">
        <v>500</v>
      </c>
      <c r="F24" s="98">
        <v>1000</v>
      </c>
      <c r="G24" s="98"/>
      <c r="H24" s="98"/>
      <c r="I24" s="99">
        <f t="shared" si="0"/>
        <v>0.14545454545454548</v>
      </c>
      <c r="J24" s="99">
        <f t="shared" si="1"/>
        <v>0.86462919050759635</v>
      </c>
    </row>
    <row r="25" spans="1:10">
      <c r="A25" s="88" t="s">
        <v>449</v>
      </c>
      <c r="B25" s="97" t="s">
        <v>441</v>
      </c>
      <c r="C25" s="100"/>
      <c r="D25" s="100"/>
      <c r="E25" s="98"/>
      <c r="F25" s="98"/>
      <c r="G25" s="98"/>
      <c r="H25" s="98">
        <v>1</v>
      </c>
      <c r="I25" s="99">
        <f t="shared" si="0"/>
        <v>0</v>
      </c>
      <c r="J25" s="99">
        <f t="shared" si="1"/>
        <v>1</v>
      </c>
    </row>
    <row r="26" spans="1:10">
      <c r="A26" s="88" t="s">
        <v>450</v>
      </c>
      <c r="B26" s="97" t="s">
        <v>447</v>
      </c>
      <c r="C26" s="100">
        <v>0.8</v>
      </c>
      <c r="D26" s="100">
        <v>11</v>
      </c>
      <c r="E26" s="98"/>
      <c r="F26" s="98"/>
      <c r="G26" s="98">
        <v>0.5</v>
      </c>
      <c r="H26" s="98"/>
      <c r="I26" s="99">
        <f t="shared" si="0"/>
        <v>3.6363636363636369E-2</v>
      </c>
      <c r="J26" s="99">
        <f t="shared" si="1"/>
        <v>0.96428957896472445</v>
      </c>
    </row>
    <row r="28" spans="1:10">
      <c r="A28" s="149" t="s">
        <v>451</v>
      </c>
    </row>
    <row r="29" spans="1:10">
      <c r="A29" s="88" t="s">
        <v>452</v>
      </c>
      <c r="B29" s="147">
        <f>PRODUCT(J19:J26)</f>
        <v>0.67085317649011755</v>
      </c>
    </row>
    <row r="30" spans="1:10">
      <c r="A30" s="88" t="s">
        <v>453</v>
      </c>
      <c r="B30" s="147">
        <f>1-B29</f>
        <v>0.32914682350988245</v>
      </c>
    </row>
    <row r="31" spans="1:10">
      <c r="A31" s="88" t="s">
        <v>454</v>
      </c>
      <c r="B31" s="147">
        <f>B30+B16</f>
        <v>0.38914682350988244</v>
      </c>
    </row>
    <row r="32" spans="1:10">
      <c r="A32" s="88" t="s">
        <v>455</v>
      </c>
      <c r="B32" s="147">
        <f>B14/(1-B15-B31)</f>
        <v>49615.177247449639</v>
      </c>
    </row>
    <row r="33" spans="1:10">
      <c r="A33" s="88" t="s">
        <v>456</v>
      </c>
      <c r="B33" s="147">
        <f>B15*B32</f>
        <v>24807.58862372482</v>
      </c>
      <c r="F33" s="1"/>
    </row>
    <row r="34" spans="1:10">
      <c r="A34" s="88" t="s">
        <v>457</v>
      </c>
      <c r="B34" s="147">
        <f>B31*B32</f>
        <v>19307.58862372482</v>
      </c>
    </row>
    <row r="37" spans="1:10" ht="16">
      <c r="A37" s="93" t="s">
        <v>458</v>
      </c>
    </row>
    <row r="38" spans="1:10">
      <c r="A38" s="149" t="s">
        <v>459</v>
      </c>
    </row>
    <row r="39" spans="1:10">
      <c r="A39" s="88" t="s">
        <v>429</v>
      </c>
      <c r="B39" s="150">
        <v>7600</v>
      </c>
    </row>
    <row r="40" spans="1:10">
      <c r="A40" s="88" t="s">
        <v>430</v>
      </c>
      <c r="B40" s="150">
        <v>0.5</v>
      </c>
    </row>
    <row r="41" spans="1:10">
      <c r="A41" s="88" t="s">
        <v>431</v>
      </c>
      <c r="B41" s="150">
        <v>0.06</v>
      </c>
    </row>
    <row r="43" spans="1:10">
      <c r="A43" s="149" t="s">
        <v>432</v>
      </c>
      <c r="B43" s="149" t="s">
        <v>433</v>
      </c>
      <c r="C43" s="149" t="s">
        <v>434</v>
      </c>
      <c r="D43" s="149" t="s">
        <v>80</v>
      </c>
      <c r="E43" s="149" t="s">
        <v>435</v>
      </c>
      <c r="F43" s="149" t="s">
        <v>436</v>
      </c>
      <c r="G43" s="149" t="s">
        <v>437</v>
      </c>
      <c r="H43" s="149" t="s">
        <v>23</v>
      </c>
      <c r="I43" s="149" t="s">
        <v>438</v>
      </c>
      <c r="J43" s="149" t="s">
        <v>439</v>
      </c>
    </row>
    <row r="44" spans="1:10">
      <c r="A44" s="88" t="s">
        <v>440</v>
      </c>
      <c r="B44" s="97" t="s">
        <v>441</v>
      </c>
      <c r="C44" s="98"/>
      <c r="D44" s="98"/>
      <c r="E44" s="98"/>
      <c r="F44" s="98"/>
      <c r="G44" s="98"/>
      <c r="H44" s="98">
        <v>0.99</v>
      </c>
      <c r="I44" s="99">
        <f t="shared" ref="I44:I52" si="2">IF(B44="range",(C44/D44)*(F44/E44),IF(B44="endurance",(C44/D44)*G44,0))</f>
        <v>0</v>
      </c>
      <c r="J44" s="99">
        <f t="shared" ref="J44:J52" si="3">IF(OR(B44="range",B44="endurance"),EXP(-I44),H44)</f>
        <v>0.99</v>
      </c>
    </row>
    <row r="45" spans="1:10">
      <c r="A45" s="88" t="s">
        <v>442</v>
      </c>
      <c r="B45" s="97" t="s">
        <v>441</v>
      </c>
      <c r="C45" s="98"/>
      <c r="D45" s="98"/>
      <c r="E45" s="98"/>
      <c r="F45" s="98"/>
      <c r="G45" s="98"/>
      <c r="H45" s="98">
        <v>0.995</v>
      </c>
      <c r="I45" s="99">
        <f t="shared" si="2"/>
        <v>0</v>
      </c>
      <c r="J45" s="99">
        <f t="shared" si="3"/>
        <v>0.995</v>
      </c>
    </row>
    <row r="46" spans="1:10">
      <c r="A46" s="88" t="s">
        <v>443</v>
      </c>
      <c r="B46" s="97" t="s">
        <v>441</v>
      </c>
      <c r="C46" s="98"/>
      <c r="D46" s="98"/>
      <c r="E46" s="98"/>
      <c r="F46" s="98"/>
      <c r="G46" s="98"/>
      <c r="H46" s="98">
        <v>0.98</v>
      </c>
      <c r="I46" s="99">
        <f t="shared" si="2"/>
        <v>0</v>
      </c>
      <c r="J46" s="99">
        <f t="shared" si="3"/>
        <v>0.98</v>
      </c>
    </row>
    <row r="47" spans="1:10">
      <c r="A47" s="88" t="s">
        <v>444</v>
      </c>
      <c r="B47" s="97" t="s">
        <v>445</v>
      </c>
      <c r="C47" s="100">
        <v>0.8</v>
      </c>
      <c r="D47" s="100">
        <v>9</v>
      </c>
      <c r="E47" s="98">
        <v>500</v>
      </c>
      <c r="F47" s="98">
        <v>650</v>
      </c>
      <c r="G47" s="98"/>
      <c r="H47" s="98"/>
      <c r="I47" s="99">
        <f t="shared" si="2"/>
        <v>0.11555555555555556</v>
      </c>
      <c r="J47" s="99">
        <f t="shared" si="3"/>
        <v>0.89087107802458354</v>
      </c>
    </row>
    <row r="48" spans="1:10">
      <c r="A48" s="88" t="s">
        <v>460</v>
      </c>
      <c r="B48" s="97" t="s">
        <v>445</v>
      </c>
      <c r="C48" s="100">
        <v>1.3</v>
      </c>
      <c r="D48" s="100">
        <v>6</v>
      </c>
      <c r="E48" s="98">
        <v>600</v>
      </c>
      <c r="F48" s="98">
        <v>50</v>
      </c>
      <c r="G48" s="98"/>
      <c r="H48" s="98"/>
      <c r="I48" s="99">
        <f t="shared" si="2"/>
        <v>1.8055555555555554E-2</v>
      </c>
      <c r="J48" s="99">
        <f t="shared" si="3"/>
        <v>0.98210646937215562</v>
      </c>
    </row>
    <row r="49" spans="1:10">
      <c r="A49" s="88" t="s">
        <v>461</v>
      </c>
      <c r="B49" s="97" t="s">
        <v>445</v>
      </c>
      <c r="C49" s="100">
        <v>1.3</v>
      </c>
      <c r="D49" s="100">
        <v>6</v>
      </c>
      <c r="E49" s="98">
        <v>600</v>
      </c>
      <c r="F49" s="98">
        <v>50</v>
      </c>
      <c r="G49" s="98"/>
      <c r="H49" s="98"/>
      <c r="I49" s="99">
        <f t="shared" si="2"/>
        <v>1.8055555555555554E-2</v>
      </c>
      <c r="J49" s="99">
        <f t="shared" si="3"/>
        <v>0.98210646937215562</v>
      </c>
    </row>
    <row r="50" spans="1:10">
      <c r="A50" s="88" t="s">
        <v>448</v>
      </c>
      <c r="B50" s="97" t="s">
        <v>445</v>
      </c>
      <c r="C50" s="100">
        <v>0.8</v>
      </c>
      <c r="D50" s="100">
        <v>9</v>
      </c>
      <c r="E50" s="98">
        <v>500</v>
      </c>
      <c r="F50" s="98">
        <v>650</v>
      </c>
      <c r="G50" s="98"/>
      <c r="H50" s="98"/>
      <c r="I50" s="99">
        <f t="shared" si="2"/>
        <v>0.11555555555555556</v>
      </c>
      <c r="J50" s="99">
        <f t="shared" si="3"/>
        <v>0.89087107802458354</v>
      </c>
    </row>
    <row r="51" spans="1:10">
      <c r="A51" s="88" t="s">
        <v>449</v>
      </c>
      <c r="B51" s="97" t="s">
        <v>441</v>
      </c>
      <c r="C51" s="100"/>
      <c r="D51" s="100"/>
      <c r="E51" s="98"/>
      <c r="F51" s="98"/>
      <c r="G51" s="98"/>
      <c r="H51" s="98">
        <v>1</v>
      </c>
      <c r="I51" s="99">
        <f t="shared" si="2"/>
        <v>0</v>
      </c>
      <c r="J51" s="99">
        <f t="shared" si="3"/>
        <v>1</v>
      </c>
    </row>
    <row r="52" spans="1:10">
      <c r="A52" s="88" t="s">
        <v>450</v>
      </c>
      <c r="B52" s="97" t="s">
        <v>447</v>
      </c>
      <c r="C52" s="100">
        <v>0.8</v>
      </c>
      <c r="D52" s="100">
        <v>9</v>
      </c>
      <c r="E52" s="98"/>
      <c r="F52" s="98"/>
      <c r="G52" s="98">
        <v>0.5</v>
      </c>
      <c r="H52" s="98"/>
      <c r="I52" s="99">
        <f t="shared" si="2"/>
        <v>4.4444444444444446E-2</v>
      </c>
      <c r="J52" s="99">
        <f t="shared" si="3"/>
        <v>0.95652873910302927</v>
      </c>
    </row>
    <row r="54" spans="1:10">
      <c r="A54" s="149" t="s">
        <v>462</v>
      </c>
    </row>
    <row r="55" spans="1:10">
      <c r="A55" s="88" t="s">
        <v>452</v>
      </c>
      <c r="B55" s="147">
        <f>PRODUCT(J44:J52)</f>
        <v>0.70685321476666885</v>
      </c>
    </row>
    <row r="56" spans="1:10">
      <c r="A56" s="88" t="s">
        <v>453</v>
      </c>
      <c r="B56" s="147">
        <f>1-B55</f>
        <v>0.29314678523333115</v>
      </c>
    </row>
    <row r="57" spans="1:10">
      <c r="A57" s="88" t="s">
        <v>454</v>
      </c>
      <c r="B57" s="147">
        <f>B56+B41</f>
        <v>0.35314678523333115</v>
      </c>
    </row>
    <row r="58" spans="1:10">
      <c r="A58" s="88" t="s">
        <v>455</v>
      </c>
      <c r="B58" s="147">
        <f>B39/(1-B40-B57)</f>
        <v>51752.357019050876</v>
      </c>
    </row>
    <row r="59" spans="1:10">
      <c r="A59" s="88" t="s">
        <v>456</v>
      </c>
      <c r="B59" s="147">
        <f>B40*B58</f>
        <v>25876.178509525438</v>
      </c>
    </row>
    <row r="60" spans="1:10">
      <c r="A60" s="88" t="s">
        <v>457</v>
      </c>
      <c r="B60" s="147">
        <f>B57*B58</f>
        <v>18276.178509525438</v>
      </c>
    </row>
  </sheetData>
  <dataValidations count="1">
    <dataValidation type="list" allowBlank="1" showInputMessage="1" showErrorMessage="1" sqref="B19:B26 B44:B52" xr:uid="{EC658A7B-DE1C-46A7-BA24-2B104A2E9E0E}">
      <formula1>"range,endurance,discrete"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C350-AFA9-4816-A176-CC73550D3B46}">
  <dimension ref="A1"/>
  <sheetViews>
    <sheetView workbookViewId="0">
      <selection activeCell="L21" sqref="L21"/>
    </sheetView>
  </sheetViews>
  <sheetFormatPr defaultRowHeight="14.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9D61-E18E-4A16-959B-2857C9BF2ECF}">
  <dimension ref="A1:R85"/>
  <sheetViews>
    <sheetView tabSelected="1" topLeftCell="A58" workbookViewId="0">
      <selection activeCell="D67" sqref="D67:D68"/>
    </sheetView>
  </sheetViews>
  <sheetFormatPr defaultRowHeight="14.5"/>
  <cols>
    <col min="1" max="1" width="36.54296875" bestFit="1" customWidth="1"/>
    <col min="3" max="3" width="26.54296875" bestFit="1" customWidth="1"/>
    <col min="4" max="4" width="12.26953125" bestFit="1" customWidth="1"/>
    <col min="5" max="5" width="28" bestFit="1" customWidth="1"/>
    <col min="6" max="6" width="12.26953125" bestFit="1" customWidth="1"/>
    <col min="7" max="7" width="12.453125" bestFit="1" customWidth="1"/>
  </cols>
  <sheetData>
    <row r="1" spans="1:18" ht="37">
      <c r="A1" s="83" t="s">
        <v>463</v>
      </c>
      <c r="B1" s="82"/>
      <c r="C1" s="82"/>
    </row>
    <row r="2" spans="1:18">
      <c r="A2" s="182"/>
      <c r="B2" s="10"/>
      <c r="C2" s="10"/>
    </row>
    <row r="3" spans="1:18">
      <c r="A3" s="80" t="s">
        <v>464</v>
      </c>
      <c r="B3" s="10"/>
      <c r="C3" s="10"/>
    </row>
    <row r="4" spans="1:18">
      <c r="A4" s="183" t="s">
        <v>465</v>
      </c>
      <c r="B4" s="10"/>
      <c r="C4" s="184" t="s">
        <v>466</v>
      </c>
    </row>
    <row r="5" spans="1:18">
      <c r="A5" s="81" t="s">
        <v>45</v>
      </c>
      <c r="B5" s="79" t="s">
        <v>47</v>
      </c>
      <c r="C5" s="79" t="s">
        <v>48</v>
      </c>
      <c r="P5">
        <v>167.24</v>
      </c>
      <c r="R5">
        <v>374</v>
      </c>
    </row>
    <row r="6" spans="1:18">
      <c r="A6" s="185" t="s">
        <v>467</v>
      </c>
      <c r="B6" s="186" t="s">
        <v>62</v>
      </c>
      <c r="C6" s="197">
        <v>457</v>
      </c>
      <c r="D6">
        <v>377.81</v>
      </c>
      <c r="E6" s="188" t="s">
        <v>468</v>
      </c>
      <c r="F6" s="189">
        <f>(C7)^2/(C6)</f>
        <v>4.4310722100656452</v>
      </c>
      <c r="H6" s="10"/>
    </row>
    <row r="7" spans="1:18">
      <c r="A7" s="185" t="s">
        <v>469</v>
      </c>
      <c r="B7" s="186" t="s">
        <v>86</v>
      </c>
      <c r="C7" s="197">
        <v>45</v>
      </c>
      <c r="D7">
        <v>40</v>
      </c>
      <c r="E7" s="190" t="s">
        <v>470</v>
      </c>
      <c r="F7" s="186">
        <f>(C7)*12/2</f>
        <v>270</v>
      </c>
      <c r="H7">
        <f>'Structural Weight-MatProperties'!K233</f>
        <v>12.268293085455028</v>
      </c>
    </row>
    <row r="8" spans="1:18">
      <c r="A8" s="185" t="s">
        <v>471</v>
      </c>
      <c r="B8" s="191" t="s">
        <v>57</v>
      </c>
      <c r="C8" s="197">
        <v>0.5</v>
      </c>
      <c r="D8">
        <v>0.33</v>
      </c>
      <c r="E8" s="190" t="s">
        <v>472</v>
      </c>
      <c r="F8" s="186">
        <f>2*C6/(C7*(1+C8))</f>
        <v>13.540740740740741</v>
      </c>
    </row>
    <row r="9" spans="1:18">
      <c r="A9" s="185" t="s">
        <v>473</v>
      </c>
      <c r="B9" s="186" t="s">
        <v>114</v>
      </c>
      <c r="C9" s="197">
        <v>20</v>
      </c>
      <c r="E9" s="190" t="s">
        <v>474</v>
      </c>
      <c r="F9" s="186">
        <f>12*F8</f>
        <v>162.48888888888888</v>
      </c>
    </row>
    <row r="10" spans="1:18">
      <c r="A10" s="185" t="s">
        <v>475</v>
      </c>
      <c r="B10" s="186" t="s">
        <v>91</v>
      </c>
      <c r="C10" s="198">
        <v>315</v>
      </c>
      <c r="E10" s="190" t="s">
        <v>476</v>
      </c>
      <c r="F10" s="186">
        <f>C8*F9</f>
        <v>81.24444444444444</v>
      </c>
    </row>
    <row r="11" spans="1:18">
      <c r="A11" s="182"/>
      <c r="B11" s="10"/>
      <c r="C11" s="10"/>
      <c r="E11" s="190" t="s">
        <v>477</v>
      </c>
      <c r="F11" s="186">
        <f>12*(2/3*F8*((1+C8+C8^2)/(1+C8)))</f>
        <v>126.38024691358027</v>
      </c>
    </row>
    <row r="12" spans="1:18">
      <c r="E12" s="190" t="s">
        <v>478</v>
      </c>
      <c r="F12" s="186">
        <f>12*((C7)/6*((1+2*C8)/(1+C8)))</f>
        <v>120</v>
      </c>
    </row>
    <row r="13" spans="1:18">
      <c r="E13" s="190" t="s">
        <v>479</v>
      </c>
      <c r="F13" s="186">
        <f>TAN(RADIANS(C9))</f>
        <v>0.36397023426620234</v>
      </c>
    </row>
    <row r="14" spans="1:18">
      <c r="A14" s="158"/>
      <c r="C14" s="1"/>
      <c r="E14" s="190" t="s">
        <v>480</v>
      </c>
      <c r="F14" s="186">
        <f>C10+F13*F12</f>
        <v>358.67642811194429</v>
      </c>
    </row>
    <row r="15" spans="1:18">
      <c r="E15" s="192" t="s">
        <v>481</v>
      </c>
      <c r="F15" s="193">
        <f>F14+F11</f>
        <v>485.05667502552456</v>
      </c>
    </row>
    <row r="16" spans="1:18">
      <c r="E16" s="15" t="s">
        <v>482</v>
      </c>
      <c r="F16" s="15">
        <f>F10/12</f>
        <v>6.7703703703703697</v>
      </c>
    </row>
    <row r="17" spans="1:7" ht="29">
      <c r="A17" s="80" t="s">
        <v>483</v>
      </c>
      <c r="B17" s="10"/>
      <c r="C17" s="10"/>
      <c r="D17" s="10"/>
      <c r="E17" s="10"/>
      <c r="F17" s="10"/>
      <c r="G17" s="10"/>
    </row>
    <row r="18" spans="1:7">
      <c r="A18" s="81" t="s">
        <v>484</v>
      </c>
      <c r="B18" s="79" t="s">
        <v>485</v>
      </c>
      <c r="C18" s="79" t="s">
        <v>486</v>
      </c>
      <c r="D18" s="79" t="s">
        <v>487</v>
      </c>
      <c r="E18" s="79" t="s">
        <v>488</v>
      </c>
      <c r="F18" s="79" t="s">
        <v>489</v>
      </c>
      <c r="G18" s="79" t="s">
        <v>490</v>
      </c>
    </row>
    <row r="19" spans="1:7">
      <c r="A19" s="185" t="s">
        <v>491</v>
      </c>
      <c r="B19" s="186">
        <f>F7*0</f>
        <v>0</v>
      </c>
      <c r="C19" s="186">
        <f>F9 - (F9-F10)*(B19/F7)</f>
        <v>162.48888888888888</v>
      </c>
      <c r="D19" s="186">
        <f>C10+F13*B19</f>
        <v>315</v>
      </c>
      <c r="E19" s="186">
        <f>D19+0.25*C19</f>
        <v>355.62222222222221</v>
      </c>
      <c r="F19" s="186">
        <f>D19+0.5*C19</f>
        <v>396.24444444444441</v>
      </c>
      <c r="G19" s="199">
        <f>D19+C19</f>
        <v>477.48888888888888</v>
      </c>
    </row>
    <row r="20" spans="1:7">
      <c r="A20" s="185" t="s">
        <v>492</v>
      </c>
      <c r="B20" s="186">
        <f>F7*0.25</f>
        <v>67.5</v>
      </c>
      <c r="C20" s="186">
        <f>F9 - (F9-F10)*(B20/F7)</f>
        <v>142.17777777777778</v>
      </c>
      <c r="D20" s="186">
        <f>C10+F13*B20</f>
        <v>339.56799081296867</v>
      </c>
      <c r="E20" s="186">
        <f t="shared" ref="E20:E23" si="0">D20+0.25*C20</f>
        <v>375.1124352574131</v>
      </c>
      <c r="F20" s="186">
        <f t="shared" ref="F20:F23" si="1">D20+0.5*C20</f>
        <v>410.65687970185758</v>
      </c>
      <c r="G20" s="199">
        <f t="shared" ref="G20:G23" si="2">D20+C20</f>
        <v>481.74576859074648</v>
      </c>
    </row>
    <row r="21" spans="1:7">
      <c r="A21" s="185" t="s">
        <v>493</v>
      </c>
      <c r="B21" s="186">
        <f>F7*0.5</f>
        <v>135</v>
      </c>
      <c r="C21" s="186">
        <f>F9 - (F9-F10)*(B21/F7)</f>
        <v>121.86666666666666</v>
      </c>
      <c r="D21" s="186">
        <f>C10+F13*B21</f>
        <v>364.13598162593735</v>
      </c>
      <c r="E21" s="186">
        <f t="shared" si="0"/>
        <v>394.60264829260399</v>
      </c>
      <c r="F21" s="186">
        <f t="shared" si="1"/>
        <v>425.06931495927068</v>
      </c>
      <c r="G21" s="199">
        <f t="shared" si="2"/>
        <v>486.00264829260402</v>
      </c>
    </row>
    <row r="22" spans="1:7">
      <c r="A22" s="185" t="s">
        <v>494</v>
      </c>
      <c r="B22" s="186">
        <f>F7*0.75</f>
        <v>202.5</v>
      </c>
      <c r="C22" s="186">
        <f>F9 - (F9-F10)*(B22/F7)</f>
        <v>101.55555555555554</v>
      </c>
      <c r="D22" s="186">
        <f>C10+F13*B22</f>
        <v>388.70397243890596</v>
      </c>
      <c r="E22" s="186">
        <f t="shared" si="0"/>
        <v>414.09286132779482</v>
      </c>
      <c r="F22" s="186">
        <f t="shared" si="1"/>
        <v>439.48175021668374</v>
      </c>
      <c r="G22" s="199">
        <f t="shared" si="2"/>
        <v>490.25952799446151</v>
      </c>
    </row>
    <row r="23" spans="1:7">
      <c r="A23" s="185" t="s">
        <v>495</v>
      </c>
      <c r="B23" s="186">
        <f>F7*1</f>
        <v>270</v>
      </c>
      <c r="C23" s="186">
        <f>F9 - (F9-F10)*(B23/F7)</f>
        <v>81.24444444444444</v>
      </c>
      <c r="D23" s="186">
        <f>C10+F13*B23</f>
        <v>413.27196325187464</v>
      </c>
      <c r="E23" s="186">
        <f t="shared" si="0"/>
        <v>433.58307436298577</v>
      </c>
      <c r="F23" s="186">
        <f t="shared" si="1"/>
        <v>453.89418547409684</v>
      </c>
      <c r="G23" s="199">
        <f t="shared" si="2"/>
        <v>494.51640769631911</v>
      </c>
    </row>
    <row r="26" spans="1:7">
      <c r="A26" s="183" t="s">
        <v>496</v>
      </c>
      <c r="B26" s="10"/>
      <c r="C26" s="10"/>
      <c r="D26" s="10"/>
      <c r="E26" s="10"/>
      <c r="F26" s="10"/>
      <c r="G26" s="10"/>
    </row>
    <row r="27" spans="1:7" ht="43.5">
      <c r="A27" s="80" t="s">
        <v>497</v>
      </c>
      <c r="B27" s="55"/>
      <c r="C27" s="55"/>
      <c r="D27" s="55"/>
      <c r="E27" s="10"/>
      <c r="F27" s="10"/>
      <c r="G27" s="10"/>
    </row>
    <row r="28" spans="1:7">
      <c r="A28" s="182"/>
      <c r="B28" s="10"/>
      <c r="C28" s="10"/>
      <c r="D28" s="10"/>
      <c r="E28" s="10"/>
      <c r="F28" s="10"/>
      <c r="G28" s="10"/>
    </row>
    <row r="29" spans="1:7">
      <c r="A29" s="81" t="s">
        <v>45</v>
      </c>
      <c r="B29" s="79" t="s">
        <v>47</v>
      </c>
      <c r="C29" s="79" t="s">
        <v>48</v>
      </c>
      <c r="D29" s="10"/>
      <c r="E29" s="55" t="s">
        <v>498</v>
      </c>
      <c r="F29" s="55"/>
      <c r="G29" s="10"/>
    </row>
    <row r="30" spans="1:7">
      <c r="A30" s="185" t="s">
        <v>499</v>
      </c>
      <c r="B30" s="186" t="s">
        <v>62</v>
      </c>
      <c r="C30" s="187">
        <v>110</v>
      </c>
      <c r="D30" s="10">
        <v>75.81</v>
      </c>
      <c r="E30" s="188" t="s">
        <v>500</v>
      </c>
      <c r="F30" s="189">
        <f>(C31)^2/(C30)</f>
        <v>3.2818181818181817</v>
      </c>
      <c r="G30" s="10"/>
    </row>
    <row r="31" spans="1:7">
      <c r="A31" s="185" t="s">
        <v>501</v>
      </c>
      <c r="B31" s="186" t="s">
        <v>86</v>
      </c>
      <c r="C31" s="187">
        <v>19</v>
      </c>
      <c r="D31" s="10">
        <v>17.5</v>
      </c>
      <c r="E31" s="190" t="s">
        <v>470</v>
      </c>
      <c r="F31" s="186">
        <f>(C31)*12/2</f>
        <v>114</v>
      </c>
      <c r="G31" s="10"/>
    </row>
    <row r="32" spans="1:7">
      <c r="A32" s="185" t="s">
        <v>502</v>
      </c>
      <c r="B32" s="191" t="s">
        <v>57</v>
      </c>
      <c r="C32" s="187">
        <v>0.5</v>
      </c>
      <c r="D32" s="10"/>
      <c r="E32" s="190" t="s">
        <v>503</v>
      </c>
      <c r="F32" s="186">
        <f>2*C30/(C31*(1+C32))</f>
        <v>7.7192982456140351</v>
      </c>
      <c r="G32" s="10"/>
    </row>
    <row r="33" spans="1:11">
      <c r="A33" s="185" t="s">
        <v>504</v>
      </c>
      <c r="B33" s="186" t="s">
        <v>114</v>
      </c>
      <c r="C33" s="187">
        <v>29</v>
      </c>
      <c r="D33" s="10"/>
      <c r="E33" s="190" t="s">
        <v>505</v>
      </c>
      <c r="F33" s="186">
        <f>12*F32</f>
        <v>92.631578947368425</v>
      </c>
      <c r="G33" s="10"/>
    </row>
    <row r="34" spans="1:11">
      <c r="A34" s="185" t="s">
        <v>506</v>
      </c>
      <c r="B34" s="186" t="s">
        <v>91</v>
      </c>
      <c r="C34" s="187">
        <v>18.702999999999999</v>
      </c>
      <c r="D34" s="10"/>
      <c r="E34" s="190" t="s">
        <v>507</v>
      </c>
      <c r="F34" s="186">
        <f>C32*F33</f>
        <v>46.315789473684212</v>
      </c>
      <c r="G34" s="10"/>
    </row>
    <row r="35" spans="1:11">
      <c r="A35" s="185" t="s">
        <v>508</v>
      </c>
      <c r="B35" s="186" t="s">
        <v>91</v>
      </c>
      <c r="C35" s="187">
        <v>216.96</v>
      </c>
      <c r="D35" s="10">
        <v>216.96</v>
      </c>
      <c r="E35" s="190" t="s">
        <v>509</v>
      </c>
      <c r="F35" s="186">
        <f>12*(2/3*F32*((1+C32+C32^2)/(1+C32)))</f>
        <v>72.046783625730995</v>
      </c>
      <c r="G35" s="10"/>
    </row>
    <row r="36" spans="1:11">
      <c r="A36" s="185" t="s">
        <v>510</v>
      </c>
      <c r="B36" s="186" t="s">
        <v>62</v>
      </c>
      <c r="C36" s="187">
        <f>C6</f>
        <v>457</v>
      </c>
      <c r="D36" s="10"/>
      <c r="E36" s="190" t="s">
        <v>511</v>
      </c>
      <c r="F36" s="186">
        <f>12*((C31)/6*((1+2*C32)/(1+C32)))</f>
        <v>50.666666666666657</v>
      </c>
      <c r="G36" s="10"/>
    </row>
    <row r="37" spans="1:11">
      <c r="A37" s="185" t="s">
        <v>512</v>
      </c>
      <c r="B37" s="186" t="s">
        <v>91</v>
      </c>
      <c r="C37" s="187">
        <f>F11</f>
        <v>126.38024691358027</v>
      </c>
      <c r="D37" s="10"/>
      <c r="E37" s="190" t="s">
        <v>513</v>
      </c>
      <c r="F37" s="186">
        <f>TAN(RADIANS(C33))</f>
        <v>0.55430905145276899</v>
      </c>
      <c r="G37" s="10"/>
    </row>
    <row r="38" spans="1:11">
      <c r="A38" s="182"/>
      <c r="B38" s="10"/>
      <c r="C38" s="10"/>
      <c r="D38" s="10"/>
      <c r="E38" s="190" t="s">
        <v>514</v>
      </c>
      <c r="F38" s="186">
        <f>C34+F37*F36</f>
        <v>46.787991940273628</v>
      </c>
      <c r="G38" s="10"/>
    </row>
    <row r="39" spans="1:11">
      <c r="A39" s="182"/>
      <c r="B39" s="10"/>
      <c r="C39" s="10"/>
      <c r="D39" s="10"/>
      <c r="E39" s="192" t="s">
        <v>515</v>
      </c>
      <c r="F39" s="193">
        <f>F38+F35</f>
        <v>118.83477556600462</v>
      </c>
      <c r="G39" s="10"/>
    </row>
    <row r="40" spans="1:11">
      <c r="A40" s="182"/>
      <c r="B40" s="10"/>
      <c r="C40" s="10"/>
      <c r="D40" s="10"/>
      <c r="E40" s="166" t="s">
        <v>516</v>
      </c>
      <c r="F40" s="166">
        <f>(C30*(C35))/(C6*(F11))</f>
        <v>0.41321583673234868</v>
      </c>
      <c r="G40" s="10"/>
      <c r="J40" s="259" t="s">
        <v>517</v>
      </c>
      <c r="K40" s="259"/>
    </row>
    <row r="41" spans="1:11" ht="29">
      <c r="A41" s="80" t="s">
        <v>518</v>
      </c>
      <c r="B41" s="55"/>
      <c r="C41" s="10"/>
      <c r="D41" s="10"/>
      <c r="E41" s="10"/>
      <c r="F41" s="10"/>
      <c r="G41" s="10"/>
      <c r="J41" s="15" t="s">
        <v>519</v>
      </c>
      <c r="K41" s="15" t="s">
        <v>520</v>
      </c>
    </row>
    <row r="42" spans="1:11">
      <c r="A42" s="81" t="s">
        <v>484</v>
      </c>
      <c r="B42" s="79" t="s">
        <v>485</v>
      </c>
      <c r="C42" s="79" t="s">
        <v>521</v>
      </c>
      <c r="D42" s="79" t="s">
        <v>522</v>
      </c>
      <c r="E42" s="79" t="s">
        <v>523</v>
      </c>
      <c r="F42" s="79" t="s">
        <v>524</v>
      </c>
      <c r="G42" s="79" t="s">
        <v>525</v>
      </c>
      <c r="J42" s="15">
        <f>B53+ D43</f>
        <v>561.13480199363289</v>
      </c>
      <c r="K42" s="15">
        <f>B53 + G43</f>
        <v>653.76638094100133</v>
      </c>
    </row>
    <row r="43" spans="1:11">
      <c r="A43" s="185" t="s">
        <v>526</v>
      </c>
      <c r="B43" s="186">
        <f>F31*0</f>
        <v>0</v>
      </c>
      <c r="C43" s="186">
        <f>F33 - (F33-F34)*(B43/F31)</f>
        <v>92.631578947368425</v>
      </c>
      <c r="D43" s="186">
        <f>C34+F37*B43</f>
        <v>18.702999999999999</v>
      </c>
      <c r="E43" s="186">
        <f>D43+0.25*C43</f>
        <v>41.860894736842106</v>
      </c>
      <c r="F43" s="186">
        <f>D43+0.5*C43</f>
        <v>65.018789473684208</v>
      </c>
      <c r="G43" s="186">
        <f>D43+C43</f>
        <v>111.33457894736843</v>
      </c>
      <c r="J43" s="15">
        <f>B53+ D44</f>
        <v>576.93260996003687</v>
      </c>
      <c r="K43" s="15">
        <f>B53  + G44</f>
        <v>657.98524153898416</v>
      </c>
    </row>
    <row r="44" spans="1:11">
      <c r="A44" s="185" t="s">
        <v>527</v>
      </c>
      <c r="B44" s="186">
        <f>F31*0.25</f>
        <v>28.5</v>
      </c>
      <c r="C44" s="186">
        <f>F33 - (F33-F34)*(B44/F31)</f>
        <v>81.05263157894737</v>
      </c>
      <c r="D44" s="186">
        <f>C34+F37*B44</f>
        <v>34.500807966403912</v>
      </c>
      <c r="E44" s="186">
        <f t="shared" ref="E44:E47" si="3">D44+0.25*C44</f>
        <v>54.763965861140754</v>
      </c>
      <c r="F44" s="186">
        <f t="shared" ref="F44:F47" si="4">D44+0.5*C44</f>
        <v>75.027123755877597</v>
      </c>
      <c r="G44" s="186">
        <f t="shared" ref="G44:G47" si="5">D44+C44</f>
        <v>115.55343954535128</v>
      </c>
      <c r="J44" s="15">
        <f>B53+ D45</f>
        <v>592.73041792644074</v>
      </c>
      <c r="K44" s="15">
        <f>B53  + G45</f>
        <v>662.20410213696709</v>
      </c>
    </row>
    <row r="45" spans="1:11">
      <c r="A45" s="185" t="s">
        <v>528</v>
      </c>
      <c r="B45" s="186">
        <f>F31*0.5</f>
        <v>57</v>
      </c>
      <c r="C45" s="186">
        <f>F33 - (F33-F34)*(B45/F31)</f>
        <v>69.473684210526315</v>
      </c>
      <c r="D45" s="186">
        <f>C34+F37*B45</f>
        <v>50.298615932807834</v>
      </c>
      <c r="E45" s="186">
        <f t="shared" si="3"/>
        <v>67.66703698543941</v>
      </c>
      <c r="F45" s="186">
        <f t="shared" si="4"/>
        <v>85.035458038070999</v>
      </c>
      <c r="G45" s="186">
        <f t="shared" si="5"/>
        <v>119.77230014333415</v>
      </c>
      <c r="J45" s="15">
        <f>B53+ D46</f>
        <v>608.5282258928446</v>
      </c>
      <c r="K45" s="15">
        <f>B53  + G46</f>
        <v>666.42296273494992</v>
      </c>
    </row>
    <row r="46" spans="1:11">
      <c r="A46" s="185" t="s">
        <v>529</v>
      </c>
      <c r="B46" s="186">
        <f>F31*0.75</f>
        <v>85.5</v>
      </c>
      <c r="C46" s="186">
        <f>F33 - (F33-F34)*(B46/F31)</f>
        <v>57.894736842105267</v>
      </c>
      <c r="D46" s="186">
        <f>C34+F37*B46</f>
        <v>66.096423899211743</v>
      </c>
      <c r="E46" s="186">
        <f t="shared" si="3"/>
        <v>80.570108109738058</v>
      </c>
      <c r="F46" s="186">
        <f t="shared" si="4"/>
        <v>95.043792320264373</v>
      </c>
      <c r="G46" s="186">
        <f t="shared" si="5"/>
        <v>123.991160741317</v>
      </c>
      <c r="J46" s="15">
        <f>B53+ D47</f>
        <v>624.32603385924858</v>
      </c>
      <c r="K46" s="15">
        <f>B53  + G47</f>
        <v>670.64182333293274</v>
      </c>
    </row>
    <row r="47" spans="1:11">
      <c r="A47" s="185" t="s">
        <v>530</v>
      </c>
      <c r="B47" s="186">
        <f>F31*1</f>
        <v>114</v>
      </c>
      <c r="C47" s="186">
        <f>F33 - (F33-F34)*(B47/F31)</f>
        <v>46.315789473684212</v>
      </c>
      <c r="D47" s="186">
        <f>C34+F37*B47</f>
        <v>81.894231865615666</v>
      </c>
      <c r="E47" s="186">
        <f t="shared" si="3"/>
        <v>93.473179234036721</v>
      </c>
      <c r="F47" s="186">
        <f t="shared" si="4"/>
        <v>105.05212660245778</v>
      </c>
      <c r="G47" s="186">
        <f t="shared" si="5"/>
        <v>128.21002133929989</v>
      </c>
    </row>
    <row r="49" spans="1:10">
      <c r="A49" s="260" t="s">
        <v>531</v>
      </c>
      <c r="B49" s="261"/>
    </row>
    <row r="50" spans="1:10">
      <c r="A50" s="85" t="s">
        <v>532</v>
      </c>
      <c r="B50" s="15">
        <f>F14+0.25*F11</f>
        <v>390.27148984033937</v>
      </c>
    </row>
    <row r="51" spans="1:10">
      <c r="A51" s="15" t="s">
        <v>533</v>
      </c>
      <c r="B51" s="15">
        <f>B50+C35</f>
        <v>607.23148984033935</v>
      </c>
    </row>
    <row r="52" spans="1:10">
      <c r="A52" s="15" t="s">
        <v>534</v>
      </c>
      <c r="B52" s="15">
        <f>F38+0.25*F35</f>
        <v>64.799687846706377</v>
      </c>
    </row>
    <row r="53" spans="1:10">
      <c r="A53" s="15" t="s">
        <v>535</v>
      </c>
      <c r="B53" s="15">
        <f>B51-B52</f>
        <v>542.43180199363292</v>
      </c>
    </row>
    <row r="56" spans="1:10" ht="18.5">
      <c r="A56" s="82" t="s">
        <v>536</v>
      </c>
    </row>
    <row r="58" spans="1:10">
      <c r="A58" s="55" t="s">
        <v>537</v>
      </c>
    </row>
    <row r="60" spans="1:10">
      <c r="A60" s="194" t="s">
        <v>45</v>
      </c>
      <c r="B60" s="194" t="s">
        <v>47</v>
      </c>
      <c r="C60" s="194" t="s">
        <v>48</v>
      </c>
      <c r="E60" s="55" t="s">
        <v>538</v>
      </c>
      <c r="I60" s="55" t="s">
        <v>539</v>
      </c>
    </row>
    <row r="61" spans="1:10">
      <c r="A61" s="88" t="s">
        <v>540</v>
      </c>
      <c r="B61" s="88" t="s">
        <v>62</v>
      </c>
      <c r="C61" s="89">
        <v>100</v>
      </c>
      <c r="E61" s="90" t="s">
        <v>541</v>
      </c>
      <c r="F61" s="88">
        <f>VALUE(C61)/VALUE(C62)</f>
        <v>50</v>
      </c>
      <c r="I61" s="88" t="s">
        <v>542</v>
      </c>
      <c r="J61" s="88">
        <f>VALUE(C61)</f>
        <v>100</v>
      </c>
    </row>
    <row r="62" spans="1:10">
      <c r="A62" s="88" t="s">
        <v>543</v>
      </c>
      <c r="B62" s="88" t="s">
        <v>57</v>
      </c>
      <c r="C62" s="89">
        <v>2</v>
      </c>
      <c r="E62" s="88" t="s">
        <v>544</v>
      </c>
      <c r="F62" s="88">
        <f>(VALUE(C63)^2)/F61</f>
        <v>5.12</v>
      </c>
      <c r="I62" s="88" t="s">
        <v>545</v>
      </c>
      <c r="J62" s="88" t="str">
        <f>E61</f>
        <v>Per-Fin Area S_V (ft^2)</v>
      </c>
    </row>
    <row r="63" spans="1:10">
      <c r="A63" s="88" t="s">
        <v>546</v>
      </c>
      <c r="B63" s="88" t="s">
        <v>86</v>
      </c>
      <c r="C63" s="89">
        <v>16</v>
      </c>
      <c r="E63" s="88" t="s">
        <v>547</v>
      </c>
      <c r="F63" s="88">
        <f>VALUE(C63)*12/2</f>
        <v>96</v>
      </c>
      <c r="I63" s="88" t="s">
        <v>548</v>
      </c>
      <c r="J63" s="88">
        <f>F67</f>
        <v>38.888888888888893</v>
      </c>
    </row>
    <row r="64" spans="1:10">
      <c r="A64" s="88" t="s">
        <v>549</v>
      </c>
      <c r="B64" s="88" t="s">
        <v>57</v>
      </c>
      <c r="C64" s="89">
        <v>0.5</v>
      </c>
      <c r="E64" s="88" t="s">
        <v>550</v>
      </c>
      <c r="F64" s="88">
        <f>2*F61/(VALUE(C63)*(1+VALUE(C64)))</f>
        <v>4.166666666666667</v>
      </c>
      <c r="I64" s="88" t="s">
        <v>551</v>
      </c>
      <c r="J64" s="88">
        <f>F68</f>
        <v>42.666666666666664</v>
      </c>
    </row>
    <row r="65" spans="1:10">
      <c r="A65" s="88" t="s">
        <v>552</v>
      </c>
      <c r="B65" s="88" t="s">
        <v>114</v>
      </c>
      <c r="C65" s="89">
        <v>46</v>
      </c>
      <c r="E65" s="88" t="s">
        <v>553</v>
      </c>
      <c r="F65" s="88">
        <f>12*F64</f>
        <v>50</v>
      </c>
      <c r="I65" s="88" t="s">
        <v>554</v>
      </c>
      <c r="J65" s="88">
        <f>VALUE(C63)</f>
        <v>16</v>
      </c>
    </row>
    <row r="66" spans="1:10">
      <c r="A66" s="88" t="s">
        <v>555</v>
      </c>
      <c r="B66" s="88" t="s">
        <v>91</v>
      </c>
      <c r="C66" s="89">
        <v>515.30999999999995</v>
      </c>
      <c r="E66" s="88" t="s">
        <v>556</v>
      </c>
      <c r="F66" s="88">
        <f>VALUE(C64)*F65</f>
        <v>25</v>
      </c>
      <c r="I66" s="88" t="s">
        <v>557</v>
      </c>
      <c r="J66" s="88">
        <f>F62</f>
        <v>5.12</v>
      </c>
    </row>
    <row r="67" spans="1:10">
      <c r="A67" s="88" t="s">
        <v>558</v>
      </c>
      <c r="B67" s="88" t="s">
        <v>62</v>
      </c>
      <c r="C67" s="89">
        <f>C6</f>
        <v>457</v>
      </c>
      <c r="E67" s="88" t="s">
        <v>548</v>
      </c>
      <c r="F67" s="88">
        <f>12*(2/3*F64*((1+VALUE(C64)+VALUE(C64)^2)/(1+VALUE(C64))))</f>
        <v>38.888888888888893</v>
      </c>
      <c r="I67" s="88" t="s">
        <v>559</v>
      </c>
      <c r="J67" s="88">
        <f>F70</f>
        <v>559.49262672173086</v>
      </c>
    </row>
    <row r="68" spans="1:10">
      <c r="A68" s="88" t="s">
        <v>560</v>
      </c>
      <c r="B68" s="88" t="s">
        <v>86</v>
      </c>
      <c r="C68" s="89">
        <f>C7</f>
        <v>45</v>
      </c>
      <c r="E68" s="88" t="s">
        <v>551</v>
      </c>
      <c r="F68" s="88">
        <f>12*((VALUE(C63)/6)*((1+2*VALUE(C64))/(1+VALUE(C64))))</f>
        <v>42.666666666666664</v>
      </c>
    </row>
    <row r="69" spans="1:10">
      <c r="A69" s="88" t="s">
        <v>561</v>
      </c>
      <c r="B69" s="88" t="s">
        <v>86</v>
      </c>
      <c r="C69" s="89">
        <v>15.75</v>
      </c>
      <c r="E69" s="88" t="s">
        <v>562</v>
      </c>
      <c r="F69" s="88">
        <f>TAN(RADIANS(VALUE(C65)))</f>
        <v>1.0355303137905696</v>
      </c>
      <c r="I69" s="55" t="s">
        <v>563</v>
      </c>
    </row>
    <row r="70" spans="1:10">
      <c r="A70" t="s">
        <v>564</v>
      </c>
      <c r="C70">
        <f>DEGREES(ATAN(TAN(RADIANS(C65)) - (F64*(1 - C64)) / (4 * C63)))</f>
        <v>45.08519309259971</v>
      </c>
      <c r="E70" s="88" t="s">
        <v>565</v>
      </c>
      <c r="F70" s="88">
        <f>VALUE(C66)+F69*F68</f>
        <v>559.49262672173086</v>
      </c>
      <c r="I70" s="88" t="s">
        <v>566</v>
      </c>
      <c r="J70" s="88">
        <f>(VALUE(C61)*VALUE(C69))/(VALUE(C67)*VALUE(C68))</f>
        <v>7.6586433260393869E-2</v>
      </c>
    </row>
    <row r="71" spans="1:10">
      <c r="E71" s="161" t="s">
        <v>567</v>
      </c>
      <c r="F71" s="161">
        <f>F70+F67</f>
        <v>598.38151561061977</v>
      </c>
    </row>
    <row r="72" spans="1:10">
      <c r="A72" s="55" t="s">
        <v>568</v>
      </c>
      <c r="E72" s="15" t="s">
        <v>569</v>
      </c>
      <c r="F72" s="15">
        <f>J70</f>
        <v>7.6586433260393869E-2</v>
      </c>
    </row>
    <row r="73" spans="1:10">
      <c r="A73" s="194" t="s">
        <v>484</v>
      </c>
      <c r="B73" s="194" t="s">
        <v>570</v>
      </c>
      <c r="C73" s="194" t="s">
        <v>571</v>
      </c>
      <c r="D73" s="194" t="s">
        <v>572</v>
      </c>
      <c r="E73" s="195" t="s">
        <v>573</v>
      </c>
      <c r="F73" s="195" t="s">
        <v>574</v>
      </c>
      <c r="G73" s="194" t="s">
        <v>575</v>
      </c>
    </row>
    <row r="74" spans="1:10">
      <c r="A74" s="88" t="s">
        <v>576</v>
      </c>
      <c r="B74" s="88">
        <f>F63*0</f>
        <v>0</v>
      </c>
      <c r="C74" s="88">
        <f>F65 - (F65-F66)*(B74/F63)</f>
        <v>50</v>
      </c>
      <c r="D74" s="88">
        <f>VALUE(C66)+F69*B74</f>
        <v>515.30999999999995</v>
      </c>
      <c r="E74" s="88">
        <f>D74+0.25*C74</f>
        <v>527.80999999999995</v>
      </c>
      <c r="F74" s="88">
        <f>D74+0.5*C74</f>
        <v>540.30999999999995</v>
      </c>
      <c r="G74" s="88">
        <f>D74+C74</f>
        <v>565.30999999999995</v>
      </c>
    </row>
    <row r="75" spans="1:10">
      <c r="A75" s="88" t="s">
        <v>577</v>
      </c>
      <c r="B75" s="88">
        <f>F63*0.25</f>
        <v>24</v>
      </c>
      <c r="C75" s="88">
        <f>F65 - (F65-F66)*(B75/F63)</f>
        <v>43.75</v>
      </c>
      <c r="D75" s="88">
        <f>VALUE(C66)+F69*B75</f>
        <v>540.1627275309736</v>
      </c>
      <c r="E75" s="88">
        <f>D75+0.25*C75</f>
        <v>551.1002275309736</v>
      </c>
      <c r="F75" s="88">
        <f>D75+0.5*C75</f>
        <v>562.0377275309736</v>
      </c>
      <c r="G75" s="88">
        <f>D75+C75</f>
        <v>583.9127275309736</v>
      </c>
    </row>
    <row r="76" spans="1:10">
      <c r="A76" s="88" t="s">
        <v>578</v>
      </c>
      <c r="B76" s="88">
        <f>F63*0.5</f>
        <v>48</v>
      </c>
      <c r="C76" s="88">
        <f>F65 - (F65-F66)*(B76/F63)</f>
        <v>37.5</v>
      </c>
      <c r="D76" s="88">
        <f>VALUE(C66)+F69*B76</f>
        <v>565.01545506194725</v>
      </c>
      <c r="E76" s="88">
        <f>D76+0.25*C76</f>
        <v>574.39045506194725</v>
      </c>
      <c r="F76" s="88">
        <f>D76+0.5*C76</f>
        <v>583.76545506194725</v>
      </c>
      <c r="G76" s="88">
        <f>D76+C76</f>
        <v>602.51545506194725</v>
      </c>
    </row>
    <row r="77" spans="1:10">
      <c r="A77" s="88" t="s">
        <v>579</v>
      </c>
      <c r="B77" s="88">
        <f>F63*0.75</f>
        <v>72</v>
      </c>
      <c r="C77" s="88">
        <f>F65 - (F65-F66)*(B77/F63)</f>
        <v>31.25</v>
      </c>
      <c r="D77" s="88">
        <f>VALUE(C66)+F69*B77</f>
        <v>589.8681825929209</v>
      </c>
      <c r="E77" s="88">
        <f>D77+0.25*C77</f>
        <v>597.6806825929209</v>
      </c>
      <c r="F77" s="88">
        <f>D77+0.5*C77</f>
        <v>605.4931825929209</v>
      </c>
      <c r="G77" s="88">
        <f>D77+C77</f>
        <v>621.1181825929209</v>
      </c>
    </row>
    <row r="78" spans="1:10">
      <c r="A78" s="88" t="s">
        <v>580</v>
      </c>
      <c r="B78" s="88">
        <f>F63*1</f>
        <v>96</v>
      </c>
      <c r="C78" s="88">
        <f>F65 - (F65-F66)*(B78/F63)</f>
        <v>25</v>
      </c>
      <c r="D78" s="88">
        <f>VALUE(C66)+F69*B78</f>
        <v>614.72091012389467</v>
      </c>
      <c r="E78" s="88">
        <f>D78+0.25*C78</f>
        <v>620.97091012389467</v>
      </c>
      <c r="F78" s="88">
        <f>D78+0.5*C78</f>
        <v>627.22091012389467</v>
      </c>
      <c r="G78" s="88">
        <f>D78+C78</f>
        <v>639.72091012389467</v>
      </c>
    </row>
    <row r="81" spans="3:3">
      <c r="C81">
        <v>0</v>
      </c>
    </row>
    <row r="82" spans="3:3">
      <c r="C82">
        <v>18</v>
      </c>
    </row>
    <row r="83" spans="3:3">
      <c r="C83">
        <v>36</v>
      </c>
    </row>
    <row r="84" spans="3:3">
      <c r="C84">
        <v>54</v>
      </c>
    </row>
    <row r="85" spans="3:3">
      <c r="C85">
        <v>72</v>
      </c>
    </row>
  </sheetData>
  <mergeCells count="2">
    <mergeCell ref="J40:K40"/>
    <mergeCell ref="A49:B4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60C9-8252-4D02-B6AF-ADBE3A47820B}">
  <dimension ref="C2:E10"/>
  <sheetViews>
    <sheetView topLeftCell="O1" workbookViewId="0">
      <selection activeCell="D10" sqref="D10"/>
    </sheetView>
  </sheetViews>
  <sheetFormatPr defaultRowHeight="14.5"/>
  <cols>
    <col min="5" max="5" width="11.1796875" bestFit="1" customWidth="1"/>
  </cols>
  <sheetData>
    <row r="2" spans="3:5">
      <c r="C2" t="s">
        <v>382</v>
      </c>
      <c r="D2" t="s">
        <v>48</v>
      </c>
      <c r="E2" t="s">
        <v>47</v>
      </c>
    </row>
    <row r="3" spans="3:5">
      <c r="C3" t="s">
        <v>405</v>
      </c>
      <c r="D3">
        <v>2.3779999999999999E-3</v>
      </c>
      <c r="E3" t="s">
        <v>581</v>
      </c>
    </row>
    <row r="4" spans="3:5">
      <c r="C4" t="s">
        <v>582</v>
      </c>
      <c r="D4">
        <v>300</v>
      </c>
      <c r="E4" t="s">
        <v>583</v>
      </c>
    </row>
    <row r="5" spans="3:5">
      <c r="C5" t="s">
        <v>129</v>
      </c>
      <c r="D5">
        <v>600</v>
      </c>
      <c r="E5" t="s">
        <v>62</v>
      </c>
    </row>
    <row r="6" spans="3:5">
      <c r="C6" t="s">
        <v>584</v>
      </c>
      <c r="D6">
        <v>0.9</v>
      </c>
    </row>
    <row r="7" spans="3:5">
      <c r="C7" t="s">
        <v>585</v>
      </c>
      <c r="D7">
        <v>35400</v>
      </c>
      <c r="E7" t="s">
        <v>586</v>
      </c>
    </row>
    <row r="10" spans="3:5">
      <c r="C10" t="s">
        <v>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29A9-B1E1-47DB-A763-671F12BD4C49}">
  <dimension ref="A1:W102"/>
  <sheetViews>
    <sheetView topLeftCell="B15" workbookViewId="0">
      <selection activeCell="B15" sqref="B15"/>
    </sheetView>
  </sheetViews>
  <sheetFormatPr defaultRowHeight="14.5"/>
  <cols>
    <col min="1" max="1" width="13.7265625" bestFit="1" customWidth="1"/>
    <col min="2" max="2" width="12.54296875" bestFit="1" customWidth="1"/>
    <col min="3" max="3" width="8.7265625" bestFit="1" customWidth="1"/>
    <col min="5" max="5" width="15.81640625" bestFit="1" customWidth="1"/>
    <col min="6" max="6" width="12.54296875" bestFit="1" customWidth="1"/>
    <col min="7" max="7" width="6.1796875" bestFit="1" customWidth="1"/>
    <col min="10" max="10" width="5.7265625" bestFit="1" customWidth="1"/>
    <col min="11" max="11" width="4.54296875" bestFit="1" customWidth="1"/>
    <col min="12" max="12" width="8.26953125" bestFit="1" customWidth="1"/>
    <col min="13" max="13" width="11.453125" bestFit="1" customWidth="1"/>
    <col min="14" max="19" width="12.54296875" bestFit="1" customWidth="1"/>
    <col min="21" max="22" width="13" bestFit="1" customWidth="1"/>
    <col min="23" max="23" width="13.26953125" bestFit="1" customWidth="1"/>
  </cols>
  <sheetData>
    <row r="1" spans="1:23">
      <c r="A1" s="114" t="s">
        <v>152</v>
      </c>
      <c r="B1" s="114">
        <v>5072</v>
      </c>
      <c r="C1" s="114" t="s">
        <v>586</v>
      </c>
      <c r="D1" s="114"/>
      <c r="E1" s="114" t="s">
        <v>588</v>
      </c>
      <c r="F1" s="114">
        <v>300</v>
      </c>
      <c r="G1" s="114" t="s">
        <v>86</v>
      </c>
      <c r="J1" s="114" t="s">
        <v>589</v>
      </c>
      <c r="K1" s="114" t="s">
        <v>590</v>
      </c>
      <c r="L1" s="114" t="s">
        <v>591</v>
      </c>
      <c r="M1" s="114" t="s">
        <v>592</v>
      </c>
      <c r="N1" s="114" t="s">
        <v>593</v>
      </c>
      <c r="O1" s="114" t="s">
        <v>594</v>
      </c>
      <c r="P1" s="114" t="s">
        <v>208</v>
      </c>
      <c r="Q1" s="114" t="s">
        <v>595</v>
      </c>
      <c r="R1" s="114" t="s">
        <v>596</v>
      </c>
      <c r="S1" s="114" t="s">
        <v>597</v>
      </c>
      <c r="T1" s="114"/>
      <c r="U1" s="114" t="s">
        <v>598</v>
      </c>
      <c r="V1" s="114" t="s">
        <v>599</v>
      </c>
      <c r="W1" s="114" t="s">
        <v>600</v>
      </c>
    </row>
    <row r="2" spans="1:23">
      <c r="A2" s="114" t="s">
        <v>601</v>
      </c>
      <c r="B2" s="114">
        <v>2.3779999999999999E-3</v>
      </c>
      <c r="C2" s="114" t="s">
        <v>581</v>
      </c>
      <c r="D2" s="114"/>
      <c r="E2" s="114" t="s">
        <v>587</v>
      </c>
      <c r="F2" s="114">
        <f>SQRT((2*B1)/(B2*B16*B14))</f>
        <v>62.847327904706525</v>
      </c>
      <c r="G2" s="114" t="s">
        <v>583</v>
      </c>
      <c r="J2" s="114"/>
      <c r="K2" s="114">
        <v>0</v>
      </c>
      <c r="L2" s="116">
        <f>$B$10+$B$11-Q2-R2</f>
        <v>1392.9331779044974</v>
      </c>
      <c r="M2">
        <v>0</v>
      </c>
      <c r="N2">
        <v>0</v>
      </c>
      <c r="O2">
        <v>0</v>
      </c>
      <c r="P2">
        <v>0</v>
      </c>
      <c r="Q2">
        <v>0</v>
      </c>
      <c r="R2">
        <f>$B$7*($B$1-O2)</f>
        <v>101.44</v>
      </c>
      <c r="S2">
        <v>0</v>
      </c>
      <c r="U2">
        <v>0</v>
      </c>
      <c r="V2">
        <v>0</v>
      </c>
      <c r="W2">
        <f>(P2-$B$1)/$B$20</f>
        <v>-32.173999999999999</v>
      </c>
    </row>
    <row r="3" spans="1:23">
      <c r="A3" s="114" t="s">
        <v>247</v>
      </c>
      <c r="B3" s="114">
        <v>41.5</v>
      </c>
      <c r="C3" s="114" t="s">
        <v>86</v>
      </c>
      <c r="D3" s="114"/>
      <c r="E3" s="114" t="s">
        <v>602</v>
      </c>
      <c r="F3" s="114">
        <f>1.2*F2</f>
        <v>75.41679348564783</v>
      </c>
      <c r="G3" s="114" t="s">
        <v>583</v>
      </c>
      <c r="J3" s="114">
        <v>5</v>
      </c>
      <c r="K3" s="114">
        <v>5</v>
      </c>
      <c r="L3" s="116">
        <f>$B$10+$B$11-Q3-R3</f>
        <v>1375.5355784422998</v>
      </c>
      <c r="M3">
        <f>M2+2*(L2/$B$20)*J3</f>
        <v>88.360078994280954</v>
      </c>
      <c r="N3">
        <f>SQRT(M3)</f>
        <v>9.4000042018225152</v>
      </c>
      <c r="O3">
        <f>0.5*$B$2*M3</f>
        <v>0.10506013392420005</v>
      </c>
      <c r="P3">
        <f>O3*$B$16*$B$19</f>
        <v>78.795100433999778</v>
      </c>
      <c r="Q3">
        <f>O3*$B$16*$B$21</f>
        <v>17.399700664875965</v>
      </c>
      <c r="R3">
        <f>$B$7*($B$1-O3)</f>
        <v>101.43789879732152</v>
      </c>
      <c r="S3">
        <f>0.592*N3</f>
        <v>5.5648024874789286</v>
      </c>
      <c r="U3">
        <f>V3*(J3/N3)</f>
        <v>-9.1030928124460058</v>
      </c>
      <c r="V3">
        <f>W2*(J3/N3)</f>
        <v>-17.113822137314557</v>
      </c>
      <c r="W3">
        <f t="shared" ref="W3:W66" si="0">(P3-$B$1)/$B$20</f>
        <v>-31.674166884589216</v>
      </c>
    </row>
    <row r="4" spans="1:23">
      <c r="A4" s="114" t="s">
        <v>387</v>
      </c>
      <c r="B4" s="114">
        <v>2.8704166670000002</v>
      </c>
      <c r="C4" s="114"/>
      <c r="D4" s="114"/>
      <c r="E4" s="114" t="s">
        <v>603</v>
      </c>
      <c r="F4" s="114">
        <f>F3^2/(2*F1)</f>
        <v>9.4794878994280882</v>
      </c>
      <c r="G4" s="114" t="s">
        <v>604</v>
      </c>
      <c r="J4" s="114">
        <v>5</v>
      </c>
      <c r="K4" s="114">
        <v>10</v>
      </c>
      <c r="L4" s="116">
        <f t="shared" ref="L4:L62" si="1">$B$10+$B$11-Q4-R4</f>
        <v>1358.355273299635</v>
      </c>
      <c r="M4">
        <f t="shared" ref="M4:M67" si="2">M3+2*(L3/$B$20)*J4</f>
        <v>175.61654922456989</v>
      </c>
      <c r="N4">
        <f t="shared" ref="N4:N67" si="3">SQRT(M4)</f>
        <v>13.252039436425244</v>
      </c>
      <c r="O4">
        <f t="shared" ref="O4:O67" si="4">0.5*$B$2*M4</f>
        <v>0.2088080770280136</v>
      </c>
      <c r="P4">
        <f t="shared" ref="P4:P67" si="5">O4*$B$16*$B$19</f>
        <v>156.60605775282394</v>
      </c>
      <c r="Q4">
        <f t="shared" ref="Q4:Q67" si="6">O4*$B$16*$B$21</f>
        <v>34.582080766402974</v>
      </c>
      <c r="R4">
        <f t="shared" ref="R4:R62" si="7">$B$7*($B$1-O4)</f>
        <v>101.43582383845944</v>
      </c>
      <c r="S4">
        <f t="shared" ref="S4:S67" si="8">0.592*N4</f>
        <v>7.8452073463637442</v>
      </c>
      <c r="U4">
        <f t="shared" ref="U4:U67" si="9">V4*(J4/N4)</f>
        <v>-4.5089951693683821</v>
      </c>
      <c r="V4">
        <f t="shared" ref="V4:V67" si="10">W3*(J4/N4)</f>
        <v>-11.950676360624145</v>
      </c>
      <c r="W4">
        <f t="shared" si="0"/>
        <v>-31.18057663601353</v>
      </c>
    </row>
    <row r="5" spans="1:23">
      <c r="A5" s="114" t="s">
        <v>37</v>
      </c>
      <c r="B5" s="114">
        <v>0.75</v>
      </c>
      <c r="C5" s="114"/>
      <c r="D5" s="114"/>
      <c r="E5" s="114" t="s">
        <v>605</v>
      </c>
      <c r="F5" s="114">
        <f>F4-B10/B20</f>
        <v>-215.0787928576697</v>
      </c>
      <c r="G5" s="114" t="s">
        <v>604</v>
      </c>
      <c r="J5" s="114">
        <v>5</v>
      </c>
      <c r="K5" s="114">
        <v>15</v>
      </c>
      <c r="L5" s="116">
        <f t="shared" si="1"/>
        <v>1341.3895484916563</v>
      </c>
      <c r="M5">
        <f t="shared" si="2"/>
        <v>261.7831946566331</v>
      </c>
      <c r="N5">
        <f t="shared" si="3"/>
        <v>16.179715530769787</v>
      </c>
      <c r="O5">
        <f t="shared" si="4"/>
        <v>0.31126021844673674</v>
      </c>
      <c r="P5">
        <f t="shared" si="5"/>
        <v>233.44516380794317</v>
      </c>
      <c r="Q5">
        <f t="shared" si="6"/>
        <v>51.549854617209974</v>
      </c>
      <c r="R5">
        <f t="shared" si="7"/>
        <v>101.43377479563107</v>
      </c>
      <c r="S5">
        <f t="shared" si="8"/>
        <v>9.578391594215713</v>
      </c>
      <c r="U5">
        <f t="shared" si="9"/>
        <v>-2.9777099210771927</v>
      </c>
      <c r="V5">
        <f t="shared" si="10"/>
        <v>-9.635699891235987</v>
      </c>
      <c r="W5">
        <f t="shared" si="0"/>
        <v>-30.693151281475398</v>
      </c>
    </row>
    <row r="6" spans="1:23">
      <c r="A6" s="114" t="s">
        <v>606</v>
      </c>
      <c r="B6" s="114">
        <v>4.4999999999999998E-2</v>
      </c>
      <c r="C6" s="114"/>
      <c r="D6" s="114"/>
      <c r="E6" s="114"/>
      <c r="F6" s="114"/>
      <c r="G6" s="114"/>
      <c r="J6" s="114">
        <v>5</v>
      </c>
      <c r="K6" s="114">
        <v>20</v>
      </c>
      <c r="L6" s="116">
        <f t="shared" si="1"/>
        <v>1324.6357239309239</v>
      </c>
      <c r="M6">
        <f t="shared" si="2"/>
        <v>346.87362709584949</v>
      </c>
      <c r="N6">
        <f t="shared" si="3"/>
        <v>18.624543674835351</v>
      </c>
      <c r="O6">
        <f t="shared" si="4"/>
        <v>0.412432742616965</v>
      </c>
      <c r="P6">
        <f t="shared" si="5"/>
        <v>309.3245569268027</v>
      </c>
      <c r="Q6">
        <f t="shared" si="6"/>
        <v>68.305702628426033</v>
      </c>
      <c r="R6">
        <f t="shared" si="7"/>
        <v>101.43175134514766</v>
      </c>
      <c r="S6">
        <f t="shared" si="8"/>
        <v>11.025729855502528</v>
      </c>
      <c r="U6">
        <f t="shared" si="9"/>
        <v>-2.2121277667063857</v>
      </c>
      <c r="V6">
        <f t="shared" si="10"/>
        <v>-8.2399740410678124</v>
      </c>
      <c r="W6">
        <f t="shared" si="0"/>
        <v>-30.211813822049887</v>
      </c>
    </row>
    <row r="7" spans="1:23">
      <c r="A7" s="114" t="s">
        <v>607</v>
      </c>
      <c r="B7" s="114">
        <v>0.02</v>
      </c>
      <c r="C7" s="114"/>
      <c r="D7" s="114"/>
      <c r="E7" s="114"/>
      <c r="F7" s="114"/>
      <c r="G7" s="114"/>
      <c r="J7" s="114">
        <v>5</v>
      </c>
      <c r="K7" s="114">
        <v>25</v>
      </c>
      <c r="L7" s="116">
        <f t="shared" si="1"/>
        <v>1308.0911530040273</v>
      </c>
      <c r="M7">
        <f t="shared" si="2"/>
        <v>430.90128833747713</v>
      </c>
      <c r="N7">
        <f t="shared" si="3"/>
        <v>20.758161969150283</v>
      </c>
      <c r="O7">
        <f t="shared" si="4"/>
        <v>0.51234163183326031</v>
      </c>
      <c r="P7">
        <f t="shared" si="5"/>
        <v>384.2562238303226</v>
      </c>
      <c r="Q7">
        <f t="shared" si="6"/>
        <v>84.852271733106818</v>
      </c>
      <c r="R7">
        <f t="shared" si="7"/>
        <v>101.42975316736334</v>
      </c>
      <c r="S7">
        <f t="shared" si="8"/>
        <v>12.288831885736966</v>
      </c>
      <c r="U7">
        <f t="shared" si="9"/>
        <v>-1.75282684455496</v>
      </c>
      <c r="V7">
        <f t="shared" si="10"/>
        <v>-7.2770927086292936</v>
      </c>
      <c r="W7">
        <f t="shared" si="0"/>
        <v>-29.736488220521135</v>
      </c>
    </row>
    <row r="8" spans="1:23">
      <c r="A8" s="114" t="s">
        <v>608</v>
      </c>
      <c r="B8" s="114">
        <v>10</v>
      </c>
      <c r="C8" s="114" t="s">
        <v>609</v>
      </c>
      <c r="D8" s="114"/>
      <c r="E8" s="114" t="s">
        <v>610</v>
      </c>
      <c r="F8" s="114">
        <f>SQRT((2*B1)/(B2*B16*0.9*B14))</f>
        <v>66.246900344776748</v>
      </c>
      <c r="G8" s="114" t="s">
        <v>583</v>
      </c>
      <c r="J8" s="114">
        <v>5</v>
      </c>
      <c r="K8" s="114">
        <v>30</v>
      </c>
      <c r="L8" s="116">
        <f t="shared" si="1"/>
        <v>1291.7532221535007</v>
      </c>
      <c r="M8">
        <f t="shared" si="2"/>
        <v>513.879452290063</v>
      </c>
      <c r="N8">
        <f t="shared" si="3"/>
        <v>22.668909375840361</v>
      </c>
      <c r="O8">
        <f t="shared" si="4"/>
        <v>0.61100266877288489</v>
      </c>
      <c r="P8">
        <f t="shared" si="5"/>
        <v>458.25200152644811</v>
      </c>
      <c r="Q8">
        <f t="shared" si="6"/>
        <v>101.19217580437234</v>
      </c>
      <c r="R8">
        <f t="shared" si="7"/>
        <v>101.42777994662454</v>
      </c>
      <c r="S8">
        <f t="shared" si="8"/>
        <v>13.419994350497493</v>
      </c>
      <c r="U8">
        <f t="shared" si="9"/>
        <v>-1.4466665327832642</v>
      </c>
      <c r="V8">
        <f t="shared" si="10"/>
        <v>-6.5588705057450012</v>
      </c>
      <c r="W8">
        <f t="shared" si="0"/>
        <v>-29.267099389370671</v>
      </c>
    </row>
    <row r="9" spans="1:23">
      <c r="A9" s="114" t="s">
        <v>611</v>
      </c>
      <c r="B9" s="114">
        <v>3.5577000000000001</v>
      </c>
      <c r="C9" s="114" t="s">
        <v>612</v>
      </c>
      <c r="D9" s="114"/>
      <c r="E9" s="114"/>
      <c r="F9" s="114"/>
      <c r="G9" s="114"/>
      <c r="J9" s="114">
        <v>5</v>
      </c>
      <c r="K9" s="114">
        <v>35</v>
      </c>
      <c r="L9" s="116">
        <f t="shared" si="1"/>
        <v>1275.6193504649546</v>
      </c>
      <c r="M9">
        <f t="shared" si="2"/>
        <v>595.82122707233179</v>
      </c>
      <c r="N9">
        <f t="shared" si="3"/>
        <v>24.409449544640122</v>
      </c>
      <c r="O9">
        <f t="shared" si="4"/>
        <v>0.70843143898900252</v>
      </c>
      <c r="P9">
        <f t="shared" si="5"/>
        <v>531.32357918005073</v>
      </c>
      <c r="Q9">
        <f t="shared" si="6"/>
        <v>117.32799606832253</v>
      </c>
      <c r="R9">
        <f t="shared" si="7"/>
        <v>101.42583137122023</v>
      </c>
      <c r="S9">
        <f t="shared" si="8"/>
        <v>14.450394130426952</v>
      </c>
      <c r="U9">
        <f t="shared" si="9"/>
        <v>-1.2280151352268658</v>
      </c>
      <c r="V9">
        <f t="shared" si="10"/>
        <v>-5.9950346966749199</v>
      </c>
      <c r="W9">
        <f t="shared" si="0"/>
        <v>-28.803573178915819</v>
      </c>
    </row>
    <row r="10" spans="1:23">
      <c r="A10" s="114" t="s">
        <v>613</v>
      </c>
      <c r="B10" s="115">
        <v>35400</v>
      </c>
      <c r="C10" s="114" t="s">
        <v>586</v>
      </c>
      <c r="D10" s="114"/>
      <c r="E10" s="114"/>
      <c r="F10" s="114"/>
      <c r="G10" s="114"/>
      <c r="J10" s="114">
        <v>5</v>
      </c>
      <c r="K10" s="114">
        <v>40</v>
      </c>
      <c r="L10" s="116">
        <f t="shared" si="1"/>
        <v>1259.6869892593697</v>
      </c>
      <c r="M10">
        <f t="shared" si="2"/>
        <v>676.73955708388428</v>
      </c>
      <c r="N10">
        <f t="shared" si="3"/>
        <v>26.014218363884861</v>
      </c>
      <c r="O10">
        <f t="shared" si="4"/>
        <v>0.80464333337273841</v>
      </c>
      <c r="P10">
        <f t="shared" si="5"/>
        <v>603.48249995947299</v>
      </c>
      <c r="Q10">
        <f t="shared" si="6"/>
        <v>133.26228151179515</v>
      </c>
      <c r="R10">
        <f t="shared" si="7"/>
        <v>101.42390713333255</v>
      </c>
      <c r="S10">
        <f t="shared" si="8"/>
        <v>15.400417271419837</v>
      </c>
      <c r="U10">
        <f t="shared" si="9"/>
        <v>-1.0640568028501365</v>
      </c>
      <c r="V10">
        <f t="shared" si="10"/>
        <v>-5.536121204184127</v>
      </c>
      <c r="W10">
        <f t="shared" si="0"/>
        <v>-28.345836365596195</v>
      </c>
    </row>
    <row r="11" spans="1:23">
      <c r="A11" s="114" t="s">
        <v>614</v>
      </c>
      <c r="B11" s="115">
        <f>F5*B20</f>
        <v>-33905.626822095503</v>
      </c>
      <c r="C11" s="114" t="s">
        <v>586</v>
      </c>
      <c r="D11" s="114"/>
      <c r="E11" s="114"/>
      <c r="F11" s="114"/>
      <c r="G11" s="114"/>
      <c r="J11" s="114">
        <v>5</v>
      </c>
      <c r="K11" s="114">
        <v>45</v>
      </c>
      <c r="L11" s="116">
        <f t="shared" si="1"/>
        <v>1243.9536216904778</v>
      </c>
      <c r="M11">
        <f t="shared" si="2"/>
        <v>756.64722505003363</v>
      </c>
      <c r="N11">
        <f t="shared" si="3"/>
        <v>27.507221325499849</v>
      </c>
      <c r="O11">
        <f t="shared" si="4"/>
        <v>0.89965355058448992</v>
      </c>
      <c r="P11">
        <f t="shared" si="5"/>
        <v>674.74016286001176</v>
      </c>
      <c r="Q11">
        <f t="shared" si="6"/>
        <v>148.99754928503117</v>
      </c>
      <c r="R11">
        <f t="shared" si="7"/>
        <v>101.42200692898831</v>
      </c>
      <c r="S11">
        <f t="shared" si="8"/>
        <v>16.284275024695908</v>
      </c>
      <c r="U11">
        <f t="shared" si="9"/>
        <v>-0.93656050756420262</v>
      </c>
      <c r="V11">
        <f t="shared" si="10"/>
        <v>-5.1524354332581987</v>
      </c>
      <c r="W11">
        <f t="shared" si="0"/>
        <v>-27.893816640406538</v>
      </c>
    </row>
    <row r="12" spans="1:23">
      <c r="A12" s="114" t="s">
        <v>615</v>
      </c>
      <c r="B12" s="114">
        <v>5</v>
      </c>
      <c r="C12" s="114" t="s">
        <v>86</v>
      </c>
      <c r="D12" s="114"/>
      <c r="E12" s="114"/>
      <c r="F12" s="114"/>
      <c r="G12" s="114"/>
      <c r="J12" s="114">
        <v>5</v>
      </c>
      <c r="K12" s="114">
        <v>50</v>
      </c>
      <c r="L12" s="116">
        <f t="shared" si="1"/>
        <v>1228.416762347176</v>
      </c>
      <c r="M12">
        <f t="shared" si="2"/>
        <v>835.55685404110113</v>
      </c>
      <c r="N12">
        <f t="shared" si="3"/>
        <v>28.906000312064986</v>
      </c>
      <c r="O12">
        <f t="shared" si="4"/>
        <v>0.99347709945486917</v>
      </c>
      <c r="P12">
        <f t="shared" si="5"/>
        <v>745.10782450462455</v>
      </c>
      <c r="Q12">
        <f t="shared" si="6"/>
        <v>164.53628509931059</v>
      </c>
      <c r="R12">
        <f t="shared" si="7"/>
        <v>101.4201304580109</v>
      </c>
      <c r="S12">
        <f t="shared" si="8"/>
        <v>17.11235218474247</v>
      </c>
      <c r="U12">
        <f t="shared" si="9"/>
        <v>-0.83458763175421347</v>
      </c>
      <c r="V12">
        <f t="shared" si="10"/>
        <v>-4.824918068786574</v>
      </c>
      <c r="W12">
        <f t="shared" si="0"/>
        <v>-27.447442597474012</v>
      </c>
    </row>
    <row r="13" spans="1:23">
      <c r="A13" s="114" t="s">
        <v>616</v>
      </c>
      <c r="B13" s="114">
        <v>32.173999999999999</v>
      </c>
      <c r="C13" s="114" t="s">
        <v>604</v>
      </c>
      <c r="D13" s="114"/>
      <c r="E13" s="114"/>
      <c r="F13" s="114"/>
      <c r="G13" s="114"/>
      <c r="J13" s="114">
        <v>5</v>
      </c>
      <c r="K13" s="114">
        <v>55</v>
      </c>
      <c r="L13" s="116">
        <f t="shared" si="1"/>
        <v>1213.0739568609024</v>
      </c>
      <c r="M13">
        <f t="shared" si="2"/>
        <v>913.48090946649154</v>
      </c>
      <c r="N13">
        <f t="shared" si="3"/>
        <v>30.223846702008192</v>
      </c>
      <c r="O13">
        <f t="shared" si="4"/>
        <v>1.0861288013556585</v>
      </c>
      <c r="P13">
        <f t="shared" si="5"/>
        <v>814.59660092214688</v>
      </c>
      <c r="Q13">
        <f t="shared" si="6"/>
        <v>179.88094361962217</v>
      </c>
      <c r="R13">
        <f t="shared" si="7"/>
        <v>101.41827742397288</v>
      </c>
      <c r="S13">
        <f t="shared" si="8"/>
        <v>17.892517247588849</v>
      </c>
      <c r="U13">
        <f t="shared" si="9"/>
        <v>-0.75117723624636001</v>
      </c>
      <c r="V13">
        <f t="shared" si="10"/>
        <v>-4.5406931268696349</v>
      </c>
      <c r="W13">
        <f t="shared" si="0"/>
        <v>-27.006643722778165</v>
      </c>
    </row>
    <row r="14" spans="1:23">
      <c r="A14" s="114" t="s">
        <v>617</v>
      </c>
      <c r="B14" s="114">
        <v>1.8</v>
      </c>
      <c r="C14" s="114"/>
      <c r="D14" s="114"/>
      <c r="E14" s="114"/>
      <c r="F14" s="114"/>
      <c r="G14" s="114"/>
      <c r="J14" s="114">
        <v>5</v>
      </c>
      <c r="K14" s="114">
        <v>60</v>
      </c>
      <c r="L14" s="116">
        <f t="shared" si="1"/>
        <v>1197.9227815179197</v>
      </c>
      <c r="M14">
        <f t="shared" si="2"/>
        <v>990.43170104386274</v>
      </c>
      <c r="N14">
        <f t="shared" si="3"/>
        <v>31.471124877319888</v>
      </c>
      <c r="O14">
        <f t="shared" si="4"/>
        <v>1.1776232925411527</v>
      </c>
      <c r="P14">
        <f t="shared" si="5"/>
        <v>883.2174693032988</v>
      </c>
      <c r="Q14">
        <f t="shared" si="6"/>
        <v>195.03394885242844</v>
      </c>
      <c r="R14">
        <f t="shared" si="7"/>
        <v>101.41644753414917</v>
      </c>
      <c r="S14">
        <f t="shared" si="8"/>
        <v>18.630905927373373</v>
      </c>
      <c r="U14">
        <f t="shared" si="9"/>
        <v>-0.68168869429145362</v>
      </c>
      <c r="V14">
        <f t="shared" si="10"/>
        <v>-4.2907020051006954</v>
      </c>
      <c r="W14">
        <f t="shared" si="0"/>
        <v>-26.571350383011765</v>
      </c>
    </row>
    <row r="15" spans="1:23">
      <c r="A15" s="114"/>
      <c r="B15" s="114"/>
      <c r="C15" s="114"/>
      <c r="D15" s="114"/>
      <c r="E15" s="114"/>
      <c r="F15" s="114"/>
      <c r="G15" s="114"/>
      <c r="J15" s="114">
        <v>5</v>
      </c>
      <c r="K15" s="114">
        <v>65</v>
      </c>
      <c r="L15" s="116">
        <f t="shared" si="1"/>
        <v>1182.9608428764386</v>
      </c>
      <c r="M15">
        <f t="shared" si="2"/>
        <v>1066.4213847437002</v>
      </c>
      <c r="N15">
        <f t="shared" si="3"/>
        <v>32.656107923996395</v>
      </c>
      <c r="O15">
        <f t="shared" si="4"/>
        <v>1.2679750264602594</v>
      </c>
      <c r="P15">
        <f t="shared" si="5"/>
        <v>950.98126973475974</v>
      </c>
      <c r="Q15">
        <f t="shared" si="6"/>
        <v>209.99769452858789</v>
      </c>
      <c r="R15">
        <f t="shared" si="7"/>
        <v>101.41464049947079</v>
      </c>
      <c r="S15">
        <f t="shared" si="8"/>
        <v>19.332415891005866</v>
      </c>
      <c r="U15">
        <f t="shared" si="9"/>
        <v>-0.62290926370999755</v>
      </c>
      <c r="V15">
        <f t="shared" si="10"/>
        <v>-4.0683584285141619</v>
      </c>
      <c r="W15">
        <f t="shared" si="0"/>
        <v>-26.141493814580802</v>
      </c>
    </row>
    <row r="16" spans="1:23">
      <c r="A16" s="114" t="s">
        <v>129</v>
      </c>
      <c r="B16" s="114">
        <f>B3^2/B4</f>
        <v>599.99999993032361</v>
      </c>
      <c r="C16" s="114" t="s">
        <v>62</v>
      </c>
      <c r="D16" s="114"/>
      <c r="E16" s="114"/>
      <c r="F16" s="114"/>
      <c r="G16" s="114"/>
      <c r="J16" s="114">
        <v>5</v>
      </c>
      <c r="K16" s="114">
        <v>70</v>
      </c>
      <c r="L16" s="116">
        <f t="shared" si="1"/>
        <v>1168.1857773885245</v>
      </c>
      <c r="M16">
        <f t="shared" si="2"/>
        <v>1141.4619647096042</v>
      </c>
      <c r="N16">
        <f t="shared" si="3"/>
        <v>33.785528924520392</v>
      </c>
      <c r="O16">
        <f t="shared" si="4"/>
        <v>1.3571982760397194</v>
      </c>
      <c r="P16">
        <f t="shared" si="5"/>
        <v>1017.8987069115838</v>
      </c>
      <c r="Q16">
        <f t="shared" si="6"/>
        <v>224.77454448149396</v>
      </c>
      <c r="R16">
        <f t="shared" si="7"/>
        <v>101.4128560344792</v>
      </c>
      <c r="S16">
        <f t="shared" si="8"/>
        <v>20.00103312331607</v>
      </c>
      <c r="U16">
        <f t="shared" si="9"/>
        <v>-0.57254412811800048</v>
      </c>
      <c r="V16">
        <f t="shared" si="10"/>
        <v>-3.8687412402190029</v>
      </c>
      <c r="W16">
        <f t="shared" si="0"/>
        <v>-25.717006112741856</v>
      </c>
    </row>
    <row r="17" spans="1:23">
      <c r="A17" s="114" t="s">
        <v>23</v>
      </c>
      <c r="B17" s="114">
        <f>1/(PI()*B4*B5)</f>
        <v>0.14785769134414922</v>
      </c>
      <c r="C17" s="114"/>
      <c r="D17" s="114"/>
      <c r="E17" s="114"/>
      <c r="F17" s="114"/>
      <c r="G17" s="114"/>
      <c r="J17" s="114">
        <v>5</v>
      </c>
      <c r="K17" s="114">
        <v>75</v>
      </c>
      <c r="L17" s="116">
        <f t="shared" si="1"/>
        <v>1153.5952510267243</v>
      </c>
      <c r="M17">
        <f t="shared" si="2"/>
        <v>1215.5652951545931</v>
      </c>
      <c r="N17">
        <f t="shared" si="3"/>
        <v>34.864957982974722</v>
      </c>
      <c r="O17">
        <f t="shared" si="4"/>
        <v>1.445307135938811</v>
      </c>
      <c r="P17">
        <f t="shared" si="5"/>
        <v>1083.9803518282285</v>
      </c>
      <c r="Q17">
        <f t="shared" si="6"/>
        <v>239.36683302049184</v>
      </c>
      <c r="R17">
        <f t="shared" si="7"/>
        <v>101.41109385728123</v>
      </c>
      <c r="S17">
        <f t="shared" si="8"/>
        <v>20.640055125921034</v>
      </c>
      <c r="U17">
        <f t="shared" si="9"/>
        <v>-0.52891042166252422</v>
      </c>
      <c r="V17">
        <f t="shared" si="10"/>
        <v>-3.68808792560427</v>
      </c>
      <c r="W17">
        <f t="shared" si="0"/>
        <v>-25.29782022087511</v>
      </c>
    </row>
    <row r="18" spans="1:23">
      <c r="A18" s="114" t="s">
        <v>618</v>
      </c>
      <c r="B18" s="114">
        <f>B8*(PI()/180)</f>
        <v>0.17453292519943295</v>
      </c>
      <c r="C18" s="114"/>
      <c r="D18" s="114"/>
      <c r="E18" s="114"/>
      <c r="F18" s="114"/>
      <c r="G18" s="114"/>
      <c r="J18" s="114">
        <v>5</v>
      </c>
      <c r="K18" s="114">
        <v>80</v>
      </c>
      <c r="L18" s="116">
        <f t="shared" si="1"/>
        <v>1139.1869589153621</v>
      </c>
      <c r="M18">
        <f t="shared" si="2"/>
        <v>1288.7430822337212</v>
      </c>
      <c r="N18">
        <f t="shared" si="3"/>
        <v>35.899067985585937</v>
      </c>
      <c r="O18">
        <f t="shared" si="4"/>
        <v>1.5323155247758944</v>
      </c>
      <c r="P18">
        <f t="shared" si="5"/>
        <v>1149.2366434484629</v>
      </c>
      <c r="Q18">
        <f t="shared" si="6"/>
        <v>253.77686529963083</v>
      </c>
      <c r="R18">
        <f t="shared" si="7"/>
        <v>101.40935368950448</v>
      </c>
      <c r="S18">
        <f t="shared" si="8"/>
        <v>21.252248247466873</v>
      </c>
      <c r="U18">
        <f t="shared" si="9"/>
        <v>-0.49074599448145101</v>
      </c>
      <c r="V18">
        <f t="shared" si="10"/>
        <v>-3.5234647639087178</v>
      </c>
      <c r="W18">
        <f t="shared" si="0"/>
        <v>-24.883869919891392</v>
      </c>
    </row>
    <row r="19" spans="1:23">
      <c r="A19" s="114" t="s">
        <v>619</v>
      </c>
      <c r="B19" s="114">
        <v>1.25</v>
      </c>
      <c r="C19" s="114"/>
      <c r="D19" s="114"/>
      <c r="E19" s="114"/>
      <c r="F19" s="114"/>
      <c r="G19" s="114"/>
      <c r="J19" s="114">
        <v>5</v>
      </c>
      <c r="K19" s="114">
        <v>85</v>
      </c>
      <c r="L19" s="116">
        <f t="shared" si="1"/>
        <v>1124.958624966433</v>
      </c>
      <c r="M19">
        <f t="shared" si="2"/>
        <v>1361.0068858933089</v>
      </c>
      <c r="N19">
        <f t="shared" si="3"/>
        <v>36.891826816970031</v>
      </c>
      <c r="O19">
        <f t="shared" si="4"/>
        <v>1.6182371873271442</v>
      </c>
      <c r="P19">
        <f t="shared" si="5"/>
        <v>1213.6778903544171</v>
      </c>
      <c r="Q19">
        <f t="shared" si="6"/>
        <v>268.00691768181099</v>
      </c>
      <c r="R19">
        <f t="shared" si="7"/>
        <v>101.40763525625346</v>
      </c>
      <c r="S19">
        <f t="shared" si="8"/>
        <v>21.839961475646259</v>
      </c>
      <c r="U19">
        <f t="shared" si="9"/>
        <v>-0.45708567270691369</v>
      </c>
      <c r="V19">
        <f t="shared" si="10"/>
        <v>-3.3725450956043406</v>
      </c>
      <c r="W19">
        <f t="shared" si="0"/>
        <v>-24.475089817771483</v>
      </c>
    </row>
    <row r="20" spans="1:23">
      <c r="A20" s="114" t="s">
        <v>620</v>
      </c>
      <c r="B20" s="114">
        <f>B1/32.174</f>
        <v>157.6428171815752</v>
      </c>
      <c r="C20" s="114" t="s">
        <v>621</v>
      </c>
      <c r="D20" s="114"/>
      <c r="E20" s="114"/>
      <c r="F20" s="114"/>
      <c r="G20" s="114"/>
      <c r="J20" s="114">
        <v>5</v>
      </c>
      <c r="K20" s="114">
        <v>90</v>
      </c>
      <c r="L20" s="116">
        <f t="shared" si="1"/>
        <v>1110.9080015200495</v>
      </c>
      <c r="M20">
        <f t="shared" si="2"/>
        <v>1432.3681216970747</v>
      </c>
      <c r="N20">
        <f t="shared" si="3"/>
        <v>37.84663950335716</v>
      </c>
      <c r="O20">
        <f t="shared" si="4"/>
        <v>1.7030856966978218</v>
      </c>
      <c r="P20">
        <f t="shared" si="5"/>
        <v>1277.3142723750352</v>
      </c>
      <c r="Q20">
        <f t="shared" si="6"/>
        <v>282.05923809838191</v>
      </c>
      <c r="R20">
        <f t="shared" si="7"/>
        <v>101.40593828606605</v>
      </c>
      <c r="S20">
        <f t="shared" si="8"/>
        <v>22.405210585987437</v>
      </c>
      <c r="U20">
        <f t="shared" si="9"/>
        <v>-0.42717876513429581</v>
      </c>
      <c r="V20">
        <f t="shared" si="10"/>
        <v>-3.2334561455053938</v>
      </c>
      <c r="W20">
        <f t="shared" si="0"/>
        <v>-24.071415339236122</v>
      </c>
    </row>
    <row r="21" spans="1:23">
      <c r="A21" s="114" t="s">
        <v>622</v>
      </c>
      <c r="B21" s="114">
        <f>B6+B17*B19^2</f>
        <v>0.27602764272523317</v>
      </c>
      <c r="C21" s="114"/>
      <c r="D21" s="114"/>
      <c r="E21" s="114"/>
      <c r="F21" s="114"/>
      <c r="G21" s="114"/>
      <c r="J21" s="114">
        <v>5</v>
      </c>
      <c r="K21" s="114">
        <v>95</v>
      </c>
      <c r="L21" s="116">
        <f t="shared" si="1"/>
        <v>1097.0328689893768</v>
      </c>
      <c r="M21">
        <f t="shared" si="2"/>
        <v>1502.8380626294604</v>
      </c>
      <c r="N21">
        <f t="shared" si="3"/>
        <v>38.766455378709317</v>
      </c>
      <c r="O21">
        <f t="shared" si="4"/>
        <v>1.7868744564664283</v>
      </c>
      <c r="P21">
        <f t="shared" si="5"/>
        <v>1340.1558421941925</v>
      </c>
      <c r="Q21">
        <f t="shared" si="6"/>
        <v>295.93604640425002</v>
      </c>
      <c r="R21">
        <f t="shared" si="7"/>
        <v>101.40426251087067</v>
      </c>
      <c r="S21">
        <f t="shared" si="8"/>
        <v>22.949741584195916</v>
      </c>
      <c r="U21">
        <f t="shared" si="9"/>
        <v>-0.40043262041685401</v>
      </c>
      <c r="V21">
        <f t="shared" si="10"/>
        <v>-3.1046706623139233</v>
      </c>
      <c r="W21">
        <f t="shared" si="0"/>
        <v>-23.672782715544958</v>
      </c>
    </row>
    <row r="22" spans="1:23">
      <c r="J22" s="114">
        <v>5</v>
      </c>
      <c r="K22" s="114">
        <v>100</v>
      </c>
      <c r="L22" s="116">
        <f t="shared" si="1"/>
        <v>1083.3310355100027</v>
      </c>
      <c r="M22">
        <f t="shared" si="2"/>
        <v>1572.4278408764324</v>
      </c>
      <c r="N22">
        <f t="shared" si="3"/>
        <v>39.653850265471476</v>
      </c>
      <c r="O22">
        <f t="shared" si="4"/>
        <v>1.869616702802078</v>
      </c>
      <c r="P22">
        <f t="shared" si="5"/>
        <v>1402.2125269387234</v>
      </c>
      <c r="Q22">
        <f t="shared" si="6"/>
        <v>309.6395347285507</v>
      </c>
      <c r="R22">
        <f t="shared" si="7"/>
        <v>101.40260766594396</v>
      </c>
      <c r="S22">
        <f t="shared" si="8"/>
        <v>23.475079357159114</v>
      </c>
      <c r="U22">
        <f t="shared" si="9"/>
        <v>-0.37637311710199578</v>
      </c>
      <c r="V22">
        <f t="shared" si="10"/>
        <v>-2.9849286459022606</v>
      </c>
      <c r="W22">
        <f t="shared" si="0"/>
        <v>-23.27912897442301</v>
      </c>
    </row>
    <row r="23" spans="1:23">
      <c r="J23" s="114">
        <v>5</v>
      </c>
      <c r="K23" s="114">
        <v>105</v>
      </c>
      <c r="L23" s="116">
        <f t="shared" si="1"/>
        <v>1069.8003365936886</v>
      </c>
      <c r="M23">
        <f t="shared" si="2"/>
        <v>1641.1484495840405</v>
      </c>
      <c r="N23">
        <f t="shared" si="3"/>
        <v>40.511090451678051</v>
      </c>
      <c r="O23">
        <f t="shared" si="4"/>
        <v>1.951325506555424</v>
      </c>
      <c r="P23">
        <f t="shared" si="5"/>
        <v>1463.4941297466164</v>
      </c>
      <c r="Q23">
        <f t="shared" si="6"/>
        <v>323.17186782094007</v>
      </c>
      <c r="R23">
        <f t="shared" si="7"/>
        <v>101.40097348986889</v>
      </c>
      <c r="S23">
        <f t="shared" si="8"/>
        <v>23.982565547393406</v>
      </c>
      <c r="U23">
        <f t="shared" si="9"/>
        <v>-0.3546164422286609</v>
      </c>
      <c r="V23">
        <f t="shared" si="10"/>
        <v>-2.873179753355509</v>
      </c>
      <c r="W23">
        <f t="shared" si="0"/>
        <v>-22.890391930112845</v>
      </c>
    </row>
    <row r="24" spans="1:23">
      <c r="J24" s="114">
        <v>5</v>
      </c>
      <c r="K24" s="114">
        <v>110</v>
      </c>
      <c r="L24" s="116">
        <f t="shared" si="1"/>
        <v>1056.4386347864413</v>
      </c>
      <c r="M24">
        <f t="shared" si="2"/>
        <v>1709.0107445950132</v>
      </c>
      <c r="N24">
        <f t="shared" si="3"/>
        <v>41.340183170796585</v>
      </c>
      <c r="O24">
        <f t="shared" si="4"/>
        <v>2.0320137753234708</v>
      </c>
      <c r="P24">
        <f t="shared" si="5"/>
        <v>1524.0103313156239</v>
      </c>
      <c r="Q24">
        <f t="shared" si="6"/>
        <v>336.53518339356265</v>
      </c>
      <c r="R24">
        <f t="shared" si="7"/>
        <v>101.39935972449354</v>
      </c>
      <c r="S24">
        <f t="shared" si="8"/>
        <v>24.473388437111577</v>
      </c>
      <c r="U24">
        <f t="shared" si="9"/>
        <v>-0.33484856667090784</v>
      </c>
      <c r="V24">
        <f t="shared" si="10"/>
        <v>-2.7685402161308046</v>
      </c>
      <c r="W24">
        <f t="shared" si="0"/>
        <v>-22.506510173551085</v>
      </c>
    </row>
    <row r="25" spans="1:23">
      <c r="J25" s="114">
        <v>5</v>
      </c>
      <c r="K25" s="114">
        <v>115</v>
      </c>
      <c r="L25" s="116">
        <f t="shared" si="1"/>
        <v>1043.2438193308608</v>
      </c>
      <c r="M25">
        <f t="shared" si="2"/>
        <v>1776.0254461636625</v>
      </c>
      <c r="N25">
        <f t="shared" si="3"/>
        <v>42.142916915700823</v>
      </c>
      <c r="O25">
        <f t="shared" si="4"/>
        <v>2.1116942554885947</v>
      </c>
      <c r="P25">
        <f t="shared" si="5"/>
        <v>1583.770691432527</v>
      </c>
      <c r="Q25">
        <f t="shared" si="6"/>
        <v>349.73159245874643</v>
      </c>
      <c r="R25">
        <f t="shared" si="7"/>
        <v>101.39776611489025</v>
      </c>
      <c r="S25">
        <f t="shared" si="8"/>
        <v>24.948606814094887</v>
      </c>
      <c r="U25">
        <f t="shared" si="9"/>
        <v>-0.31681007473973277</v>
      </c>
      <c r="V25">
        <f t="shared" si="10"/>
        <v>-2.670260131562705</v>
      </c>
      <c r="W25">
        <f t="shared" si="0"/>
        <v>-22.12742306266756</v>
      </c>
    </row>
    <row r="26" spans="1:23">
      <c r="J26" s="114">
        <v>5</v>
      </c>
      <c r="K26" s="114">
        <v>120</v>
      </c>
      <c r="L26" s="116">
        <f t="shared" si="1"/>
        <v>1030.2138058327002</v>
      </c>
      <c r="M26">
        <f t="shared" si="2"/>
        <v>1842.2031406493707</v>
      </c>
      <c r="N26">
        <f t="shared" si="3"/>
        <v>42.920893987070805</v>
      </c>
      <c r="O26">
        <f t="shared" si="4"/>
        <v>2.1903795342321017</v>
      </c>
      <c r="P26">
        <f t="shared" si="5"/>
        <v>1642.7846504833042</v>
      </c>
      <c r="Q26">
        <f t="shared" si="6"/>
        <v>362.763179662482</v>
      </c>
      <c r="R26">
        <f t="shared" si="7"/>
        <v>101.39619240931536</v>
      </c>
      <c r="S26">
        <f t="shared" si="8"/>
        <v>25.409169240345914</v>
      </c>
      <c r="U26">
        <f t="shared" si="9"/>
        <v>-0.30028478638446621</v>
      </c>
      <c r="V26">
        <f t="shared" si="10"/>
        <v>-2.5776982964675752</v>
      </c>
      <c r="W26">
        <f t="shared" si="0"/>
        <v>-21.753070712805631</v>
      </c>
    </row>
    <row r="27" spans="1:23">
      <c r="J27" s="114">
        <v>5</v>
      </c>
      <c r="K27" s="114">
        <v>125</v>
      </c>
      <c r="L27" s="116">
        <f t="shared" si="1"/>
        <v>1017.3465359315934</v>
      </c>
      <c r="M27">
        <f t="shared" si="2"/>
        <v>1907.5542821889237</v>
      </c>
      <c r="N27">
        <f t="shared" si="3"/>
        <v>43.675557033527618</v>
      </c>
      <c r="O27">
        <f t="shared" si="4"/>
        <v>2.2680820415226304</v>
      </c>
      <c r="P27">
        <f t="shared" si="5"/>
        <v>1701.0615309444329</v>
      </c>
      <c r="Q27">
        <f t="shared" si="6"/>
        <v>375.63200361373447</v>
      </c>
      <c r="R27">
        <f t="shared" si="7"/>
        <v>101.39463835916955</v>
      </c>
      <c r="S27">
        <f t="shared" si="8"/>
        <v>25.855929763848348</v>
      </c>
      <c r="U27">
        <f t="shared" si="9"/>
        <v>-0.28509111006586824</v>
      </c>
      <c r="V27">
        <f t="shared" si="10"/>
        <v>-2.4903026074867056</v>
      </c>
      <c r="W27">
        <f t="shared" si="0"/>
        <v>-21.383393987262185</v>
      </c>
    </row>
    <row r="28" spans="1:23">
      <c r="J28" s="114">
        <v>5</v>
      </c>
      <c r="K28" s="114">
        <v>130</v>
      </c>
      <c r="L28" s="116">
        <f t="shared" si="1"/>
        <v>1004.6399769758948</v>
      </c>
      <c r="M28">
        <f t="shared" si="2"/>
        <v>1972.0891943479598</v>
      </c>
      <c r="N28">
        <f t="shared" si="3"/>
        <v>44.408210888843065</v>
      </c>
      <c r="O28">
        <f t="shared" si="4"/>
        <v>2.344814052079724</v>
      </c>
      <c r="P28">
        <f t="shared" si="5"/>
        <v>1758.6105388555702</v>
      </c>
      <c r="Q28">
        <f t="shared" si="6"/>
        <v>388.34009720964411</v>
      </c>
      <c r="R28">
        <f t="shared" si="7"/>
        <v>101.39310371895841</v>
      </c>
      <c r="S28">
        <f t="shared" si="8"/>
        <v>26.289660846195094</v>
      </c>
      <c r="U28">
        <f t="shared" si="9"/>
        <v>-0.271075391120079</v>
      </c>
      <c r="V28">
        <f t="shared" si="10"/>
        <v>-2.4075946271272168</v>
      </c>
      <c r="W28">
        <f t="shared" si="0"/>
        <v>-21.018334487945758</v>
      </c>
    </row>
    <row r="29" spans="1:23">
      <c r="J29" s="114">
        <v>5</v>
      </c>
      <c r="K29" s="114">
        <v>135</v>
      </c>
      <c r="L29" s="116">
        <f t="shared" si="1"/>
        <v>992.09212170157946</v>
      </c>
      <c r="M29">
        <f t="shared" si="2"/>
        <v>2035.8180717517896</v>
      </c>
      <c r="N29">
        <f t="shared" si="3"/>
        <v>45.120040688720458</v>
      </c>
      <c r="O29">
        <f t="shared" si="4"/>
        <v>2.4205876873128775</v>
      </c>
      <c r="P29">
        <f t="shared" si="5"/>
        <v>1815.440765273836</v>
      </c>
      <c r="Q29">
        <f t="shared" si="6"/>
        <v>400.88946795666425</v>
      </c>
      <c r="R29">
        <f t="shared" si="7"/>
        <v>101.39158824625375</v>
      </c>
      <c r="S29">
        <f t="shared" si="8"/>
        <v>26.711064087722509</v>
      </c>
      <c r="U29">
        <f t="shared" si="9"/>
        <v>-0.25810673826394276</v>
      </c>
      <c r="V29">
        <f t="shared" si="10"/>
        <v>-2.3291573065004041</v>
      </c>
      <c r="W29">
        <f t="shared" si="0"/>
        <v>-20.657834546151339</v>
      </c>
    </row>
    <row r="30" spans="1:23">
      <c r="J30" s="114">
        <v>5</v>
      </c>
      <c r="K30" s="114">
        <v>140</v>
      </c>
      <c r="L30" s="116">
        <f t="shared" si="1"/>
        <v>979.70098791515386</v>
      </c>
      <c r="M30">
        <f t="shared" si="2"/>
        <v>2098.7509816958482</v>
      </c>
      <c r="N30">
        <f t="shared" si="3"/>
        <v>45.812127015625983</v>
      </c>
      <c r="O30">
        <f t="shared" si="4"/>
        <v>2.4954149172363636</v>
      </c>
      <c r="P30">
        <f t="shared" si="5"/>
        <v>1871.5611877099332</v>
      </c>
      <c r="Q30">
        <f t="shared" si="6"/>
        <v>413.28209828768837</v>
      </c>
      <c r="R30">
        <f t="shared" si="7"/>
        <v>101.39009170165528</v>
      </c>
      <c r="S30">
        <f t="shared" si="8"/>
        <v>27.120779193250581</v>
      </c>
      <c r="U30">
        <f t="shared" si="9"/>
        <v>-0.24607295870636406</v>
      </c>
      <c r="V30">
        <f t="shared" si="10"/>
        <v>-2.2546251278733678</v>
      </c>
      <c r="W30">
        <f t="shared" si="0"/>
        <v>-20.301837213450433</v>
      </c>
    </row>
    <row r="31" spans="1:23">
      <c r="J31" s="114">
        <v>5</v>
      </c>
      <c r="K31" s="114">
        <v>145</v>
      </c>
      <c r="L31" s="116">
        <f t="shared" si="1"/>
        <v>967.46461818052762</v>
      </c>
      <c r="M31">
        <f t="shared" si="2"/>
        <v>2160.897865736034</v>
      </c>
      <c r="N31">
        <f t="shared" si="3"/>
        <v>46.485458648227123</v>
      </c>
      <c r="O31">
        <f t="shared" si="4"/>
        <v>2.5693075623601445</v>
      </c>
      <c r="P31">
        <f t="shared" si="5"/>
        <v>1926.9806715463333</v>
      </c>
      <c r="Q31">
        <f t="shared" si="6"/>
        <v>425.51994587521693</v>
      </c>
      <c r="R31">
        <f t="shared" si="7"/>
        <v>101.3886138487528</v>
      </c>
      <c r="S31">
        <f t="shared" si="8"/>
        <v>27.519391519750457</v>
      </c>
      <c r="U31">
        <f t="shared" si="9"/>
        <v>-0.23487733427113328</v>
      </c>
      <c r="V31">
        <f t="shared" si="10"/>
        <v>-2.1836761219333169</v>
      </c>
      <c r="W31">
        <f t="shared" si="0"/>
        <v>-19.950286252694848</v>
      </c>
    </row>
    <row r="32" spans="1:23">
      <c r="J32" s="114">
        <v>5</v>
      </c>
      <c r="K32" s="114">
        <v>150</v>
      </c>
      <c r="L32" s="116">
        <f t="shared" si="1"/>
        <v>955.38107950979702</v>
      </c>
      <c r="M32">
        <f t="shared" si="2"/>
        <v>2222.2685412591813</v>
      </c>
      <c r="N32">
        <f t="shared" si="3"/>
        <v>47.140943364120126</v>
      </c>
      <c r="O32">
        <f t="shared" si="4"/>
        <v>2.6422772955571667</v>
      </c>
      <c r="P32">
        <f t="shared" si="5"/>
        <v>1981.7079714377446</v>
      </c>
      <c r="Q32">
        <f t="shared" si="6"/>
        <v>437.60494394061146</v>
      </c>
      <c r="R32">
        <f t="shared" si="7"/>
        <v>101.38715445408886</v>
      </c>
      <c r="S32">
        <f t="shared" si="8"/>
        <v>27.907438471559114</v>
      </c>
      <c r="U32">
        <f t="shared" si="9"/>
        <v>-0.22443604229521494</v>
      </c>
      <c r="V32">
        <f t="shared" si="10"/>
        <v>-2.1160253517411993</v>
      </c>
      <c r="W32">
        <f t="shared" si="0"/>
        <v>-19.603126129132885</v>
      </c>
    </row>
    <row r="33" spans="10:23">
      <c r="J33" s="114">
        <v>5</v>
      </c>
      <c r="K33" s="114">
        <v>155</v>
      </c>
      <c r="L33" s="116">
        <f t="shared" si="1"/>
        <v>943.44846305788792</v>
      </c>
      <c r="M33">
        <f t="shared" si="2"/>
        <v>2282.8727030339214</v>
      </c>
      <c r="N33">
        <f t="shared" si="3"/>
        <v>47.779417148327809</v>
      </c>
      <c r="O33">
        <f t="shared" si="4"/>
        <v>2.7143356439073325</v>
      </c>
      <c r="P33">
        <f t="shared" si="5"/>
        <v>2035.7517326940931</v>
      </c>
      <c r="Q33">
        <f t="shared" si="6"/>
        <v>449.53900155948759</v>
      </c>
      <c r="R33">
        <f t="shared" si="7"/>
        <v>101.38571328712186</v>
      </c>
      <c r="S33">
        <f t="shared" si="8"/>
        <v>28.285414951810061</v>
      </c>
      <c r="U33">
        <f t="shared" si="9"/>
        <v>-0.2146760757080374</v>
      </c>
      <c r="V33">
        <f t="shared" si="10"/>
        <v>-2.0514195546040641</v>
      </c>
      <c r="W33">
        <f t="shared" si="0"/>
        <v>-19.260302001636482</v>
      </c>
    </row>
    <row r="34" spans="10:23">
      <c r="J34" s="114">
        <v>5</v>
      </c>
      <c r="K34" s="114">
        <v>160</v>
      </c>
      <c r="L34" s="116">
        <f t="shared" si="1"/>
        <v>931.66488382101488</v>
      </c>
      <c r="M34">
        <f t="shared" si="2"/>
        <v>2342.7199247421718</v>
      </c>
      <c r="N34">
        <f t="shared" si="3"/>
        <v>48.401652086908889</v>
      </c>
      <c r="O34">
        <f t="shared" si="4"/>
        <v>2.7854939905184422</v>
      </c>
      <c r="P34">
        <f t="shared" si="5"/>
        <v>2089.1204926462278</v>
      </c>
      <c r="Q34">
        <f t="shared" si="6"/>
        <v>461.32400396329285</v>
      </c>
      <c r="R34">
        <f t="shared" si="7"/>
        <v>101.38429012018963</v>
      </c>
      <c r="S34">
        <f t="shared" si="8"/>
        <v>28.65377803545006</v>
      </c>
      <c r="U34">
        <f t="shared" si="9"/>
        <v>-0.20553355309594018</v>
      </c>
      <c r="V34">
        <f t="shared" si="10"/>
        <v>-1.9896327058271823</v>
      </c>
      <c r="W34">
        <f t="shared" si="0"/>
        <v>-18.921759714037904</v>
      </c>
    </row>
    <row r="35" spans="10:23">
      <c r="J35" s="114">
        <v>5</v>
      </c>
      <c r="K35" s="114">
        <v>165</v>
      </c>
      <c r="L35" s="116">
        <f t="shared" si="1"/>
        <v>920.02848033890621</v>
      </c>
      <c r="M35">
        <f t="shared" si="2"/>
        <v>2401.8196604914961</v>
      </c>
      <c r="N35">
        <f t="shared" si="3"/>
        <v>49.008363168866353</v>
      </c>
      <c r="O35">
        <f t="shared" si="4"/>
        <v>2.8557635763243887</v>
      </c>
      <c r="P35">
        <f t="shared" si="5"/>
        <v>2141.8226819945671</v>
      </c>
      <c r="Q35">
        <f t="shared" si="6"/>
        <v>472.96181283711769</v>
      </c>
      <c r="R35">
        <f t="shared" si="7"/>
        <v>101.38288472847351</v>
      </c>
      <c r="S35">
        <f t="shared" si="8"/>
        <v>29.012950995968879</v>
      </c>
      <c r="U35">
        <f t="shared" si="9"/>
        <v>-0.19695233602765427</v>
      </c>
      <c r="V35">
        <f t="shared" si="10"/>
        <v>-1.9304623221999762</v>
      </c>
      <c r="W35">
        <f t="shared" si="0"/>
        <v>-18.587445786574683</v>
      </c>
    </row>
    <row r="36" spans="10:23">
      <c r="J36" s="114">
        <v>5</v>
      </c>
      <c r="K36" s="114">
        <v>170</v>
      </c>
      <c r="L36" s="116">
        <f t="shared" si="1"/>
        <v>908.53741440074668</v>
      </c>
      <c r="M36">
        <f t="shared" si="2"/>
        <v>2460.181246308578</v>
      </c>
      <c r="N36">
        <f t="shared" si="3"/>
        <v>49.600214176035351</v>
      </c>
      <c r="O36">
        <f t="shared" si="4"/>
        <v>2.9251555018608992</v>
      </c>
      <c r="P36">
        <f t="shared" si="5"/>
        <v>2193.8666261409066</v>
      </c>
      <c r="Q36">
        <f t="shared" si="6"/>
        <v>484.45426661378787</v>
      </c>
      <c r="R36">
        <f t="shared" si="7"/>
        <v>101.38149688996279</v>
      </c>
      <c r="S36">
        <f t="shared" si="8"/>
        <v>29.363326792212927</v>
      </c>
      <c r="U36">
        <f t="shared" si="9"/>
        <v>-0.1888828903811918</v>
      </c>
      <c r="V36">
        <f t="shared" si="10"/>
        <v>-1.8737263634191443</v>
      </c>
      <c r="W36">
        <f t="shared" si="0"/>
        <v>-18.257307407441338</v>
      </c>
    </row>
    <row r="37" spans="10:23">
      <c r="J37" s="114">
        <v>5</v>
      </c>
      <c r="K37" s="114">
        <v>175</v>
      </c>
      <c r="L37" s="116">
        <f t="shared" si="1"/>
        <v>897.18987075479561</v>
      </c>
      <c r="M37">
        <f t="shared" si="2"/>
        <v>2517.8139016140385</v>
      </c>
      <c r="N37">
        <f t="shared" si="3"/>
        <v>50.177822806634794</v>
      </c>
      <c r="O37">
        <f t="shared" si="4"/>
        <v>2.9936807290190917</v>
      </c>
      <c r="P37">
        <f t="shared" si="5"/>
        <v>2245.2605465035826</v>
      </c>
      <c r="Q37">
        <f t="shared" si="6"/>
        <v>495.80318076428216</v>
      </c>
      <c r="R37">
        <f t="shared" si="7"/>
        <v>101.38012638541963</v>
      </c>
      <c r="S37">
        <f t="shared" si="8"/>
        <v>29.705271101527796</v>
      </c>
      <c r="U37">
        <f t="shared" si="9"/>
        <v>-0.18128134287186132</v>
      </c>
      <c r="V37">
        <f t="shared" si="10"/>
        <v>-1.8192606201546129</v>
      </c>
      <c r="W37">
        <f t="shared" si="0"/>
        <v>-17.931292424446713</v>
      </c>
    </row>
    <row r="38" spans="10:23">
      <c r="J38" s="114">
        <v>5</v>
      </c>
      <c r="K38" s="114">
        <v>180</v>
      </c>
      <c r="L38" s="116">
        <f t="shared" si="1"/>
        <v>885.98405682162877</v>
      </c>
      <c r="M38">
        <f t="shared" si="2"/>
        <v>2574.7267306788349</v>
      </c>
      <c r="N38">
        <f t="shared" si="3"/>
        <v>50.741765151390183</v>
      </c>
      <c r="O38">
        <f t="shared" si="4"/>
        <v>3.0613500827771345</v>
      </c>
      <c r="P38">
        <f t="shared" si="5"/>
        <v>2296.012561816221</v>
      </c>
      <c r="Q38">
        <f t="shared" si="6"/>
        <v>507.0103480845242</v>
      </c>
      <c r="R38">
        <f t="shared" si="7"/>
        <v>101.37877299834447</v>
      </c>
      <c r="S38">
        <f t="shared" si="8"/>
        <v>30.039124969622986</v>
      </c>
      <c r="U38">
        <f t="shared" si="9"/>
        <v>-0.1741086948256356</v>
      </c>
      <c r="V38">
        <f t="shared" si="10"/>
        <v>-1.7669165007314931</v>
      </c>
      <c r="W38">
        <f t="shared" si="0"/>
        <v>-17.609349336775413</v>
      </c>
    </row>
    <row r="39" spans="10:23">
      <c r="J39" s="114">
        <v>5</v>
      </c>
      <c r="K39" s="114">
        <v>185</v>
      </c>
      <c r="L39" s="116">
        <f t="shared" si="1"/>
        <v>874.91820241096423</v>
      </c>
      <c r="M39">
        <f t="shared" si="2"/>
        <v>2630.9287240624685</v>
      </c>
      <c r="N39">
        <f t="shared" si="3"/>
        <v>51.292579619887206</v>
      </c>
      <c r="O39">
        <f t="shared" si="4"/>
        <v>3.128174252910275</v>
      </c>
      <c r="P39">
        <f t="shared" si="5"/>
        <v>2346.1306894102563</v>
      </c>
      <c r="Q39">
        <f t="shared" si="6"/>
        <v>518.07753897859141</v>
      </c>
      <c r="R39">
        <f t="shared" si="7"/>
        <v>101.37743651494181</v>
      </c>
      <c r="S39">
        <f t="shared" si="8"/>
        <v>30.365207134973225</v>
      </c>
      <c r="U39">
        <f t="shared" si="9"/>
        <v>-0.16733016344875043</v>
      </c>
      <c r="V39">
        <f t="shared" si="10"/>
        <v>-1.7165591463007543</v>
      </c>
      <c r="W39">
        <f t="shared" si="0"/>
        <v>-17.291427286852208</v>
      </c>
    </row>
    <row r="40" spans="10:23">
      <c r="J40" s="114">
        <v>5</v>
      </c>
      <c r="K40" s="114">
        <v>190</v>
      </c>
      <c r="L40" s="116">
        <f t="shared" si="1"/>
        <v>863.99055944202394</v>
      </c>
      <c r="M40">
        <f t="shared" si="2"/>
        <v>2686.4287600332304</v>
      </c>
      <c r="N40">
        <f t="shared" si="3"/>
        <v>51.830770397836368</v>
      </c>
      <c r="O40">
        <f t="shared" si="4"/>
        <v>3.1941637956795108</v>
      </c>
      <c r="P40">
        <f t="shared" si="5"/>
        <v>2395.6228464814358</v>
      </c>
      <c r="Q40">
        <f t="shared" si="6"/>
        <v>529.0065017383871</v>
      </c>
      <c r="R40">
        <f t="shared" si="7"/>
        <v>101.3761167240864</v>
      </c>
      <c r="S40">
        <f t="shared" si="8"/>
        <v>30.683816075519129</v>
      </c>
      <c r="U40">
        <f t="shared" si="9"/>
        <v>-0.16091462710738619</v>
      </c>
      <c r="V40">
        <f t="shared" si="10"/>
        <v>-1.668065818251278</v>
      </c>
      <c r="W40">
        <f t="shared" si="0"/>
        <v>-16.97747605230802</v>
      </c>
    </row>
    <row r="41" spans="10:23">
      <c r="J41" s="114">
        <v>5</v>
      </c>
      <c r="K41" s="114">
        <v>195</v>
      </c>
      <c r="L41" s="116">
        <f t="shared" si="1"/>
        <v>853.19940166738809</v>
      </c>
      <c r="M41">
        <f t="shared" si="2"/>
        <v>2741.2356059707063</v>
      </c>
      <c r="N41">
        <f t="shared" si="3"/>
        <v>52.356810502270918</v>
      </c>
      <c r="O41">
        <f t="shared" si="4"/>
        <v>3.2593291354991698</v>
      </c>
      <c r="P41">
        <f t="shared" si="5"/>
        <v>2444.4968513405042</v>
      </c>
      <c r="Q41">
        <f t="shared" si="6"/>
        <v>539.79896281981928</v>
      </c>
      <c r="R41">
        <f t="shared" si="7"/>
        <v>101.37481341729003</v>
      </c>
      <c r="S41">
        <f t="shared" si="8"/>
        <v>30.995231817344383</v>
      </c>
      <c r="U41">
        <f t="shared" si="9"/>
        <v>-0.15483415594895647</v>
      </c>
      <c r="V41">
        <f t="shared" si="10"/>
        <v>-1.6213245124597153</v>
      </c>
      <c r="W41">
        <f t="shared" si="0"/>
        <v>-16.667446038046258</v>
      </c>
    </row>
    <row r="42" spans="10:23">
      <c r="J42" s="114">
        <v>5</v>
      </c>
      <c r="K42" s="114">
        <v>200</v>
      </c>
      <c r="L42" s="116">
        <f t="shared" si="1"/>
        <v>842.54302440029892</v>
      </c>
      <c r="M42">
        <f t="shared" si="2"/>
        <v>2795.3579197507665</v>
      </c>
      <c r="N42">
        <f t="shared" si="3"/>
        <v>52.871144490645996</v>
      </c>
      <c r="O42">
        <f t="shared" si="4"/>
        <v>3.3236805665836613</v>
      </c>
      <c r="P42">
        <f t="shared" si="5"/>
        <v>2492.7604246482683</v>
      </c>
      <c r="Q42">
        <f t="shared" si="6"/>
        <v>550.45662711553018</v>
      </c>
      <c r="R42">
        <f t="shared" si="7"/>
        <v>101.37352638866832</v>
      </c>
      <c r="S42">
        <f t="shared" si="8"/>
        <v>31.299717538462428</v>
      </c>
      <c r="U42">
        <f t="shared" si="9"/>
        <v>-0.14906361293022116</v>
      </c>
      <c r="V42">
        <f t="shared" si="10"/>
        <v>-1.5762327635062898</v>
      </c>
      <c r="W42">
        <f t="shared" si="0"/>
        <v>-16.361288268408241</v>
      </c>
    </row>
    <row r="43" spans="10:23">
      <c r="J43" s="114">
        <v>5</v>
      </c>
      <c r="K43" s="114">
        <v>205</v>
      </c>
      <c r="L43" s="116">
        <f t="shared" si="1"/>
        <v>832.01974424536968</v>
      </c>
      <c r="M43">
        <f t="shared" si="2"/>
        <v>2848.8042511132571</v>
      </c>
      <c r="N43">
        <f t="shared" si="3"/>
        <v>53.374190870806252</v>
      </c>
      <c r="O43">
        <f t="shared" si="4"/>
        <v>3.3872282545736625</v>
      </c>
      <c r="P43">
        <f t="shared" si="5"/>
        <v>2540.4211906352348</v>
      </c>
      <c r="Q43">
        <f t="shared" si="6"/>
        <v>560.98117822421921</v>
      </c>
      <c r="R43">
        <f t="shared" si="7"/>
        <v>101.37225543490854</v>
      </c>
      <c r="S43">
        <f t="shared" si="8"/>
        <v>31.5975209955173</v>
      </c>
      <c r="U43">
        <f t="shared" si="9"/>
        <v>-0.14358031323154768</v>
      </c>
      <c r="V43">
        <f t="shared" si="10"/>
        <v>-1.5326966087421547</v>
      </c>
      <c r="W43">
        <f t="shared" si="0"/>
        <v>-16.058954379436504</v>
      </c>
    </row>
    <row r="44" spans="10:23">
      <c r="J44" s="114">
        <v>5</v>
      </c>
      <c r="K44" s="114">
        <v>210</v>
      </c>
      <c r="L44" s="116">
        <f t="shared" si="1"/>
        <v>821.62789883265793</v>
      </c>
      <c r="M44">
        <f t="shared" si="2"/>
        <v>2901.5830430126075</v>
      </c>
      <c r="N44">
        <f t="shared" si="3"/>
        <v>53.866344251421104</v>
      </c>
      <c r="O44">
        <f t="shared" si="4"/>
        <v>3.44998223814199</v>
      </c>
      <c r="P44">
        <f t="shared" si="5"/>
        <v>2587.4866783060143</v>
      </c>
      <c r="Q44">
        <f t="shared" si="6"/>
        <v>571.37427871660236</v>
      </c>
      <c r="R44">
        <f t="shared" si="7"/>
        <v>101.37100035523716</v>
      </c>
      <c r="S44">
        <f t="shared" si="8"/>
        <v>31.88887579684129</v>
      </c>
      <c r="U44">
        <f t="shared" si="9"/>
        <v>-0.13836373232629487</v>
      </c>
      <c r="V44">
        <f t="shared" si="10"/>
        <v>-1.4906296874799365</v>
      </c>
      <c r="W44">
        <f t="shared" si="0"/>
        <v>-15.760396611234679</v>
      </c>
    </row>
    <row r="45" spans="10:23">
      <c r="J45" s="114">
        <v>5</v>
      </c>
      <c r="K45" s="114">
        <v>215</v>
      </c>
      <c r="L45" s="116">
        <f t="shared" si="1"/>
        <v>811.36584655505919</v>
      </c>
      <c r="M45">
        <f t="shared" si="2"/>
        <v>2953.7026329515702</v>
      </c>
      <c r="N45">
        <f t="shared" si="3"/>
        <v>54.34797726642244</v>
      </c>
      <c r="O45">
        <f t="shared" si="4"/>
        <v>3.511952430579417</v>
      </c>
      <c r="P45">
        <f t="shared" si="5"/>
        <v>2633.9643226286876</v>
      </c>
      <c r="Q45">
        <f t="shared" si="6"/>
        <v>581.63757039804977</v>
      </c>
      <c r="R45">
        <f t="shared" si="7"/>
        <v>101.36976095138841</v>
      </c>
      <c r="S45">
        <f t="shared" si="8"/>
        <v>32.174002541722082</v>
      </c>
      <c r="U45">
        <f t="shared" si="9"/>
        <v>-0.13339525478471795</v>
      </c>
      <c r="V45">
        <f t="shared" si="10"/>
        <v>-1.4499524548976961</v>
      </c>
      <c r="W45">
        <f t="shared" si="0"/>
        <v>-15.465567800422832</v>
      </c>
    </row>
    <row r="46" spans="10:23">
      <c r="J46" s="114">
        <v>5</v>
      </c>
      <c r="K46" s="114">
        <v>220</v>
      </c>
      <c r="L46" s="116">
        <f t="shared" si="1"/>
        <v>801.23196630898224</v>
      </c>
      <c r="M46">
        <f t="shared" si="2"/>
        <v>3005.1712542983023</v>
      </c>
      <c r="N46">
        <f t="shared" si="3"/>
        <v>54.81944230196347</v>
      </c>
      <c r="O46">
        <f t="shared" si="4"/>
        <v>3.5731486213606813</v>
      </c>
      <c r="P46">
        <f t="shared" si="5"/>
        <v>2679.8614657093058</v>
      </c>
      <c r="Q46">
        <f t="shared" si="6"/>
        <v>591.77267456794243</v>
      </c>
      <c r="R46">
        <f t="shared" si="7"/>
        <v>101.36853702757278</v>
      </c>
      <c r="S46">
        <f t="shared" si="8"/>
        <v>32.453109842762373</v>
      </c>
      <c r="U46">
        <f t="shared" si="9"/>
        <v>-0.12865795733190249</v>
      </c>
      <c r="V46">
        <f t="shared" si="10"/>
        <v>-1.4105914937289412</v>
      </c>
      <c r="W46">
        <f t="shared" si="0"/>
        <v>-15.174421372687064</v>
      </c>
    </row>
    <row r="47" spans="10:23">
      <c r="J47" s="114">
        <v>5</v>
      </c>
      <c r="K47" s="114">
        <v>225</v>
      </c>
      <c r="L47" s="116">
        <f t="shared" si="1"/>
        <v>791.22465723826065</v>
      </c>
      <c r="M47">
        <f t="shared" si="2"/>
        <v>3055.9970375869957</v>
      </c>
      <c r="N47">
        <f t="shared" si="3"/>
        <v>55.281073050249269</v>
      </c>
      <c r="O47">
        <f t="shared" si="4"/>
        <v>3.6335804776909377</v>
      </c>
      <c r="P47">
        <f t="shared" si="5"/>
        <v>2725.1853579517347</v>
      </c>
      <c r="Q47">
        <f t="shared" si="6"/>
        <v>601.78119227579054</v>
      </c>
      <c r="R47">
        <f t="shared" si="7"/>
        <v>101.36732839044619</v>
      </c>
      <c r="S47">
        <f t="shared" si="8"/>
        <v>32.726395245747568</v>
      </c>
      <c r="U47">
        <f t="shared" si="9"/>
        <v>-0.12413642083132329</v>
      </c>
      <c r="V47">
        <f t="shared" si="10"/>
        <v>-1.3724789096345735</v>
      </c>
      <c r="W47">
        <f t="shared" si="0"/>
        <v>-14.886911335422099</v>
      </c>
    </row>
    <row r="48" spans="10:23">
      <c r="J48" s="114">
        <v>5</v>
      </c>
      <c r="K48" s="114">
        <v>230</v>
      </c>
      <c r="L48" s="116">
        <f t="shared" si="1"/>
        <v>781.34233848126598</v>
      </c>
      <c r="M48">
        <f t="shared" si="2"/>
        <v>3106.1880118022636</v>
      </c>
      <c r="N48">
        <f t="shared" si="3"/>
        <v>55.733185911109224</v>
      </c>
      <c r="O48">
        <f t="shared" si="4"/>
        <v>3.6932575460328914</v>
      </c>
      <c r="P48">
        <f t="shared" si="5"/>
        <v>2769.9431592030028</v>
      </c>
      <c r="Q48">
        <f t="shared" si="6"/>
        <v>611.6647045741521</v>
      </c>
      <c r="R48">
        <f t="shared" si="7"/>
        <v>101.36613484907934</v>
      </c>
      <c r="S48">
        <f t="shared" si="8"/>
        <v>32.994046059376657</v>
      </c>
      <c r="U48">
        <f t="shared" si="9"/>
        <v>-0.11981656679230158</v>
      </c>
      <c r="V48">
        <f t="shared" si="10"/>
        <v>-1.3355517984532361</v>
      </c>
      <c r="W48">
        <f t="shared" si="0"/>
        <v>-14.602992270465808</v>
      </c>
    </row>
    <row r="49" spans="10:23">
      <c r="J49" s="114">
        <v>5</v>
      </c>
      <c r="K49" s="114">
        <v>235</v>
      </c>
      <c r="L49" s="116">
        <f t="shared" si="1"/>
        <v>771.58344892117702</v>
      </c>
      <c r="M49">
        <f t="shared" si="2"/>
        <v>3155.7521056474848</v>
      </c>
      <c r="N49">
        <f t="shared" si="3"/>
        <v>56.176081259264471</v>
      </c>
      <c r="O49">
        <f t="shared" si="4"/>
        <v>3.7521892536148593</v>
      </c>
      <c r="P49">
        <f t="shared" si="5"/>
        <v>2814.1419398843459</v>
      </c>
      <c r="Q49">
        <f t="shared" si="6"/>
        <v>621.4247727683927</v>
      </c>
      <c r="R49">
        <f t="shared" si="7"/>
        <v>101.3649562149277</v>
      </c>
      <c r="S49">
        <f t="shared" si="8"/>
        <v>33.256240105484565</v>
      </c>
      <c r="U49">
        <f t="shared" si="9"/>
        <v>-0.1156855147488654</v>
      </c>
      <c r="V49">
        <f t="shared" si="10"/>
        <v>-1.2997517754104204</v>
      </c>
      <c r="W49">
        <f t="shared" si="0"/>
        <v>-14.322619326924498</v>
      </c>
    </row>
    <row r="50" spans="10:23">
      <c r="J50" s="114">
        <v>5</v>
      </c>
      <c r="K50" s="114">
        <v>240</v>
      </c>
      <c r="L50" s="116">
        <f t="shared" si="1"/>
        <v>761.94644693936925</v>
      </c>
      <c r="M50">
        <f t="shared" si="2"/>
        <v>3204.6971487973074</v>
      </c>
      <c r="N50">
        <f t="shared" si="3"/>
        <v>56.610044592786778</v>
      </c>
      <c r="O50">
        <f t="shared" si="4"/>
        <v>3.8103849099199985</v>
      </c>
      <c r="P50">
        <f t="shared" si="5"/>
        <v>2857.7886821081311</v>
      </c>
      <c r="Q50">
        <f t="shared" si="6"/>
        <v>631.06293866332658</v>
      </c>
      <c r="R50">
        <f t="shared" si="7"/>
        <v>101.36379230180161</v>
      </c>
      <c r="S50">
        <f t="shared" si="8"/>
        <v>33.51314639892977</v>
      </c>
      <c r="U50">
        <f t="shared" si="9"/>
        <v>-0.11173145746626668</v>
      </c>
      <c r="V50">
        <f t="shared" si="10"/>
        <v>-1.2650245579164832</v>
      </c>
      <c r="W50">
        <f t="shared" si="0"/>
        <v>-14.045748214087734</v>
      </c>
    </row>
    <row r="51" spans="10:23">
      <c r="J51" s="114">
        <v>5</v>
      </c>
      <c r="K51" s="114">
        <v>245</v>
      </c>
      <c r="L51" s="116">
        <f t="shared" si="1"/>
        <v>752.42981017188424</v>
      </c>
      <c r="M51">
        <f t="shared" si="2"/>
        <v>3253.0308731345062</v>
      </c>
      <c r="N51">
        <f t="shared" si="3"/>
        <v>57.035347576169869</v>
      </c>
      <c r="O51">
        <f t="shared" si="4"/>
        <v>3.867853708156928</v>
      </c>
      <c r="P51">
        <f t="shared" si="5"/>
        <v>2900.8902807808231</v>
      </c>
      <c r="Q51">
        <f t="shared" si="6"/>
        <v>640.58072480677629</v>
      </c>
      <c r="R51">
        <f t="shared" si="7"/>
        <v>101.36264292583687</v>
      </c>
      <c r="S51">
        <f t="shared" si="8"/>
        <v>33.764925765092563</v>
      </c>
      <c r="U51">
        <f t="shared" si="9"/>
        <v>-0.10794355142834645</v>
      </c>
      <c r="V51">
        <f t="shared" si="10"/>
        <v>-1.2313195948643816</v>
      </c>
      <c r="W51">
        <f t="shared" si="0"/>
        <v>-13.772335194431742</v>
      </c>
    </row>
    <row r="52" spans="10:23">
      <c r="J52" s="114">
        <v>5</v>
      </c>
      <c r="K52" s="114">
        <v>250</v>
      </c>
      <c r="L52" s="116">
        <f t="shared" si="1"/>
        <v>743.03203526894094</v>
      </c>
      <c r="M52">
        <f t="shared" si="2"/>
        <v>3300.7609139713954</v>
      </c>
      <c r="N52">
        <f t="shared" si="3"/>
        <v>57.452248989673116</v>
      </c>
      <c r="O52">
        <f t="shared" si="4"/>
        <v>3.9246047267119892</v>
      </c>
      <c r="P52">
        <f t="shared" si="5"/>
        <v>2943.4535446921768</v>
      </c>
      <c r="Q52">
        <f t="shared" si="6"/>
        <v>649.97963473009065</v>
      </c>
      <c r="R52">
        <f t="shared" si="7"/>
        <v>101.36150790546577</v>
      </c>
      <c r="S52">
        <f t="shared" si="8"/>
        <v>34.011731401886486</v>
      </c>
      <c r="U52">
        <f t="shared" si="9"/>
        <v>-0.10431182046642998</v>
      </c>
      <c r="V52">
        <f t="shared" si="10"/>
        <v>-1.198589736400683</v>
      </c>
      <c r="W52">
        <f t="shared" si="0"/>
        <v>-13.502337076710154</v>
      </c>
    </row>
    <row r="53" spans="10:23">
      <c r="J53" s="114">
        <v>5</v>
      </c>
      <c r="K53" s="114">
        <v>255</v>
      </c>
      <c r="L53" s="116">
        <f t="shared" si="1"/>
        <v>733.75163765745083</v>
      </c>
      <c r="M53">
        <f t="shared" si="2"/>
        <v>3347.8948112559833</v>
      </c>
      <c r="N53">
        <f t="shared" si="3"/>
        <v>57.860995595098288</v>
      </c>
      <c r="O53">
        <f t="shared" si="4"/>
        <v>3.9806469305833638</v>
      </c>
      <c r="P53">
        <f t="shared" si="5"/>
        <v>2985.4851975908264</v>
      </c>
      <c r="Q53">
        <f t="shared" si="6"/>
        <v>659.26115318565826</v>
      </c>
      <c r="R53">
        <f t="shared" si="7"/>
        <v>101.36038706138834</v>
      </c>
      <c r="S53">
        <f t="shared" si="8"/>
        <v>34.253709392298184</v>
      </c>
      <c r="U53">
        <f t="shared" si="9"/>
        <v>-0.10082707072601145</v>
      </c>
      <c r="V53">
        <f t="shared" si="10"/>
        <v>-1.1667909390288824</v>
      </c>
      <c r="W53">
        <f t="shared" si="0"/>
        <v>-13.235711209131063</v>
      </c>
    </row>
    <row r="54" spans="10:23">
      <c r="J54" s="114">
        <v>5</v>
      </c>
      <c r="K54" s="114">
        <v>260</v>
      </c>
      <c r="L54" s="116">
        <f t="shared" si="1"/>
        <v>724.58715130649762</v>
      </c>
      <c r="M54">
        <f t="shared" si="2"/>
        <v>3394.4400107630631</v>
      </c>
      <c r="N54">
        <f t="shared" si="3"/>
        <v>58.26182292687951</v>
      </c>
      <c r="O54">
        <f t="shared" si="4"/>
        <v>4.0359891727972821</v>
      </c>
      <c r="P54">
        <f t="shared" si="5"/>
        <v>3026.991879246445</v>
      </c>
      <c r="Q54">
        <f t="shared" si="6"/>
        <v>668.42674638145581</v>
      </c>
      <c r="R54">
        <f t="shared" si="7"/>
        <v>101.35928021654405</v>
      </c>
      <c r="S54">
        <f t="shared" si="8"/>
        <v>34.490999172712669</v>
      </c>
      <c r="U54">
        <f t="shared" si="9"/>
        <v>-9.7480815444987795E-2</v>
      </c>
      <c r="V54">
        <f t="shared" si="10"/>
        <v>-1.1358820016447402</v>
      </c>
      <c r="W54">
        <f t="shared" si="0"/>
        <v>-12.972415472619257</v>
      </c>
    </row>
    <row r="55" spans="10:23">
      <c r="J55" s="114">
        <v>5</v>
      </c>
      <c r="K55" s="114">
        <v>265</v>
      </c>
      <c r="L55" s="116">
        <f t="shared" si="1"/>
        <v>715.53712849574822</v>
      </c>
      <c r="M55">
        <f t="shared" si="2"/>
        <v>3440.4038652704276</v>
      </c>
      <c r="N55">
        <f t="shared" si="3"/>
        <v>58.654956016268798</v>
      </c>
      <c r="O55">
        <f t="shared" si="4"/>
        <v>4.0906401958065386</v>
      </c>
      <c r="P55">
        <f t="shared" si="5"/>
        <v>3067.9801464986276</v>
      </c>
      <c r="Q55">
        <f t="shared" si="6"/>
        <v>677.47786221266529</v>
      </c>
      <c r="R55">
        <f t="shared" si="7"/>
        <v>101.35818719608388</v>
      </c>
      <c r="S55">
        <f t="shared" si="8"/>
        <v>34.723733961631126</v>
      </c>
      <c r="U55">
        <f t="shared" si="9"/>
        <v>-9.4265208247575755E-2</v>
      </c>
      <c r="V55">
        <f t="shared" si="10"/>
        <v>-1.105824328725195</v>
      </c>
      <c r="W55">
        <f t="shared" si="0"/>
        <v>-12.712408274162687</v>
      </c>
    </row>
    <row r="56" spans="10:23">
      <c r="J56" s="114">
        <v>5</v>
      </c>
      <c r="K56" s="114">
        <v>270</v>
      </c>
      <c r="L56" s="116">
        <f t="shared" si="1"/>
        <v>706.60013958675574</v>
      </c>
      <c r="M56">
        <f t="shared" si="2"/>
        <v>3485.7936357203926</v>
      </c>
      <c r="N56">
        <f t="shared" si="3"/>
        <v>59.040610055455836</v>
      </c>
      <c r="O56">
        <f t="shared" si="4"/>
        <v>4.144608632871547</v>
      </c>
      <c r="P56">
        <f t="shared" si="5"/>
        <v>3108.4564742926837</v>
      </c>
      <c r="Q56">
        <f t="shared" si="6"/>
        <v>686.41593049039909</v>
      </c>
      <c r="R56">
        <f t="shared" si="7"/>
        <v>101.35710782734257</v>
      </c>
      <c r="S56">
        <f t="shared" si="8"/>
        <v>34.952041152829857</v>
      </c>
      <c r="U56">
        <f t="shared" si="9"/>
        <v>-9.1172983850028394E-2</v>
      </c>
      <c r="V56">
        <f t="shared" si="10"/>
        <v>-1.0765817174163799</v>
      </c>
      <c r="W56">
        <f t="shared" si="0"/>
        <v>-12.455648540241954</v>
      </c>
    </row>
    <row r="57" spans="10:23">
      <c r="J57" s="114">
        <v>5</v>
      </c>
      <c r="K57" s="114">
        <v>275</v>
      </c>
      <c r="L57" s="116">
        <f t="shared" si="1"/>
        <v>697.77477279711798</v>
      </c>
      <c r="M57">
        <f t="shared" si="2"/>
        <v>3530.6164923668125</v>
      </c>
      <c r="N57">
        <f t="shared" si="3"/>
        <v>59.41899100764681</v>
      </c>
      <c r="O57">
        <f t="shared" si="4"/>
        <v>4.1979030094241399</v>
      </c>
      <c r="P57">
        <f t="shared" si="5"/>
        <v>3148.4272567024864</v>
      </c>
      <c r="Q57">
        <f t="shared" si="6"/>
        <v>695.24236316756787</v>
      </c>
      <c r="R57">
        <f t="shared" si="7"/>
        <v>101.35604193981152</v>
      </c>
      <c r="S57">
        <f t="shared" si="8"/>
        <v>35.176042676526912</v>
      </c>
      <c r="U57">
        <f t="shared" si="9"/>
        <v>-8.8197405234829732E-2</v>
      </c>
      <c r="V57">
        <f t="shared" si="10"/>
        <v>-1.0481201657092258</v>
      </c>
      <c r="W57">
        <f t="shared" si="0"/>
        <v>-12.202095710341917</v>
      </c>
    </row>
    <row r="58" spans="10:23">
      <c r="J58" s="114">
        <v>5</v>
      </c>
      <c r="K58" s="114">
        <v>280</v>
      </c>
      <c r="L58" s="116">
        <f t="shared" si="1"/>
        <v>689.05963397745643</v>
      </c>
      <c r="M58">
        <f t="shared" si="2"/>
        <v>3574.8795159077717</v>
      </c>
      <c r="N58">
        <f t="shared" si="3"/>
        <v>59.790296168423282</v>
      </c>
      <c r="O58">
        <f t="shared" si="4"/>
        <v>4.2505317444143405</v>
      </c>
      <c r="P58">
        <f t="shared" si="5"/>
        <v>3187.8988079405531</v>
      </c>
      <c r="Q58">
        <f t="shared" si="6"/>
        <v>703.9585545619293</v>
      </c>
      <c r="R58">
        <f t="shared" si="7"/>
        <v>101.35498936511171</v>
      </c>
      <c r="S58">
        <f t="shared" si="8"/>
        <v>35.395855331706578</v>
      </c>
      <c r="U58">
        <f t="shared" si="9"/>
        <v>-8.5332216484808085E-2</v>
      </c>
      <c r="V58">
        <f t="shared" si="10"/>
        <v>-1.0204076992669373</v>
      </c>
      <c r="W58">
        <f t="shared" si="0"/>
        <v>-11.951709730544291</v>
      </c>
    </row>
    <row r="59" spans="10:23">
      <c r="J59" s="114">
        <v>5</v>
      </c>
      <c r="K59" s="114">
        <v>285</v>
      </c>
      <c r="L59" s="116">
        <f t="shared" si="1"/>
        <v>680.45334639118266</v>
      </c>
      <c r="M59">
        <f t="shared" si="2"/>
        <v>3618.5896986041257</v>
      </c>
      <c r="N59">
        <f t="shared" si="3"/>
        <v>60.154714683091349</v>
      </c>
      <c r="O59">
        <f t="shared" si="4"/>
        <v>4.3025031516403054</v>
      </c>
      <c r="P59">
        <f t="shared" si="5"/>
        <v>3226.8773633555002</v>
      </c>
      <c r="Q59">
        <f t="shared" si="6"/>
        <v>712.56588157634758</v>
      </c>
      <c r="R59">
        <f t="shared" si="7"/>
        <v>101.3539499369672</v>
      </c>
      <c r="S59">
        <f t="shared" si="8"/>
        <v>35.611591092390078</v>
      </c>
      <c r="U59">
        <f t="shared" si="9"/>
        <v>-8.2571600582090537E-2</v>
      </c>
      <c r="V59">
        <f t="shared" si="10"/>
        <v>-0.99341421478836722</v>
      </c>
      <c r="W59">
        <f t="shared" si="0"/>
        <v>-11.704451047200342</v>
      </c>
    </row>
    <row r="60" spans="10:23">
      <c r="J60" s="114">
        <v>5</v>
      </c>
      <c r="K60" s="114">
        <v>290</v>
      </c>
      <c r="L60" s="116">
        <f t="shared" si="1"/>
        <v>671.95455049701422</v>
      </c>
      <c r="M60">
        <f t="shared" si="2"/>
        <v>3661.7539453840741</v>
      </c>
      <c r="N60">
        <f t="shared" si="3"/>
        <v>60.51242802420073</v>
      </c>
      <c r="O60">
        <f t="shared" si="4"/>
        <v>4.3538254410616641</v>
      </c>
      <c r="P60">
        <f t="shared" si="5"/>
        <v>3265.3690804170496</v>
      </c>
      <c r="Q60">
        <f t="shared" si="6"/>
        <v>721.06570391630441</v>
      </c>
      <c r="R60">
        <f t="shared" si="7"/>
        <v>101.35292349117877</v>
      </c>
      <c r="S60">
        <f t="shared" si="8"/>
        <v>35.823357390326834</v>
      </c>
      <c r="U60">
        <f t="shared" si="9"/>
        <v>-7.9910141572693008E-2</v>
      </c>
      <c r="V60">
        <f t="shared" si="10"/>
        <v>-0.96711133806425531</v>
      </c>
      <c r="W60">
        <f t="shared" si="0"/>
        <v>-11.460280600682539</v>
      </c>
    </row>
    <row r="61" spans="10:23">
      <c r="J61" s="114">
        <v>5</v>
      </c>
      <c r="K61" s="114">
        <v>295</v>
      </c>
      <c r="L61" s="116">
        <f t="shared" si="1"/>
        <v>663.56190373420623</v>
      </c>
      <c r="M61">
        <f t="shared" si="2"/>
        <v>3704.3790749339378</v>
      </c>
      <c r="N61">
        <f t="shared" si="3"/>
        <v>60.86361043295031</v>
      </c>
      <c r="O61">
        <f t="shared" si="4"/>
        <v>4.4045067200964523</v>
      </c>
      <c r="P61">
        <f t="shared" si="5"/>
        <v>3303.3800396887268</v>
      </c>
      <c r="Q61">
        <f t="shared" si="6"/>
        <v>729.45936430469317</v>
      </c>
      <c r="R61">
        <f t="shared" si="7"/>
        <v>101.35190986559806</v>
      </c>
      <c r="S61">
        <f t="shared" si="8"/>
        <v>36.031257376306584</v>
      </c>
      <c r="U61">
        <f t="shared" si="9"/>
        <v>-7.7342790578788942E-2</v>
      </c>
      <c r="V61">
        <f t="shared" si="10"/>
        <v>-0.94147229511693398</v>
      </c>
      <c r="W61">
        <f t="shared" si="0"/>
        <v>-11.219159819214294</v>
      </c>
    </row>
    <row r="62" spans="10:23">
      <c r="J62" s="114">
        <v>5</v>
      </c>
      <c r="K62" s="114">
        <v>300</v>
      </c>
      <c r="L62" s="116">
        <f t="shared" si="1"/>
        <v>655.27408031046662</v>
      </c>
      <c r="M62">
        <f t="shared" si="2"/>
        <v>3746.4718207753108</v>
      </c>
      <c r="N62">
        <f t="shared" si="3"/>
        <v>61.208429327792025</v>
      </c>
      <c r="O62">
        <f t="shared" si="4"/>
        <v>4.4545549949018444</v>
      </c>
      <c r="P62">
        <f t="shared" si="5"/>
        <v>3340.9162457884117</v>
      </c>
      <c r="Q62">
        <f t="shared" si="6"/>
        <v>737.7481886939288</v>
      </c>
      <c r="R62">
        <f t="shared" si="7"/>
        <v>101.35090890010197</v>
      </c>
      <c r="S62">
        <f t="shared" si="8"/>
        <v>36.23539016205288</v>
      </c>
      <c r="U62">
        <f t="shared" si="9"/>
        <v>-7.486483520976113E-2</v>
      </c>
      <c r="V62">
        <f t="shared" si="10"/>
        <v>-0.916471795014692</v>
      </c>
      <c r="W62">
        <f t="shared" si="0"/>
        <v>-10.981050612776743</v>
      </c>
    </row>
    <row r="63" spans="10:23">
      <c r="J63" s="114">
        <v>5</v>
      </c>
      <c r="K63" s="114">
        <v>305</v>
      </c>
      <c r="L63" s="116">
        <f>$B$10-Q63-R63</f>
        <v>34654.066513524587</v>
      </c>
      <c r="M63">
        <f t="shared" si="2"/>
        <v>3788.0388323287589</v>
      </c>
      <c r="N63">
        <f t="shared" si="3"/>
        <v>61.547045683190667</v>
      </c>
      <c r="O63">
        <f t="shared" si="4"/>
        <v>4.5039781716388942</v>
      </c>
      <c r="P63">
        <f t="shared" si="5"/>
        <v>3377.9836283368945</v>
      </c>
      <c r="Q63">
        <f t="shared" si="6"/>
        <v>745.93348647541052</v>
      </c>
      <c r="R63">
        <v>0</v>
      </c>
      <c r="S63">
        <f t="shared" si="8"/>
        <v>36.435851044448874</v>
      </c>
      <c r="U63">
        <f t="shared" si="9"/>
        <v>-7.2471871982011618E-2</v>
      </c>
      <c r="V63">
        <f t="shared" si="10"/>
        <v>-0.89208592312464297</v>
      </c>
      <c r="W63">
        <f t="shared" si="0"/>
        <v>-10.74591536709163</v>
      </c>
    </row>
    <row r="64" spans="10:23">
      <c r="J64" s="114">
        <v>5</v>
      </c>
      <c r="K64" s="114">
        <v>310</v>
      </c>
      <c r="L64" s="116">
        <f t="shared" ref="L64:L102" si="11">$B$10-Q64-R64</f>
        <v>34221.188329760509</v>
      </c>
      <c r="M64">
        <f t="shared" si="2"/>
        <v>5986.3036903850279</v>
      </c>
      <c r="N64">
        <f t="shared" si="3"/>
        <v>77.371207114694982</v>
      </c>
      <c r="O64">
        <f t="shared" si="4"/>
        <v>7.1177150878677979</v>
      </c>
      <c r="P64">
        <f t="shared" si="5"/>
        <v>5338.2863152809277</v>
      </c>
      <c r="Q64">
        <f t="shared" si="6"/>
        <v>1178.8116702394923</v>
      </c>
      <c r="R64">
        <v>0</v>
      </c>
      <c r="S64">
        <f t="shared" si="8"/>
        <v>45.803754611899429</v>
      </c>
      <c r="U64">
        <f t="shared" si="9"/>
        <v>-4.4877089114069298E-2</v>
      </c>
      <c r="V64">
        <f t="shared" si="10"/>
        <v>-0.6944389113098558</v>
      </c>
      <c r="W64">
        <f t="shared" si="0"/>
        <v>1.6891750606956957</v>
      </c>
    </row>
    <row r="65" spans="10:23">
      <c r="J65" s="114">
        <v>5</v>
      </c>
      <c r="K65" s="114">
        <v>315</v>
      </c>
      <c r="L65" s="116">
        <f t="shared" si="11"/>
        <v>33793.71740525432</v>
      </c>
      <c r="M65">
        <f t="shared" si="2"/>
        <v>8157.1091188584396</v>
      </c>
      <c r="N65">
        <f t="shared" si="3"/>
        <v>90.316715611554656</v>
      </c>
      <c r="O65">
        <f t="shared" si="4"/>
        <v>9.6988027423226839</v>
      </c>
      <c r="P65">
        <f t="shared" si="5"/>
        <v>7274.1020558972914</v>
      </c>
      <c r="Q65">
        <f t="shared" si="6"/>
        <v>1606.2825947456813</v>
      </c>
      <c r="R65">
        <v>0</v>
      </c>
      <c r="S65">
        <f t="shared" si="8"/>
        <v>53.467495642040355</v>
      </c>
      <c r="U65">
        <f t="shared" si="9"/>
        <v>5.1770027717003555E-3</v>
      </c>
      <c r="V65">
        <f t="shared" si="10"/>
        <v>9.3513977410378243E-2</v>
      </c>
      <c r="W65">
        <f t="shared" si="0"/>
        <v>13.968933664518818</v>
      </c>
    </row>
    <row r="66" spans="10:23">
      <c r="J66" s="114">
        <v>5</v>
      </c>
      <c r="K66" s="114">
        <v>320</v>
      </c>
      <c r="L66" s="116">
        <f t="shared" si="11"/>
        <v>33371.586195708856</v>
      </c>
      <c r="M66">
        <f t="shared" si="2"/>
        <v>10300.798124766667</v>
      </c>
      <c r="N66">
        <f t="shared" si="3"/>
        <v>101.4928476532542</v>
      </c>
      <c r="O66">
        <f t="shared" si="4"/>
        <v>12.247648970347566</v>
      </c>
      <c r="P66">
        <f t="shared" si="5"/>
        <v>9185.73672669396</v>
      </c>
      <c r="Q66">
        <f t="shared" si="6"/>
        <v>2028.4138042911463</v>
      </c>
      <c r="R66">
        <v>0</v>
      </c>
      <c r="S66">
        <f t="shared" si="8"/>
        <v>60.083765810726483</v>
      </c>
      <c r="U66">
        <f t="shared" si="9"/>
        <v>3.3902551761820984E-2</v>
      </c>
      <c r="V66">
        <f t="shared" si="10"/>
        <v>0.6881733042038124</v>
      </c>
      <c r="W66">
        <f t="shared" si="0"/>
        <v>26.095300758014879</v>
      </c>
    </row>
    <row r="67" spans="10:23">
      <c r="J67" s="114">
        <v>5</v>
      </c>
      <c r="K67" s="114">
        <v>325</v>
      </c>
      <c r="L67" s="116">
        <f t="shared" si="11"/>
        <v>32954.728000550516</v>
      </c>
      <c r="M67">
        <f t="shared" si="2"/>
        <v>12417.709430485786</v>
      </c>
      <c r="N67">
        <f t="shared" si="3"/>
        <v>111.43477657574311</v>
      </c>
      <c r="O67">
        <f t="shared" si="4"/>
        <v>14.764656512847598</v>
      </c>
      <c r="P67">
        <f t="shared" si="5"/>
        <v>11073.492383349763</v>
      </c>
      <c r="Q67">
        <f t="shared" si="6"/>
        <v>2445.2719994494873</v>
      </c>
      <c r="R67">
        <v>0</v>
      </c>
      <c r="S67">
        <f t="shared" si="8"/>
        <v>65.96938773283992</v>
      </c>
      <c r="U67">
        <f t="shared" si="9"/>
        <v>5.2536461945933165E-2</v>
      </c>
      <c r="V67">
        <f t="shared" si="10"/>
        <v>1.1708777798050185</v>
      </c>
      <c r="W67">
        <f t="shared" ref="W67:W102" si="12">(P67-$B$1)/$B$20</f>
        <v>38.070192417566105</v>
      </c>
    </row>
    <row r="68" spans="10:23">
      <c r="J68" s="114">
        <v>5</v>
      </c>
      <c r="K68" s="114">
        <v>330</v>
      </c>
      <c r="L68" s="116">
        <f t="shared" si="11"/>
        <v>32543.076952389969</v>
      </c>
      <c r="M68">
        <f t="shared" ref="M68:M102" si="13">M67+2*(L67/$B$20)*J68</f>
        <v>14508.177527271495</v>
      </c>
      <c r="N68">
        <f t="shared" ref="N68:N102" si="14">SQRT(M68)</f>
        <v>120.44989633566105</v>
      </c>
      <c r="O68">
        <f t="shared" ref="O68:O102" si="15">0.5*$B$2*M68</f>
        <v>17.250223079925807</v>
      </c>
      <c r="P68">
        <f t="shared" ref="P68:P102" si="16">O68*$B$16*$B$19</f>
        <v>12937.66730844194</v>
      </c>
      <c r="Q68">
        <f t="shared" ref="Q68:Q102" si="17">O68*$B$16*$B$21</f>
        <v>2856.9230476100324</v>
      </c>
      <c r="R68">
        <v>0</v>
      </c>
      <c r="S68">
        <f t="shared" ref="S68:S102" si="18">0.592*N68</f>
        <v>71.306338630711338</v>
      </c>
      <c r="U68">
        <f t="shared" ref="U68:U102" si="19">V68*(J68/N68)</f>
        <v>6.5601265813718376E-2</v>
      </c>
      <c r="V68">
        <f t="shared" ref="V68:V102" si="20">W67*(J68/N68)</f>
        <v>1.5803331333501047</v>
      </c>
      <c r="W68">
        <f t="shared" si="12"/>
        <v>49.895500785057365</v>
      </c>
    </row>
    <row r="69" spans="10:23">
      <c r="J69" s="114">
        <v>5</v>
      </c>
      <c r="K69" s="114">
        <v>335</v>
      </c>
      <c r="L69" s="116">
        <f t="shared" si="11"/>
        <v>32136.568006614514</v>
      </c>
      <c r="M69">
        <f t="shared" si="13"/>
        <v>16572.532728111786</v>
      </c>
      <c r="N69">
        <f t="shared" si="14"/>
        <v>128.73434944921183</v>
      </c>
      <c r="O69">
        <f t="shared" si="15"/>
        <v>19.704741413724914</v>
      </c>
      <c r="P69">
        <f t="shared" si="16"/>
        <v>14778.556058577491</v>
      </c>
      <c r="Q69">
        <f t="shared" si="17"/>
        <v>3263.4319933854863</v>
      </c>
      <c r="R69">
        <v>0</v>
      </c>
      <c r="S69">
        <f t="shared" si="18"/>
        <v>76.210734873933404</v>
      </c>
      <c r="U69">
        <f t="shared" si="19"/>
        <v>7.5268369662683229E-2</v>
      </c>
      <c r="V69">
        <f t="shared" si="20"/>
        <v>1.9379249205256635</v>
      </c>
      <c r="W69">
        <f t="shared" si="12"/>
        <v>61.57309436685177</v>
      </c>
    </row>
    <row r="70" spans="10:23">
      <c r="J70" s="114">
        <v>5</v>
      </c>
      <c r="K70" s="114">
        <v>340</v>
      </c>
      <c r="L70" s="116">
        <f t="shared" si="11"/>
        <v>31735.136931110432</v>
      </c>
      <c r="M70">
        <f t="shared" si="13"/>
        <v>18611.101219919386</v>
      </c>
      <c r="N70">
        <f t="shared" si="14"/>
        <v>136.42250994582744</v>
      </c>
      <c r="O70">
        <f t="shared" si="15"/>
        <v>22.128599350484151</v>
      </c>
      <c r="P70">
        <f t="shared" si="16"/>
        <v>16596.449510935814</v>
      </c>
      <c r="Q70">
        <f t="shared" si="17"/>
        <v>3664.8630688895691</v>
      </c>
      <c r="R70">
        <v>0</v>
      </c>
      <c r="S70">
        <f t="shared" si="18"/>
        <v>80.762125887929841</v>
      </c>
      <c r="U70">
        <f t="shared" si="19"/>
        <v>8.2710170719170459E-2</v>
      </c>
      <c r="V70">
        <f t="shared" si="20"/>
        <v>2.2567058175114236</v>
      </c>
      <c r="W70">
        <f t="shared" si="12"/>
        <v>73.104818329031716</v>
      </c>
    </row>
    <row r="71" spans="10:23">
      <c r="J71" s="114">
        <v>5</v>
      </c>
      <c r="K71" s="114">
        <v>345</v>
      </c>
      <c r="L71" s="116">
        <f t="shared" si="11"/>
        <v>31338.720296113723</v>
      </c>
      <c r="M71">
        <f t="shared" si="13"/>
        <v>20624.20511507228</v>
      </c>
      <c r="N71">
        <f t="shared" si="14"/>
        <v>143.61129870268661</v>
      </c>
      <c r="O71">
        <f t="shared" si="15"/>
        <v>24.522179881820939</v>
      </c>
      <c r="P71">
        <f t="shared" si="16"/>
        <v>18391.634909229935</v>
      </c>
      <c r="Q71">
        <f t="shared" si="17"/>
        <v>4061.2797038862768</v>
      </c>
      <c r="R71">
        <v>0</v>
      </c>
      <c r="S71">
        <f t="shared" si="18"/>
        <v>85.017888831990476</v>
      </c>
      <c r="U71">
        <f t="shared" si="19"/>
        <v>8.8615316228122562E-2</v>
      </c>
      <c r="V71">
        <f t="shared" si="20"/>
        <v>2.5452321296939884</v>
      </c>
      <c r="W71">
        <f t="shared" si="12"/>
        <v>84.492494788951873</v>
      </c>
    </row>
    <row r="72" spans="10:23">
      <c r="J72" s="114">
        <v>5</v>
      </c>
      <c r="K72" s="114">
        <v>350</v>
      </c>
      <c r="L72" s="116">
        <f t="shared" si="11"/>
        <v>30947.255464187638</v>
      </c>
      <c r="M72">
        <f t="shared" si="13"/>
        <v>22612.162502310377</v>
      </c>
      <c r="N72">
        <f t="shared" si="14"/>
        <v>150.37341022371734</v>
      </c>
      <c r="O72">
        <f t="shared" si="15"/>
        <v>26.885861215247036</v>
      </c>
      <c r="P72">
        <f t="shared" si="16"/>
        <v>20164.395909093641</v>
      </c>
      <c r="Q72">
        <f t="shared" si="17"/>
        <v>4452.7445358123623</v>
      </c>
      <c r="R72">
        <v>0</v>
      </c>
      <c r="S72">
        <f t="shared" si="18"/>
        <v>89.02105885244066</v>
      </c>
      <c r="U72">
        <f t="shared" si="19"/>
        <v>9.3414876596078444E-2</v>
      </c>
      <c r="V72">
        <f t="shared" si="20"/>
        <v>2.8094227118760076</v>
      </c>
      <c r="W72">
        <f t="shared" si="12"/>
        <v>95.737923103150379</v>
      </c>
    </row>
    <row r="73" spans="10:23">
      <c r="J73" s="114">
        <v>5</v>
      </c>
      <c r="K73" s="114">
        <v>355</v>
      </c>
      <c r="L73" s="116">
        <f t="shared" si="11"/>
        <v>30560.680580325385</v>
      </c>
      <c r="M73">
        <f t="shared" si="13"/>
        <v>24575.287496996443</v>
      </c>
      <c r="N73">
        <f t="shared" si="14"/>
        <v>156.76507103623703</v>
      </c>
      <c r="O73">
        <f t="shared" si="15"/>
        <v>29.220016833928771</v>
      </c>
      <c r="P73">
        <f t="shared" si="16"/>
        <v>21915.012622901646</v>
      </c>
      <c r="Q73">
        <f t="shared" si="17"/>
        <v>4839.3194196746163</v>
      </c>
      <c r="R73">
        <v>0</v>
      </c>
      <c r="S73">
        <f t="shared" si="18"/>
        <v>92.804922053452316</v>
      </c>
      <c r="U73">
        <f t="shared" si="19"/>
        <v>9.7392475179437193E-2</v>
      </c>
      <c r="V73">
        <f t="shared" si="20"/>
        <v>3.0535476579798848</v>
      </c>
      <c r="W73">
        <f t="shared" si="12"/>
        <v>106.84288015166355</v>
      </c>
    </row>
    <row r="74" spans="10:23">
      <c r="J74" s="114">
        <v>5</v>
      </c>
      <c r="K74" s="114">
        <v>360</v>
      </c>
      <c r="L74" s="116">
        <f t="shared" si="11"/>
        <v>30178.934562176473</v>
      </c>
      <c r="M74">
        <f t="shared" si="13"/>
        <v>26513.890290749183</v>
      </c>
      <c r="N74">
        <f t="shared" si="14"/>
        <v>162.83086406068472</v>
      </c>
      <c r="O74">
        <f t="shared" si="15"/>
        <v>31.525015555700776</v>
      </c>
      <c r="P74">
        <f t="shared" si="16"/>
        <v>23643.761664029895</v>
      </c>
      <c r="Q74">
        <f t="shared" si="17"/>
        <v>5221.0654378235267</v>
      </c>
      <c r="R74">
        <v>0</v>
      </c>
      <c r="S74">
        <f t="shared" si="18"/>
        <v>96.395871523925351</v>
      </c>
      <c r="U74">
        <f t="shared" si="19"/>
        <v>0.10074236464361994</v>
      </c>
      <c r="V74">
        <f t="shared" si="20"/>
        <v>3.2807932564874416</v>
      </c>
      <c r="W74">
        <f t="shared" si="12"/>
        <v>117.809120618789</v>
      </c>
    </row>
    <row r="75" spans="10:23">
      <c r="J75" s="114">
        <v>5</v>
      </c>
      <c r="K75" s="114">
        <v>365</v>
      </c>
      <c r="L75" s="116">
        <f t="shared" si="11"/>
        <v>29801.957090395157</v>
      </c>
      <c r="M75">
        <f t="shared" si="13"/>
        <v>28428.27720045633</v>
      </c>
      <c r="N75">
        <f t="shared" si="14"/>
        <v>168.606871747436</v>
      </c>
      <c r="O75">
        <f t="shared" si="15"/>
        <v>33.801221591342575</v>
      </c>
      <c r="P75">
        <f t="shared" si="16"/>
        <v>25350.916190562999</v>
      </c>
      <c r="Q75">
        <f t="shared" si="17"/>
        <v>5598.042909604842</v>
      </c>
      <c r="R75">
        <v>0</v>
      </c>
      <c r="S75">
        <f t="shared" si="18"/>
        <v>99.815268074482105</v>
      </c>
      <c r="U75">
        <f t="shared" si="19"/>
        <v>0.10360205772238805</v>
      </c>
      <c r="V75">
        <f t="shared" si="20"/>
        <v>3.4936037718338286</v>
      </c>
      <c r="W75">
        <f t="shared" si="12"/>
        <v>128.63837727034186</v>
      </c>
    </row>
    <row r="76" spans="10:23">
      <c r="J76" s="114">
        <v>5</v>
      </c>
      <c r="K76" s="114">
        <v>370</v>
      </c>
      <c r="L76" s="116">
        <f t="shared" si="11"/>
        <v>29429.68859910942</v>
      </c>
      <c r="M76">
        <f t="shared" si="13"/>
        <v>30318.75071667552</v>
      </c>
      <c r="N76">
        <f t="shared" si="14"/>
        <v>174.12280355161849</v>
      </c>
      <c r="O76">
        <f t="shared" si="15"/>
        <v>36.048994602127195</v>
      </c>
      <c r="P76">
        <f t="shared" si="16"/>
        <v>27036.745948455689</v>
      </c>
      <c r="Q76">
        <f t="shared" si="17"/>
        <v>5970.3114008905786</v>
      </c>
      <c r="R76">
        <v>0</v>
      </c>
      <c r="S76">
        <f t="shared" si="18"/>
        <v>103.08069970255814</v>
      </c>
      <c r="U76">
        <f t="shared" si="19"/>
        <v>0.10607163407922827</v>
      </c>
      <c r="V76">
        <f t="shared" si="20"/>
        <v>3.6938980606353256</v>
      </c>
      <c r="W76">
        <f t="shared" si="12"/>
        <v>139.33236122744742</v>
      </c>
    </row>
    <row r="77" spans="10:23">
      <c r="J77" s="114">
        <v>5</v>
      </c>
      <c r="K77" s="114">
        <v>375</v>
      </c>
      <c r="L77" s="116">
        <f t="shared" si="11"/>
        <v>29062.070266509028</v>
      </c>
      <c r="M77">
        <f t="shared" si="13"/>
        <v>32185.609551430542</v>
      </c>
      <c r="N77">
        <f t="shared" si="14"/>
        <v>179.40348255100997</v>
      </c>
      <c r="O77">
        <f t="shared" si="15"/>
        <v>38.268689756650915</v>
      </c>
      <c r="P77">
        <f t="shared" si="16"/>
        <v>28701.517314155157</v>
      </c>
      <c r="Q77">
        <f t="shared" si="17"/>
        <v>6337.9297334909706</v>
      </c>
      <c r="R77">
        <v>0</v>
      </c>
      <c r="S77">
        <f t="shared" si="18"/>
        <v>106.2068616701979</v>
      </c>
      <c r="U77">
        <f t="shared" si="19"/>
        <v>0.10822566604246164</v>
      </c>
      <c r="V77">
        <f t="shared" si="20"/>
        <v>3.8832122778840401</v>
      </c>
      <c r="W77">
        <f t="shared" si="12"/>
        <v>149.89276223691402</v>
      </c>
    </row>
    <row r="78" spans="10:23">
      <c r="J78" s="114">
        <v>5</v>
      </c>
      <c r="K78" s="114">
        <v>380</v>
      </c>
      <c r="L78" s="116">
        <f t="shared" si="11"/>
        <v>28699.04400555115</v>
      </c>
      <c r="M78">
        <f t="shared" si="13"/>
        <v>34029.148685410553</v>
      </c>
      <c r="N78">
        <f t="shared" si="14"/>
        <v>184.46991268337109</v>
      </c>
      <c r="O78">
        <f t="shared" si="15"/>
        <v>40.460657786953149</v>
      </c>
      <c r="P78">
        <f t="shared" si="16"/>
        <v>30345.493336690921</v>
      </c>
      <c r="Q78">
        <f t="shared" si="17"/>
        <v>6700.9559944488519</v>
      </c>
      <c r="R78">
        <v>0</v>
      </c>
      <c r="S78">
        <f t="shared" si="18"/>
        <v>109.20618830855568</v>
      </c>
      <c r="U78">
        <f t="shared" si="19"/>
        <v>0.11012085816679432</v>
      </c>
      <c r="V78">
        <f t="shared" si="20"/>
        <v>4.0627970181292881</v>
      </c>
      <c r="W78">
        <f t="shared" si="12"/>
        <v>160.32124893822825</v>
      </c>
    </row>
    <row r="79" spans="10:23">
      <c r="J79" s="114">
        <v>5</v>
      </c>
      <c r="K79" s="114">
        <v>385</v>
      </c>
      <c r="L79" s="116">
        <f t="shared" si="11"/>
        <v>28340.552454782064</v>
      </c>
      <c r="M79">
        <f t="shared" si="13"/>
        <v>35849.659414579721</v>
      </c>
      <c r="N79">
        <f t="shared" si="14"/>
        <v>189.34006288839063</v>
      </c>
      <c r="O79">
        <f t="shared" si="15"/>
        <v>42.625245043935287</v>
      </c>
      <c r="P79">
        <f t="shared" si="16"/>
        <v>31968.933779239</v>
      </c>
      <c r="Q79">
        <f t="shared" si="17"/>
        <v>7059.4475452179367</v>
      </c>
      <c r="R79">
        <v>0</v>
      </c>
      <c r="S79">
        <f t="shared" si="18"/>
        <v>112.08931722992725</v>
      </c>
      <c r="U79">
        <f t="shared" si="19"/>
        <v>0.11180109626998792</v>
      </c>
      <c r="V79">
        <f t="shared" si="20"/>
        <v>4.2336853197501059</v>
      </c>
      <c r="W79">
        <f t="shared" si="12"/>
        <v>170.61946912721521</v>
      </c>
    </row>
    <row r="80" spans="10:23">
      <c r="J80" s="114">
        <v>5</v>
      </c>
      <c r="K80" s="114">
        <v>390</v>
      </c>
      <c r="L80" s="116">
        <f t="shared" si="11"/>
        <v>27986.538969273548</v>
      </c>
      <c r="M80">
        <f t="shared" si="13"/>
        <v>37647.429396204636</v>
      </c>
      <c r="N80">
        <f t="shared" si="14"/>
        <v>194.02945497064263</v>
      </c>
      <c r="O80">
        <f t="shared" si="15"/>
        <v>44.762793552087309</v>
      </c>
      <c r="P80">
        <f t="shared" si="16"/>
        <v>33572.095160166849</v>
      </c>
      <c r="Q80">
        <f t="shared" si="17"/>
        <v>7413.4610307264511</v>
      </c>
      <c r="R80">
        <v>0</v>
      </c>
      <c r="S80">
        <f t="shared" si="18"/>
        <v>114.86543734262044</v>
      </c>
      <c r="U80">
        <f t="shared" si="19"/>
        <v>0.1133008759586225</v>
      </c>
      <c r="V80">
        <f t="shared" si="20"/>
        <v>4.3967414419895823</v>
      </c>
      <c r="W80">
        <f t="shared" si="12"/>
        <v>180.78905001640538</v>
      </c>
    </row>
    <row r="81" spans="10:23">
      <c r="J81" s="114">
        <v>5</v>
      </c>
      <c r="K81" s="114">
        <v>395</v>
      </c>
      <c r="L81" s="116">
        <f t="shared" si="11"/>
        <v>27636.947611672451</v>
      </c>
      <c r="M81">
        <f t="shared" si="13"/>
        <v>39422.742694306777</v>
      </c>
      <c r="N81">
        <f t="shared" si="14"/>
        <v>198.55161216748348</v>
      </c>
      <c r="O81">
        <f t="shared" si="15"/>
        <v>46.873641063530755</v>
      </c>
      <c r="P81">
        <f t="shared" si="16"/>
        <v>35155.230793565584</v>
      </c>
      <c r="Q81">
        <f t="shared" si="17"/>
        <v>7763.0523883275491</v>
      </c>
      <c r="R81">
        <v>0</v>
      </c>
      <c r="S81">
        <f t="shared" si="18"/>
        <v>117.54255440315022</v>
      </c>
      <c r="U81">
        <f t="shared" si="19"/>
        <v>0.11464768662741597</v>
      </c>
      <c r="V81">
        <f t="shared" si="20"/>
        <v>4.552696602229175</v>
      </c>
      <c r="W81">
        <f t="shared" si="12"/>
        <v>190.83159849214886</v>
      </c>
    </row>
    <row r="82" spans="10:23">
      <c r="J82" s="114">
        <v>5</v>
      </c>
      <c r="K82" s="114">
        <v>400</v>
      </c>
      <c r="L82" s="116">
        <f t="shared" si="11"/>
        <v>27291.723143362076</v>
      </c>
      <c r="M82">
        <f t="shared" si="13"/>
        <v>41175.879824547214</v>
      </c>
      <c r="N82">
        <f t="shared" si="14"/>
        <v>202.91840681551591</v>
      </c>
      <c r="O82">
        <f t="shared" si="15"/>
        <v>48.958121111386632</v>
      </c>
      <c r="P82">
        <f t="shared" si="16"/>
        <v>36718.590829275941</v>
      </c>
      <c r="Q82">
        <f t="shared" si="17"/>
        <v>8108.2768566379218</v>
      </c>
      <c r="R82">
        <v>0</v>
      </c>
      <c r="S82">
        <f t="shared" si="18"/>
        <v>120.12769683478541</v>
      </c>
      <c r="U82">
        <f t="shared" si="19"/>
        <v>0.11586370425191475</v>
      </c>
      <c r="V82">
        <f t="shared" si="20"/>
        <v>4.7021756549085314</v>
      </c>
      <c r="W82">
        <f t="shared" si="12"/>
        <v>200.74870136851814</v>
      </c>
    </row>
    <row r="83" spans="10:23">
      <c r="J83" s="114">
        <v>5</v>
      </c>
      <c r="K83" s="114">
        <v>405</v>
      </c>
      <c r="L83" s="116">
        <f t="shared" si="11"/>
        <v>26950.811015733994</v>
      </c>
      <c r="M83">
        <f t="shared" si="13"/>
        <v>42907.117798550629</v>
      </c>
      <c r="N83">
        <f t="shared" si="14"/>
        <v>207.140333587041</v>
      </c>
      <c r="O83">
        <f t="shared" si="15"/>
        <v>51.016563062476699</v>
      </c>
      <c r="P83">
        <f t="shared" si="16"/>
        <v>38262.422292414209</v>
      </c>
      <c r="Q83">
        <f t="shared" si="17"/>
        <v>8449.1889842660057</v>
      </c>
      <c r="R83">
        <v>0</v>
      </c>
      <c r="S83">
        <f t="shared" si="18"/>
        <v>122.62707748352827</v>
      </c>
      <c r="U83">
        <f t="shared" si="19"/>
        <v>0.1169670160036357</v>
      </c>
      <c r="V83">
        <f t="shared" si="20"/>
        <v>4.8457173427347726</v>
      </c>
      <c r="W83">
        <f t="shared" si="12"/>
        <v>210.54192563803917</v>
      </c>
    </row>
    <row r="84" spans="10:23">
      <c r="J84" s="114">
        <v>5</v>
      </c>
      <c r="K84" s="114">
        <v>410</v>
      </c>
      <c r="L84" s="116">
        <f t="shared" si="11"/>
        <v>26614.157361568854</v>
      </c>
      <c r="M84">
        <f t="shared" si="13"/>
        <v>44616.730167675676</v>
      </c>
      <c r="N84">
        <f t="shared" si="14"/>
        <v>211.22672692553772</v>
      </c>
      <c r="O84">
        <f t="shared" si="15"/>
        <v>53.049292169366375</v>
      </c>
      <c r="P84">
        <f t="shared" si="16"/>
        <v>39786.969122404422</v>
      </c>
      <c r="Q84">
        <f t="shared" si="17"/>
        <v>8785.842638431146</v>
      </c>
      <c r="R84">
        <v>0</v>
      </c>
      <c r="S84">
        <f t="shared" si="18"/>
        <v>125.04622233991833</v>
      </c>
      <c r="U84">
        <f t="shared" si="19"/>
        <v>0.11797252109623134</v>
      </c>
      <c r="V84">
        <f t="shared" si="20"/>
        <v>4.9837898996621783</v>
      </c>
      <c r="W84">
        <f t="shared" si="12"/>
        <v>220.21281871929017</v>
      </c>
    </row>
    <row r="85" spans="10:23">
      <c r="J85" s="114">
        <v>5</v>
      </c>
      <c r="K85" s="114">
        <v>415</v>
      </c>
      <c r="L85" s="116">
        <f t="shared" si="11"/>
        <v>26281.708986524871</v>
      </c>
      <c r="M85">
        <f t="shared" si="13"/>
        <v>46304.987066238602</v>
      </c>
      <c r="N85">
        <f t="shared" si="14"/>
        <v>215.18593603262877</v>
      </c>
      <c r="O85">
        <f t="shared" si="15"/>
        <v>55.056629621757693</v>
      </c>
      <c r="P85">
        <f t="shared" si="16"/>
        <v>41292.472211523083</v>
      </c>
      <c r="Q85">
        <f t="shared" si="17"/>
        <v>9118.2910134751291</v>
      </c>
      <c r="R85">
        <v>0</v>
      </c>
      <c r="S85">
        <f t="shared" si="18"/>
        <v>127.39007413131623</v>
      </c>
      <c r="U85">
        <f t="shared" si="19"/>
        <v>0.11889260351389308</v>
      </c>
      <c r="V85">
        <f t="shared" si="20"/>
        <v>5.1168032348986587</v>
      </c>
      <c r="W85">
        <f t="shared" si="12"/>
        <v>229.76290870140843</v>
      </c>
    </row>
    <row r="86" spans="10:23">
      <c r="J86" s="114">
        <v>5</v>
      </c>
      <c r="K86" s="114">
        <v>420</v>
      </c>
      <c r="L86" s="116">
        <f t="shared" si="11"/>
        <v>25953.413360732644</v>
      </c>
      <c r="M86">
        <f t="shared" si="13"/>
        <v>47972.155254196907</v>
      </c>
      <c r="N86">
        <f t="shared" si="14"/>
        <v>219.02546713612301</v>
      </c>
      <c r="O86">
        <f t="shared" si="15"/>
        <v>57.038892597240121</v>
      </c>
      <c r="P86">
        <f t="shared" si="16"/>
        <v>42779.169442962258</v>
      </c>
      <c r="Q86">
        <f t="shared" si="17"/>
        <v>9446.5866392673579</v>
      </c>
      <c r="R86">
        <v>0</v>
      </c>
      <c r="S86">
        <f t="shared" si="18"/>
        <v>129.66307654458481</v>
      </c>
      <c r="U86">
        <f t="shared" si="19"/>
        <v>0.11973764128583077</v>
      </c>
      <c r="V86">
        <f t="shared" si="20"/>
        <v>5.2451185632813226</v>
      </c>
      <c r="W86">
        <f t="shared" si="12"/>
        <v>239.19370458554172</v>
      </c>
    </row>
    <row r="87" spans="10:23">
      <c r="J87" s="114">
        <v>5</v>
      </c>
      <c r="K87" s="114">
        <v>425</v>
      </c>
      <c r="L87" s="116">
        <f t="shared" si="11"/>
        <v>25629.218610494951</v>
      </c>
      <c r="M87">
        <f t="shared" si="13"/>
        <v>49618.498159299852</v>
      </c>
      <c r="N87">
        <f t="shared" si="14"/>
        <v>222.75210023544076</v>
      </c>
      <c r="O87">
        <f t="shared" si="15"/>
        <v>58.996394311407521</v>
      </c>
      <c r="P87">
        <f t="shared" si="16"/>
        <v>44247.295728417317</v>
      </c>
      <c r="Q87">
        <f t="shared" si="17"/>
        <v>9770.7813895050494</v>
      </c>
      <c r="R87">
        <v>0</v>
      </c>
      <c r="S87">
        <f t="shared" si="18"/>
        <v>131.86924333938092</v>
      </c>
      <c r="U87">
        <f t="shared" si="19"/>
        <v>0.1205163968373307</v>
      </c>
      <c r="V87">
        <f t="shared" si="20"/>
        <v>5.3690561016646488</v>
      </c>
      <c r="W87">
        <f t="shared" si="12"/>
        <v>248.50669652328443</v>
      </c>
    </row>
    <row r="88" spans="10:23">
      <c r="J88" s="114">
        <v>5</v>
      </c>
      <c r="K88" s="114">
        <v>430</v>
      </c>
      <c r="L88" s="116">
        <f t="shared" si="11"/>
        <v>25309.073510090246</v>
      </c>
      <c r="M88">
        <f t="shared" si="13"/>
        <v>51244.275918712439</v>
      </c>
      <c r="N88">
        <f t="shared" si="14"/>
        <v>226.37198571977152</v>
      </c>
      <c r="O88">
        <f t="shared" si="15"/>
        <v>60.929444067349088</v>
      </c>
      <c r="P88">
        <f t="shared" si="16"/>
        <v>45697.083045205138</v>
      </c>
      <c r="Q88">
        <f t="shared" si="17"/>
        <v>10090.926489909754</v>
      </c>
      <c r="R88">
        <v>0</v>
      </c>
      <c r="S88">
        <f t="shared" si="18"/>
        <v>134.01221554610473</v>
      </c>
      <c r="U88">
        <f t="shared" si="19"/>
        <v>0.12123631960254674</v>
      </c>
      <c r="V88">
        <f t="shared" si="20"/>
        <v>5.4889012819570731</v>
      </c>
      <c r="W88">
        <f t="shared" si="12"/>
        <v>257.70335605213523</v>
      </c>
    </row>
    <row r="89" spans="10:23">
      <c r="J89" s="114">
        <v>5</v>
      </c>
      <c r="K89" s="114">
        <v>435</v>
      </c>
      <c r="L89" s="116">
        <f t="shared" si="11"/>
        <v>24992.927473678508</v>
      </c>
      <c r="M89">
        <f t="shared" si="13"/>
        <v>52849.745420119463</v>
      </c>
      <c r="N89">
        <f t="shared" si="14"/>
        <v>229.89072495453021</v>
      </c>
      <c r="O89">
        <f t="shared" si="15"/>
        <v>62.838347304522038</v>
      </c>
      <c r="P89">
        <f t="shared" si="16"/>
        <v>47128.760472918591</v>
      </c>
      <c r="Q89">
        <f t="shared" si="17"/>
        <v>10407.072526321492</v>
      </c>
      <c r="R89">
        <v>0</v>
      </c>
      <c r="S89">
        <f t="shared" si="18"/>
        <v>136.09530917308189</v>
      </c>
      <c r="U89">
        <f t="shared" si="19"/>
        <v>0.12190378307575994</v>
      </c>
      <c r="V89">
        <f t="shared" si="20"/>
        <v>5.6049098131972492</v>
      </c>
      <c r="W89">
        <f t="shared" si="12"/>
        <v>266.78513632801315</v>
      </c>
    </row>
    <row r="90" spans="10:23">
      <c r="J90" s="114">
        <v>5</v>
      </c>
      <c r="K90" s="114">
        <v>440</v>
      </c>
      <c r="L90" s="116">
        <f t="shared" si="11"/>
        <v>24680.730547308238</v>
      </c>
      <c r="M90">
        <f t="shared" si="13"/>
        <v>54435.1603423161</v>
      </c>
      <c r="N90">
        <f t="shared" si="14"/>
        <v>233.31343798057603</v>
      </c>
      <c r="O90">
        <f t="shared" si="15"/>
        <v>64.723405647013834</v>
      </c>
      <c r="P90">
        <f t="shared" si="16"/>
        <v>48542.55422962326</v>
      </c>
      <c r="Q90">
        <f t="shared" si="17"/>
        <v>10719.269452691764</v>
      </c>
      <c r="R90">
        <v>0</v>
      </c>
      <c r="S90">
        <f t="shared" si="18"/>
        <v>138.121555284501</v>
      </c>
      <c r="U90">
        <f t="shared" si="19"/>
        <v>0.12252427229493396</v>
      </c>
      <c r="V90">
        <f t="shared" si="20"/>
        <v>5.7173118410398569</v>
      </c>
      <c r="W90">
        <f t="shared" si="12"/>
        <v>275.75347235486959</v>
      </c>
    </row>
    <row r="91" spans="10:23">
      <c r="J91" s="114">
        <v>5</v>
      </c>
      <c r="K91" s="114">
        <v>445</v>
      </c>
      <c r="L91" s="116">
        <f t="shared" si="11"/>
        <v>24372.433401023256</v>
      </c>
      <c r="M91">
        <f t="shared" si="13"/>
        <v>56000.771195291447</v>
      </c>
      <c r="N91">
        <f t="shared" si="14"/>
        <v>236.64482076582925</v>
      </c>
      <c r="O91">
        <f t="shared" si="15"/>
        <v>66.584916951201521</v>
      </c>
      <c r="P91">
        <f t="shared" si="16"/>
        <v>49938.687707601894</v>
      </c>
      <c r="Q91">
        <f t="shared" si="17"/>
        <v>11027.566598976744</v>
      </c>
      <c r="R91">
        <v>0</v>
      </c>
      <c r="S91">
        <f t="shared" si="18"/>
        <v>140.09373389337091</v>
      </c>
      <c r="U91">
        <f t="shared" si="19"/>
        <v>0.12310253344245682</v>
      </c>
      <c r="V91">
        <f t="shared" si="20"/>
        <v>5.8263153924619395</v>
      </c>
      <c r="W91">
        <f t="shared" si="12"/>
        <v>284.60978121143205</v>
      </c>
    </row>
    <row r="92" spans="10:23">
      <c r="J92" s="114">
        <v>5</v>
      </c>
      <c r="K92" s="114">
        <v>450</v>
      </c>
      <c r="L92" s="116">
        <f t="shared" si="11"/>
        <v>24067.987321068151</v>
      </c>
      <c r="M92">
        <f t="shared" si="13"/>
        <v>57546.825359811402</v>
      </c>
      <c r="N92">
        <f t="shared" si="14"/>
        <v>239.88919392046697</v>
      </c>
      <c r="O92">
        <f t="shared" si="15"/>
        <v>68.423175352815761</v>
      </c>
      <c r="P92">
        <f t="shared" si="16"/>
        <v>51317.38150865247</v>
      </c>
      <c r="Q92">
        <f t="shared" si="17"/>
        <v>11332.012678931849</v>
      </c>
      <c r="R92">
        <v>0</v>
      </c>
      <c r="S92">
        <f t="shared" si="18"/>
        <v>142.01440280091643</v>
      </c>
      <c r="U92">
        <f t="shared" si="19"/>
        <v>0.1236426942024647</v>
      </c>
      <c r="V92">
        <f t="shared" si="20"/>
        <v>5.9321092492768095</v>
      </c>
      <c r="W92">
        <f t="shared" si="12"/>
        <v>293.35546227511526</v>
      </c>
    </row>
    <row r="93" spans="10:23">
      <c r="J93" s="114">
        <v>5</v>
      </c>
      <c r="K93" s="114">
        <v>455</v>
      </c>
      <c r="L93" s="116">
        <f t="shared" si="11"/>
        <v>23767.344202191038</v>
      </c>
      <c r="M93">
        <f t="shared" si="13"/>
        <v>59073.567126507078</v>
      </c>
      <c r="N93">
        <f t="shared" si="14"/>
        <v>243.0505443863623</v>
      </c>
      <c r="O93">
        <f t="shared" si="15"/>
        <v>70.238471313416909</v>
      </c>
      <c r="P93">
        <f t="shared" si="16"/>
        <v>52678.853478945231</v>
      </c>
      <c r="Q93">
        <f t="shared" si="17"/>
        <v>11632.65579780896</v>
      </c>
      <c r="R93">
        <v>0</v>
      </c>
      <c r="S93">
        <f t="shared" si="18"/>
        <v>143.88592227672649</v>
      </c>
      <c r="U93">
        <f t="shared" si="19"/>
        <v>0.12414836133345791</v>
      </c>
      <c r="V93">
        <f t="shared" si="20"/>
        <v>6.0348653613543517</v>
      </c>
      <c r="W93">
        <f t="shared" si="12"/>
        <v>301.9918974431356</v>
      </c>
    </row>
    <row r="94" spans="10:23">
      <c r="J94" s="114">
        <v>5</v>
      </c>
      <c r="K94" s="114">
        <v>460</v>
      </c>
      <c r="L94" s="116">
        <f t="shared" si="11"/>
        <v>23470.456540042505</v>
      </c>
      <c r="M94">
        <f t="shared" si="13"/>
        <v>60581.237734474926</v>
      </c>
      <c r="N94">
        <f t="shared" si="14"/>
        <v>246.13256130482802</v>
      </c>
      <c r="O94">
        <f t="shared" si="15"/>
        <v>72.031091666290678</v>
      </c>
      <c r="P94">
        <f t="shared" si="16"/>
        <v>54023.318743444426</v>
      </c>
      <c r="Q94">
        <f t="shared" si="17"/>
        <v>11929.543459957496</v>
      </c>
      <c r="R94">
        <v>0</v>
      </c>
      <c r="S94">
        <f t="shared" si="18"/>
        <v>145.71047629245817</v>
      </c>
      <c r="U94">
        <f t="shared" si="19"/>
        <v>0.12462270033453</v>
      </c>
      <c r="V94">
        <f t="shared" si="20"/>
        <v>6.1347408860123833</v>
      </c>
      <c r="W94">
        <f t="shared" si="12"/>
        <v>310.52045135086371</v>
      </c>
    </row>
    <row r="95" spans="10:23">
      <c r="J95" s="114">
        <v>5</v>
      </c>
      <c r="K95" s="114">
        <v>465</v>
      </c>
      <c r="L95" s="116">
        <f t="shared" si="11"/>
        <v>23177.277423669471</v>
      </c>
      <c r="M95">
        <f t="shared" si="13"/>
        <v>62070.075409394733</v>
      </c>
      <c r="N95">
        <f t="shared" si="14"/>
        <v>249.13866702981844</v>
      </c>
      <c r="O95">
        <f t="shared" si="15"/>
        <v>73.801319661770336</v>
      </c>
      <c r="P95">
        <f t="shared" si="16"/>
        <v>55350.989739899989</v>
      </c>
      <c r="Q95">
        <f t="shared" si="17"/>
        <v>12222.722576330529</v>
      </c>
      <c r="R95">
        <v>0</v>
      </c>
      <c r="S95">
        <f t="shared" si="18"/>
        <v>147.49009088165252</v>
      </c>
      <c r="U95">
        <f t="shared" si="19"/>
        <v>0.12506850092527208</v>
      </c>
      <c r="V95">
        <f t="shared" si="20"/>
        <v>6.2318799215879794</v>
      </c>
      <c r="W95">
        <f t="shared" si="12"/>
        <v>318.94247158744918</v>
      </c>
    </row>
    <row r="96" spans="10:23">
      <c r="J96" s="114">
        <v>5</v>
      </c>
      <c r="K96" s="114">
        <v>470</v>
      </c>
      <c r="L96" s="116">
        <f t="shared" si="11"/>
        <v>22887.760528102866</v>
      </c>
      <c r="M96">
        <f t="shared" si="13"/>
        <v>63540.315401171429</v>
      </c>
      <c r="N96">
        <f t="shared" si="14"/>
        <v>252.07204406909432</v>
      </c>
      <c r="O96">
        <f t="shared" si="15"/>
        <v>75.549435011992827</v>
      </c>
      <c r="P96">
        <f t="shared" si="16"/>
        <v>56662.076252414612</v>
      </c>
      <c r="Q96">
        <f t="shared" si="17"/>
        <v>12512.239471897135</v>
      </c>
      <c r="R96">
        <v>0</v>
      </c>
      <c r="S96">
        <f t="shared" si="18"/>
        <v>149.22665008890382</v>
      </c>
      <c r="U96">
        <f t="shared" si="19"/>
        <v>0.12548823120162275</v>
      </c>
      <c r="V96">
        <f t="shared" si="20"/>
        <v>6.3264149891216288</v>
      </c>
      <c r="W96">
        <f t="shared" si="12"/>
        <v>327.2592889087515</v>
      </c>
    </row>
    <row r="97" spans="10:23">
      <c r="J97" s="114">
        <v>5</v>
      </c>
      <c r="K97" s="114">
        <v>475</v>
      </c>
      <c r="L97" s="116">
        <f t="shared" si="11"/>
        <v>22601.860107037832</v>
      </c>
      <c r="M97">
        <f t="shared" si="13"/>
        <v>64992.190021106726</v>
      </c>
      <c r="N97">
        <f t="shared" si="14"/>
        <v>254.93565859076429</v>
      </c>
      <c r="O97">
        <f t="shared" si="15"/>
        <v>77.275713935095894</v>
      </c>
      <c r="P97">
        <f t="shared" si="16"/>
        <v>57956.785444591551</v>
      </c>
      <c r="Q97">
        <f t="shared" si="17"/>
        <v>12798.139892962168</v>
      </c>
      <c r="R97">
        <v>0</v>
      </c>
      <c r="S97">
        <f t="shared" si="18"/>
        <v>150.92190988573245</v>
      </c>
      <c r="U97">
        <f t="shared" si="19"/>
        <v>0.12588408268842438</v>
      </c>
      <c r="V97">
        <f t="shared" si="20"/>
        <v>6.4184683052535387</v>
      </c>
      <c r="W97">
        <f t="shared" si="12"/>
        <v>335.47221744761208</v>
      </c>
    </row>
    <row r="98" spans="10:23">
      <c r="J98" s="114">
        <v>5</v>
      </c>
      <c r="K98" s="114">
        <v>480</v>
      </c>
      <c r="L98" s="116">
        <f t="shared" si="11"/>
        <v>22319.530985605401</v>
      </c>
      <c r="M98">
        <f t="shared" si="13"/>
        <v>66425.928678606404</v>
      </c>
      <c r="N98">
        <f t="shared" si="14"/>
        <v>257.73228101773827</v>
      </c>
      <c r="O98">
        <f t="shared" si="15"/>
        <v>78.980429198863007</v>
      </c>
      <c r="P98">
        <f t="shared" si="16"/>
        <v>59235.32189226841</v>
      </c>
      <c r="Q98">
        <f t="shared" si="17"/>
        <v>13080.469014394599</v>
      </c>
      <c r="R98">
        <v>0</v>
      </c>
      <c r="S98">
        <f t="shared" si="18"/>
        <v>152.57751036250104</v>
      </c>
      <c r="U98">
        <f t="shared" si="19"/>
        <v>0.12625800802528209</v>
      </c>
      <c r="V98">
        <f t="shared" si="20"/>
        <v>6.5081528810223706</v>
      </c>
      <c r="W98">
        <f t="shared" si="12"/>
        <v>343.58255492149914</v>
      </c>
    </row>
    <row r="99" spans="10:23">
      <c r="J99" s="114">
        <v>5</v>
      </c>
      <c r="K99" s="114">
        <v>485</v>
      </c>
      <c r="L99" s="116">
        <f t="shared" si="11"/>
        <v>22040.728553234461</v>
      </c>
      <c r="M99">
        <f t="shared" si="13"/>
        <v>67841.757917429088</v>
      </c>
      <c r="N99">
        <f t="shared" si="14"/>
        <v>260.46450414102321</v>
      </c>
      <c r="O99">
        <f t="shared" si="15"/>
        <v>80.663850163823184</v>
      </c>
      <c r="P99">
        <f t="shared" si="16"/>
        <v>60497.88761584193</v>
      </c>
      <c r="Q99">
        <f t="shared" si="17"/>
        <v>13359.271446765539</v>
      </c>
      <c r="R99">
        <v>0</v>
      </c>
      <c r="S99">
        <f t="shared" si="18"/>
        <v>154.19498645148573</v>
      </c>
      <c r="U99">
        <f t="shared" si="19"/>
        <v>0.12661175265375529</v>
      </c>
      <c r="V99">
        <f t="shared" si="20"/>
        <v>6.5955734746772503</v>
      </c>
      <c r="W99">
        <f t="shared" si="12"/>
        <v>351.5915828375588</v>
      </c>
    </row>
    <row r="100" spans="10:23">
      <c r="J100" s="114">
        <v>5</v>
      </c>
      <c r="K100" s="114">
        <v>490</v>
      </c>
      <c r="L100" s="116">
        <f t="shared" si="11"/>
        <v>21765.408756602868</v>
      </c>
      <c r="M100">
        <f t="shared" si="13"/>
        <v>69239.901451482248</v>
      </c>
      <c r="N100">
        <f t="shared" si="14"/>
        <v>263.13475910924853</v>
      </c>
      <c r="O100">
        <f t="shared" si="15"/>
        <v>82.326242825812386</v>
      </c>
      <c r="P100">
        <f t="shared" si="16"/>
        <v>61744.682112189046</v>
      </c>
      <c r="Q100">
        <f t="shared" si="17"/>
        <v>13634.591243397132</v>
      </c>
      <c r="R100">
        <v>0</v>
      </c>
      <c r="S100">
        <f t="shared" si="18"/>
        <v>155.77577739267514</v>
      </c>
      <c r="U100">
        <f t="shared" si="19"/>
        <v>0.12694688159107428</v>
      </c>
      <c r="V100">
        <f t="shared" si="20"/>
        <v>6.6808274214275256</v>
      </c>
      <c r="W100">
        <f t="shared" si="12"/>
        <v>359.50056669510457</v>
      </c>
    </row>
    <row r="101" spans="10:23">
      <c r="J101" s="114">
        <v>5</v>
      </c>
      <c r="K101" s="114">
        <v>495</v>
      </c>
      <c r="L101" s="116">
        <f t="shared" si="11"/>
        <v>21493.528092676628</v>
      </c>
      <c r="M101">
        <f t="shared" si="13"/>
        <v>70620.580200171011</v>
      </c>
      <c r="N101">
        <f t="shared" si="14"/>
        <v>265.74532959239571</v>
      </c>
      <c r="O101">
        <f t="shared" si="15"/>
        <v>83.967869858003326</v>
      </c>
      <c r="P101">
        <f t="shared" si="16"/>
        <v>62975.902386189271</v>
      </c>
      <c r="Q101">
        <f t="shared" si="17"/>
        <v>13906.47190732337</v>
      </c>
      <c r="R101">
        <v>0</v>
      </c>
      <c r="S101">
        <f t="shared" si="18"/>
        <v>157.32123511869824</v>
      </c>
      <c r="U101">
        <f t="shared" si="19"/>
        <v>0.12726480215686259</v>
      </c>
      <c r="V101">
        <f t="shared" si="20"/>
        <v>6.7640053589372968</v>
      </c>
      <c r="W101">
        <f t="shared" si="12"/>
        <v>367.31075618557838</v>
      </c>
    </row>
    <row r="102" spans="10:23">
      <c r="J102" s="114">
        <v>5</v>
      </c>
      <c r="K102" s="114">
        <v>500</v>
      </c>
      <c r="L102" s="116">
        <f t="shared" si="11"/>
        <v>21225.043601836023</v>
      </c>
      <c r="M102">
        <f t="shared" si="13"/>
        <v>71984.012323305433</v>
      </c>
      <c r="N102">
        <f t="shared" si="14"/>
        <v>268.29836436941883</v>
      </c>
      <c r="O102">
        <f t="shared" si="15"/>
        <v>85.58899065241016</v>
      </c>
      <c r="P102">
        <f t="shared" si="16"/>
        <v>64191.742981853204</v>
      </c>
      <c r="Q102">
        <f t="shared" si="17"/>
        <v>14174.956398163977</v>
      </c>
      <c r="R102">
        <v>0</v>
      </c>
      <c r="S102">
        <f t="shared" si="18"/>
        <v>158.83263170669593</v>
      </c>
      <c r="U102">
        <f t="shared" si="19"/>
        <v>0.12756678334900845</v>
      </c>
      <c r="V102">
        <f t="shared" si="20"/>
        <v>6.8451918640813965</v>
      </c>
      <c r="W102">
        <f t="shared" si="12"/>
        <v>375.02338539001278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5465-A00D-4D54-B733-FFDA2638B1F1}">
  <dimension ref="A1:L20"/>
  <sheetViews>
    <sheetView workbookViewId="0">
      <selection activeCell="I13" sqref="I13"/>
    </sheetView>
  </sheetViews>
  <sheetFormatPr defaultRowHeight="14.5"/>
  <cols>
    <col min="10" max="10" width="10.81640625" bestFit="1" customWidth="1"/>
  </cols>
  <sheetData>
    <row r="1" spans="1:12">
      <c r="A1" t="s">
        <v>623</v>
      </c>
      <c r="J1" s="1" t="s">
        <v>624</v>
      </c>
      <c r="K1" s="1" t="s">
        <v>625</v>
      </c>
    </row>
    <row r="2" spans="1:12">
      <c r="A2" t="s">
        <v>48</v>
      </c>
      <c r="E2" t="s">
        <v>626</v>
      </c>
      <c r="F2" t="s">
        <v>583</v>
      </c>
      <c r="G2" t="s">
        <v>627</v>
      </c>
      <c r="J2" t="s">
        <v>628</v>
      </c>
      <c r="K2">
        <f>G4</f>
        <v>124.87882662825911</v>
      </c>
    </row>
    <row r="3" spans="1:12">
      <c r="A3" t="s">
        <v>629</v>
      </c>
      <c r="B3">
        <v>0.9</v>
      </c>
      <c r="E3" t="s">
        <v>630</v>
      </c>
      <c r="F3">
        <f>SQRT((2*B4)/(B5*B6*B3))</f>
        <v>191.61058530810973</v>
      </c>
      <c r="G3">
        <f>F3*0.592484</f>
        <v>113.52620602569009</v>
      </c>
      <c r="J3" t="s">
        <v>631</v>
      </c>
      <c r="K3">
        <f>G11</f>
        <v>144.03033265034674</v>
      </c>
    </row>
    <row r="4" spans="1:12">
      <c r="A4" t="s">
        <v>632</v>
      </c>
      <c r="B4">
        <v>22205</v>
      </c>
      <c r="E4" t="s">
        <v>633</v>
      </c>
      <c r="F4">
        <f>1.1*F3</f>
        <v>210.77164383892071</v>
      </c>
      <c r="G4">
        <f t="shared" ref="G4:G5" si="0">F4*0.592484</f>
        <v>124.87882662825911</v>
      </c>
      <c r="J4" t="s">
        <v>634</v>
      </c>
      <c r="K4">
        <f>G18</f>
        <v>172.90197032850318</v>
      </c>
    </row>
    <row r="5" spans="1:12">
      <c r="A5" t="s">
        <v>601</v>
      </c>
      <c r="B5">
        <v>2.2399999999999998E-3</v>
      </c>
      <c r="E5" t="s">
        <v>635</v>
      </c>
      <c r="F5">
        <f>1.05*F4</f>
        <v>221.31022603086674</v>
      </c>
      <c r="G5">
        <f t="shared" si="0"/>
        <v>131.12276795967205</v>
      </c>
    </row>
    <row r="6" spans="1:12">
      <c r="A6" t="s">
        <v>636</v>
      </c>
      <c r="B6">
        <v>600</v>
      </c>
      <c r="L6" s="162"/>
    </row>
    <row r="8" spans="1:12">
      <c r="A8" t="s">
        <v>637</v>
      </c>
    </row>
    <row r="9" spans="1:12">
      <c r="A9" t="s">
        <v>48</v>
      </c>
      <c r="E9" t="s">
        <v>626</v>
      </c>
      <c r="F9" t="s">
        <v>583</v>
      </c>
      <c r="G9" t="s">
        <v>627</v>
      </c>
    </row>
    <row r="10" spans="1:12">
      <c r="A10" t="s">
        <v>629</v>
      </c>
      <c r="B10">
        <v>0.9</v>
      </c>
      <c r="E10" t="s">
        <v>630</v>
      </c>
      <c r="F10">
        <f>SQRT((2*B11)/(B12*B13*B10))</f>
        <v>220.99612149149974</v>
      </c>
      <c r="G10">
        <f>F10*0.592484</f>
        <v>130.93666604576973</v>
      </c>
    </row>
    <row r="11" spans="1:12">
      <c r="A11" t="s">
        <v>632</v>
      </c>
      <c r="B11">
        <v>29538</v>
      </c>
      <c r="E11" t="s">
        <v>633</v>
      </c>
      <c r="F11">
        <f>1.1*F10</f>
        <v>243.09573364064974</v>
      </c>
      <c r="G11">
        <f t="shared" ref="G11:G12" si="1">F11*0.592484</f>
        <v>144.03033265034674</v>
      </c>
    </row>
    <row r="12" spans="1:12">
      <c r="A12" t="s">
        <v>601</v>
      </c>
      <c r="B12">
        <v>2.2399999999999998E-3</v>
      </c>
      <c r="E12" t="s">
        <v>635</v>
      </c>
      <c r="F12">
        <f>1.05*F11</f>
        <v>255.25052032268223</v>
      </c>
      <c r="G12">
        <f t="shared" si="1"/>
        <v>151.23184928286406</v>
      </c>
      <c r="J12" s="163"/>
    </row>
    <row r="13" spans="1:12">
      <c r="A13" t="s">
        <v>636</v>
      </c>
      <c r="B13">
        <v>600</v>
      </c>
    </row>
    <row r="15" spans="1:12">
      <c r="A15" t="s">
        <v>634</v>
      </c>
    </row>
    <row r="16" spans="1:12">
      <c r="A16" t="s">
        <v>48</v>
      </c>
      <c r="E16" t="s">
        <v>626</v>
      </c>
      <c r="F16" t="s">
        <v>583</v>
      </c>
      <c r="G16" t="s">
        <v>627</v>
      </c>
    </row>
    <row r="17" spans="1:7">
      <c r="A17" t="s">
        <v>629</v>
      </c>
      <c r="B17">
        <v>0.9</v>
      </c>
      <c r="E17" t="s">
        <v>630</v>
      </c>
      <c r="F17">
        <f>SQRT((2*B18)/(B19*B20*B17))</f>
        <v>265.29595632886009</v>
      </c>
      <c r="G17">
        <f>F17*0.592484</f>
        <v>157.18360938954834</v>
      </c>
    </row>
    <row r="18" spans="1:7">
      <c r="A18" t="s">
        <v>632</v>
      </c>
      <c r="B18">
        <v>42567</v>
      </c>
      <c r="E18" t="s">
        <v>633</v>
      </c>
      <c r="F18">
        <f>1.1*F17</f>
        <v>291.8255519617461</v>
      </c>
      <c r="G18">
        <f t="shared" ref="G18:G19" si="2">F18*0.592484</f>
        <v>172.90197032850318</v>
      </c>
    </row>
    <row r="19" spans="1:7">
      <c r="A19" t="s">
        <v>601</v>
      </c>
      <c r="B19">
        <v>2.2399999999999998E-3</v>
      </c>
      <c r="E19" t="s">
        <v>635</v>
      </c>
      <c r="F19">
        <f>1.05*F18</f>
        <v>306.41682955983345</v>
      </c>
      <c r="G19">
        <f t="shared" si="2"/>
        <v>181.54706884492836</v>
      </c>
    </row>
    <row r="20" spans="1:7">
      <c r="A20" t="s">
        <v>636</v>
      </c>
      <c r="B20">
        <v>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E6B9-9D2D-48CC-8179-EE10125A4350}">
  <dimension ref="A1:P29"/>
  <sheetViews>
    <sheetView topLeftCell="C1" workbookViewId="0">
      <selection activeCell="R8" sqref="R8"/>
    </sheetView>
  </sheetViews>
  <sheetFormatPr defaultRowHeight="14.5"/>
  <cols>
    <col min="1" max="1" width="31.26953125" bestFit="1" customWidth="1"/>
    <col min="2" max="2" width="13.81640625" bestFit="1" customWidth="1"/>
    <col min="3" max="3" width="16.54296875" bestFit="1" customWidth="1"/>
    <col min="4" max="4" width="19.81640625" bestFit="1" customWidth="1"/>
    <col min="6" max="6" width="26.453125" bestFit="1" customWidth="1"/>
    <col min="7" max="7" width="13.81640625" bestFit="1" customWidth="1"/>
    <col min="8" max="8" width="7" bestFit="1" customWidth="1"/>
    <col min="10" max="10" width="20.81640625" bestFit="1" customWidth="1"/>
    <col min="11" max="11" width="2.26953125" bestFit="1" customWidth="1"/>
    <col min="12" max="12" width="16.54296875" bestFit="1" customWidth="1"/>
    <col min="14" max="14" width="21.7265625" bestFit="1" customWidth="1"/>
    <col min="15" max="15" width="3" bestFit="1" customWidth="1"/>
    <col min="16" max="16" width="12.54296875" bestFit="1" customWidth="1"/>
  </cols>
  <sheetData>
    <row r="1" spans="1:16">
      <c r="A1" s="114"/>
      <c r="B1" s="114"/>
      <c r="C1" s="114"/>
      <c r="D1" s="114"/>
      <c r="E1" s="114"/>
      <c r="F1" s="114"/>
      <c r="G1" s="114"/>
      <c r="H1" s="114"/>
    </row>
    <row r="2" spans="1:16">
      <c r="A2" s="117" t="s">
        <v>638</v>
      </c>
      <c r="B2" s="118" t="s">
        <v>152</v>
      </c>
      <c r="C2" s="119">
        <v>16043.23</v>
      </c>
      <c r="D2" s="118" t="s">
        <v>639</v>
      </c>
      <c r="E2" s="114"/>
      <c r="F2" s="114"/>
      <c r="G2" s="114"/>
      <c r="H2" s="114"/>
      <c r="J2" s="114"/>
      <c r="K2" s="114"/>
      <c r="L2" s="114"/>
      <c r="M2" s="114"/>
      <c r="N2" s="114"/>
      <c r="O2" s="114"/>
      <c r="P2" s="114"/>
    </row>
    <row r="3" spans="1:16">
      <c r="A3" s="120" t="s">
        <v>640</v>
      </c>
      <c r="B3" s="121" t="s">
        <v>641</v>
      </c>
      <c r="C3" s="122">
        <v>1333.48</v>
      </c>
      <c r="D3" s="121" t="s">
        <v>642</v>
      </c>
      <c r="E3" s="114"/>
      <c r="F3" s="114"/>
      <c r="G3" s="114"/>
      <c r="H3" s="114"/>
      <c r="J3" s="262" t="s">
        <v>643</v>
      </c>
      <c r="K3" s="263"/>
      <c r="L3" s="264"/>
      <c r="M3" s="114"/>
      <c r="N3" s="262" t="s">
        <v>644</v>
      </c>
      <c r="O3" s="263"/>
      <c r="P3" s="264"/>
    </row>
    <row r="4" spans="1:16">
      <c r="A4" s="120" t="s">
        <v>645</v>
      </c>
      <c r="B4" s="121" t="s">
        <v>129</v>
      </c>
      <c r="C4" s="121">
        <v>500</v>
      </c>
      <c r="D4" s="121" t="s">
        <v>646</v>
      </c>
      <c r="E4" s="114"/>
      <c r="F4" s="114"/>
      <c r="G4" s="114"/>
      <c r="H4" s="114"/>
      <c r="J4" s="142" t="s">
        <v>647</v>
      </c>
      <c r="K4" s="133" t="s">
        <v>648</v>
      </c>
      <c r="L4" s="143">
        <f>G9</f>
        <v>19374588.39259487</v>
      </c>
      <c r="M4" s="114"/>
      <c r="N4" s="142" t="s">
        <v>649</v>
      </c>
      <c r="O4" s="133" t="s">
        <v>650</v>
      </c>
      <c r="P4" s="143">
        <f t="shared" ref="P4:P9" si="0">L4/500</f>
        <v>38749.176785189738</v>
      </c>
    </row>
    <row r="5" spans="1:16">
      <c r="A5" s="120" t="s">
        <v>651</v>
      </c>
      <c r="B5" s="121" t="s">
        <v>652</v>
      </c>
      <c r="C5" s="123">
        <v>22000</v>
      </c>
      <c r="D5" s="121" t="s">
        <v>653</v>
      </c>
      <c r="E5" s="114"/>
      <c r="F5" s="114"/>
      <c r="G5" s="114"/>
      <c r="H5" s="114"/>
      <c r="J5" s="142" t="s">
        <v>654</v>
      </c>
      <c r="K5" s="133" t="s">
        <v>648</v>
      </c>
      <c r="L5" s="143">
        <f>C10</f>
        <v>188969562.546002</v>
      </c>
      <c r="M5" s="114"/>
      <c r="N5" s="142" t="s">
        <v>655</v>
      </c>
      <c r="O5" s="133" t="s">
        <v>650</v>
      </c>
      <c r="P5" s="143">
        <f t="shared" si="0"/>
        <v>377939.12509200402</v>
      </c>
    </row>
    <row r="6" spans="1:16">
      <c r="A6" s="120" t="s">
        <v>656</v>
      </c>
      <c r="B6" s="121" t="s">
        <v>657</v>
      </c>
      <c r="C6" s="123">
        <v>3000</v>
      </c>
      <c r="D6" s="121" t="s">
        <v>658</v>
      </c>
      <c r="E6" s="114"/>
      <c r="F6" s="114"/>
      <c r="G6" s="114"/>
      <c r="H6" s="114"/>
      <c r="J6" s="142" t="s">
        <v>659</v>
      </c>
      <c r="K6" s="133" t="s">
        <v>648</v>
      </c>
      <c r="L6" s="143">
        <f>C11</f>
        <v>99430802.758132741</v>
      </c>
      <c r="M6" s="114"/>
      <c r="N6" s="142" t="s">
        <v>660</v>
      </c>
      <c r="O6" s="133" t="s">
        <v>650</v>
      </c>
      <c r="P6" s="143">
        <f t="shared" si="0"/>
        <v>198861.6055162655</v>
      </c>
    </row>
    <row r="7" spans="1:16">
      <c r="A7" s="120" t="s">
        <v>661</v>
      </c>
      <c r="B7" s="121" t="s">
        <v>662</v>
      </c>
      <c r="C7" s="121">
        <v>2</v>
      </c>
      <c r="D7" s="121" t="s">
        <v>646</v>
      </c>
      <c r="E7" s="114"/>
      <c r="F7" s="114"/>
      <c r="G7" s="114"/>
      <c r="H7" s="114"/>
      <c r="J7" s="142" t="s">
        <v>663</v>
      </c>
      <c r="K7" s="133" t="s">
        <v>648</v>
      </c>
      <c r="L7" s="143">
        <f>G12</f>
        <v>16031874.832139995</v>
      </c>
      <c r="M7" s="114"/>
      <c r="N7" s="142" t="s">
        <v>664</v>
      </c>
      <c r="O7" s="133" t="s">
        <v>650</v>
      </c>
      <c r="P7" s="143">
        <f t="shared" si="0"/>
        <v>32063.749664279989</v>
      </c>
    </row>
    <row r="8" spans="1:16">
      <c r="A8" s="114"/>
      <c r="B8" s="114"/>
      <c r="C8" s="114"/>
      <c r="D8" s="114"/>
      <c r="E8" s="114"/>
      <c r="F8" s="114"/>
      <c r="G8" s="114"/>
      <c r="H8" s="114"/>
      <c r="J8" s="142" t="s">
        <v>665</v>
      </c>
      <c r="K8" s="133" t="s">
        <v>648</v>
      </c>
      <c r="L8" s="143">
        <f>G13</f>
        <v>97710880.714541286</v>
      </c>
      <c r="M8" s="114"/>
      <c r="N8" s="142" t="s">
        <v>666</v>
      </c>
      <c r="O8" s="133" t="s">
        <v>650</v>
      </c>
      <c r="P8" s="143">
        <f t="shared" si="0"/>
        <v>195421.76142908257</v>
      </c>
    </row>
    <row r="9" spans="1:16">
      <c r="A9" s="124" t="s">
        <v>647</v>
      </c>
      <c r="B9" s="125" t="s">
        <v>667</v>
      </c>
      <c r="C9" s="125">
        <f>4.86*(C2^0.777)*(C4^0.894)*(C3^0.163)</f>
        <v>7523154.6555104302</v>
      </c>
      <c r="D9" s="126" t="s">
        <v>668</v>
      </c>
      <c r="E9" s="114"/>
      <c r="F9" s="124" t="s">
        <v>669</v>
      </c>
      <c r="G9" s="127">
        <f>2.576*C9-5058</f>
        <v>19374588.39259487</v>
      </c>
      <c r="H9" s="128" t="s">
        <v>670</v>
      </c>
      <c r="J9" s="142" t="s">
        <v>671</v>
      </c>
      <c r="K9" s="133" t="s">
        <v>648</v>
      </c>
      <c r="L9" s="143">
        <f>G14+G15</f>
        <v>22587524.60186024</v>
      </c>
      <c r="M9" s="114"/>
      <c r="N9" s="142" t="s">
        <v>672</v>
      </c>
      <c r="O9" s="133" t="s">
        <v>650</v>
      </c>
      <c r="P9" s="143">
        <f t="shared" si="0"/>
        <v>45175.049203720482</v>
      </c>
    </row>
    <row r="10" spans="1:16">
      <c r="A10" s="129" t="s">
        <v>654</v>
      </c>
      <c r="B10" s="130" t="s">
        <v>595</v>
      </c>
      <c r="C10" s="131">
        <f>66*(C2^0.63)*(C4^1.3)*1.99</f>
        <v>188969562.546002</v>
      </c>
      <c r="D10" s="132" t="s">
        <v>670</v>
      </c>
      <c r="E10" s="114"/>
      <c r="F10" s="129" t="s">
        <v>646</v>
      </c>
      <c r="G10" s="130" t="s">
        <v>646</v>
      </c>
      <c r="H10" s="133" t="s">
        <v>646</v>
      </c>
      <c r="J10" s="142" t="s">
        <v>673</v>
      </c>
      <c r="K10" s="133" t="s">
        <v>648</v>
      </c>
      <c r="L10" s="143">
        <f>C16</f>
        <v>3626021526.2828083</v>
      </c>
      <c r="M10" s="114"/>
      <c r="N10" s="142" t="s">
        <v>674</v>
      </c>
      <c r="O10" s="133" t="s">
        <v>650</v>
      </c>
      <c r="P10" s="143">
        <f t="shared" ref="P10:P11" si="1">L10/500</f>
        <v>7252043.0525656166</v>
      </c>
    </row>
    <row r="11" spans="1:16">
      <c r="A11" s="129" t="s">
        <v>675</v>
      </c>
      <c r="B11" s="130" t="s">
        <v>676</v>
      </c>
      <c r="C11" s="131">
        <f>1852*(C2^0.325)*(C4^0.822)*(5^1.21)*1.99</f>
        <v>99430802.758132741</v>
      </c>
      <c r="D11" s="132" t="s">
        <v>670</v>
      </c>
      <c r="E11" s="114"/>
      <c r="F11" s="129" t="s">
        <v>646</v>
      </c>
      <c r="G11" s="130" t="s">
        <v>646</v>
      </c>
      <c r="H11" s="133" t="s">
        <v>646</v>
      </c>
      <c r="J11" s="142" t="s">
        <v>677</v>
      </c>
      <c r="K11" s="133" t="s">
        <v>648</v>
      </c>
      <c r="L11" s="143">
        <f>C17</f>
        <v>9690005.7040000018</v>
      </c>
      <c r="M11" s="114"/>
      <c r="N11" s="142" t="s">
        <v>678</v>
      </c>
      <c r="O11" s="133" t="s">
        <v>650</v>
      </c>
      <c r="P11" s="143">
        <f t="shared" si="1"/>
        <v>19380.011408000002</v>
      </c>
    </row>
    <row r="12" spans="1:16">
      <c r="A12" s="129" t="s">
        <v>663</v>
      </c>
      <c r="B12" s="130" t="s">
        <v>585</v>
      </c>
      <c r="C12" s="130">
        <f>5.99*(C2^0.777)*(C4^0.696)*(C3^0.263)</f>
        <v>5562795.9875615658</v>
      </c>
      <c r="D12" s="133" t="s">
        <v>668</v>
      </c>
      <c r="E12" s="114"/>
      <c r="F12" s="129" t="s">
        <v>679</v>
      </c>
      <c r="G12" s="131">
        <f>2.883*C12-5666</f>
        <v>16031874.832139995</v>
      </c>
      <c r="H12" s="132" t="s">
        <v>670</v>
      </c>
      <c r="J12" s="142" t="s">
        <v>680</v>
      </c>
      <c r="K12" s="133" t="s">
        <v>648</v>
      </c>
      <c r="L12" s="133" t="s">
        <v>646</v>
      </c>
      <c r="M12" s="114"/>
      <c r="N12" s="142" t="s">
        <v>681</v>
      </c>
      <c r="O12" s="133" t="s">
        <v>650</v>
      </c>
      <c r="P12" s="143"/>
    </row>
    <row r="13" spans="1:16">
      <c r="A13" s="129" t="s">
        <v>682</v>
      </c>
      <c r="B13" s="130" t="s">
        <v>208</v>
      </c>
      <c r="C13" s="130">
        <f>7.37*(C2^0.82)*(C4^0.484)*(C3^0.641)</f>
        <v>42191464.902651682</v>
      </c>
      <c r="D13" s="133" t="s">
        <v>668</v>
      </c>
      <c r="E13" s="114"/>
      <c r="F13" s="129" t="s">
        <v>683</v>
      </c>
      <c r="G13" s="131">
        <f>2.316*C13-4552</f>
        <v>97710880.714541286</v>
      </c>
      <c r="H13" s="132" t="s">
        <v>670</v>
      </c>
      <c r="J13" s="142" t="s">
        <v>684</v>
      </c>
      <c r="K13" s="133" t="s">
        <v>648</v>
      </c>
      <c r="L13" s="133" t="s">
        <v>646</v>
      </c>
      <c r="M13" s="114"/>
      <c r="N13" s="142" t="s">
        <v>685</v>
      </c>
      <c r="O13" s="133" t="s">
        <v>650</v>
      </c>
      <c r="P13" s="143"/>
    </row>
    <row r="14" spans="1:16">
      <c r="A14" s="129" t="s">
        <v>686</v>
      </c>
      <c r="B14" s="130" t="s">
        <v>687</v>
      </c>
      <c r="C14" s="130">
        <f>0.076*C13</f>
        <v>3206551.3326015277</v>
      </c>
      <c r="D14" s="133" t="s">
        <v>688</v>
      </c>
      <c r="E14" s="114"/>
      <c r="F14" s="129" t="s">
        <v>689</v>
      </c>
      <c r="G14" s="131">
        <f>2.6*C14-5112</f>
        <v>8331921.464763972</v>
      </c>
      <c r="H14" s="132" t="s">
        <v>670</v>
      </c>
      <c r="J14" s="140" t="s">
        <v>690</v>
      </c>
      <c r="K14" s="141" t="s">
        <v>648</v>
      </c>
      <c r="L14" s="145">
        <f>SUM(L4:L13)</f>
        <v>4079816765.8320794</v>
      </c>
      <c r="M14" s="114"/>
      <c r="N14" s="140" t="s">
        <v>691</v>
      </c>
      <c r="O14" s="141" t="s">
        <v>650</v>
      </c>
      <c r="P14" s="145">
        <f>L14/500</f>
        <v>8159633.5316641591</v>
      </c>
    </row>
    <row r="15" spans="1:16">
      <c r="A15" s="129" t="s">
        <v>646</v>
      </c>
      <c r="B15" s="130" t="s">
        <v>687</v>
      </c>
      <c r="C15" s="130">
        <f>0.13*C13</f>
        <v>5484890.4373447187</v>
      </c>
      <c r="D15" s="133" t="s">
        <v>692</v>
      </c>
      <c r="E15" s="114"/>
      <c r="F15" s="129" t="s">
        <v>693</v>
      </c>
      <c r="G15" s="131">
        <f>2.6*C15-5112</f>
        <v>14255603.137096269</v>
      </c>
      <c r="H15" s="132" t="s">
        <v>670</v>
      </c>
    </row>
    <row r="16" spans="1:16">
      <c r="A16" s="129" t="s">
        <v>694</v>
      </c>
      <c r="B16" s="130" t="s">
        <v>620</v>
      </c>
      <c r="C16" s="131">
        <f>16.39*(C2^0.921)*(C4^0.621)*(C3^0.799)*1.99</f>
        <v>3626021526.2828083</v>
      </c>
      <c r="D16" s="132" t="s">
        <v>670</v>
      </c>
      <c r="E16" s="114"/>
      <c r="F16" s="114"/>
      <c r="G16" s="114"/>
      <c r="H16" s="114"/>
    </row>
    <row r="17" spans="1:8">
      <c r="A17" s="129" t="s">
        <v>695</v>
      </c>
      <c r="B17" s="130" t="s">
        <v>696</v>
      </c>
      <c r="C17" s="131">
        <f>2306*(0.043*C5+243.3*C7+0.969*C6-2228)*1.99</f>
        <v>9690005.7040000018</v>
      </c>
      <c r="D17" s="132" t="s">
        <v>670</v>
      </c>
      <c r="E17" s="114"/>
      <c r="F17" s="114"/>
      <c r="G17" s="114"/>
      <c r="H17" s="114"/>
    </row>
    <row r="18" spans="1:8">
      <c r="A18" s="114"/>
      <c r="B18" s="114"/>
      <c r="C18" s="114"/>
      <c r="D18" s="114"/>
      <c r="E18" s="114"/>
      <c r="F18" s="114"/>
      <c r="G18" s="114"/>
      <c r="H18" s="114"/>
    </row>
    <row r="19" spans="1:8">
      <c r="A19" s="134" t="s">
        <v>697</v>
      </c>
      <c r="B19" s="135">
        <v>0.95</v>
      </c>
      <c r="C19" s="126" t="s">
        <v>698</v>
      </c>
      <c r="D19" s="114"/>
      <c r="E19" s="114"/>
      <c r="F19" s="136" t="s">
        <v>699</v>
      </c>
      <c r="G19" s="137">
        <v>500</v>
      </c>
      <c r="H19" s="126" t="s">
        <v>700</v>
      </c>
    </row>
    <row r="20" spans="1:8">
      <c r="A20" s="138" t="s">
        <v>23</v>
      </c>
      <c r="B20" s="139">
        <v>0.14785799999999999</v>
      </c>
      <c r="C20" s="133" t="s">
        <v>646</v>
      </c>
      <c r="D20" s="114"/>
      <c r="E20" s="114"/>
      <c r="F20" s="140" t="s">
        <v>701</v>
      </c>
      <c r="G20" s="141">
        <f>G19*18</f>
        <v>9000</v>
      </c>
      <c r="H20" s="133" t="s">
        <v>700</v>
      </c>
    </row>
    <row r="21" spans="1:8">
      <c r="A21" s="138" t="s">
        <v>606</v>
      </c>
      <c r="B21" s="139">
        <v>4.4999999999999998E-2</v>
      </c>
      <c r="C21" s="133" t="s">
        <v>646</v>
      </c>
      <c r="D21" s="114"/>
      <c r="E21" s="114"/>
      <c r="F21" s="140" t="s">
        <v>702</v>
      </c>
      <c r="G21" s="141">
        <f>G19*1.1</f>
        <v>550</v>
      </c>
      <c r="H21" s="133" t="s">
        <v>700</v>
      </c>
    </row>
    <row r="22" spans="1:8">
      <c r="A22" s="138" t="s">
        <v>703</v>
      </c>
      <c r="B22" s="139">
        <f>0.5*(0.000891)*(843.9^2)*406.6773</f>
        <v>129026.70707859885</v>
      </c>
      <c r="C22" s="133" t="s">
        <v>646</v>
      </c>
      <c r="D22" s="114"/>
      <c r="E22" s="114"/>
      <c r="F22" s="140" t="s">
        <v>646</v>
      </c>
      <c r="G22" s="141" t="s">
        <v>646</v>
      </c>
      <c r="H22" s="133" t="s">
        <v>646</v>
      </c>
    </row>
    <row r="23" spans="1:8">
      <c r="A23" s="138" t="s">
        <v>704</v>
      </c>
      <c r="B23" s="139">
        <f>51752.35702/B22</f>
        <v>0.40109802219841323</v>
      </c>
      <c r="C23" s="133" t="s">
        <v>646</v>
      </c>
      <c r="D23" s="114"/>
      <c r="E23" s="114"/>
      <c r="F23" s="140" t="s">
        <v>705</v>
      </c>
      <c r="G23" s="141">
        <f>G19*25</f>
        <v>12500</v>
      </c>
      <c r="H23" s="133" t="s">
        <v>700</v>
      </c>
    </row>
    <row r="24" spans="1:8">
      <c r="A24" s="138" t="s">
        <v>706</v>
      </c>
      <c r="B24" s="139">
        <f>B21+B20*B23^2</f>
        <v>6.878733935837443E-2</v>
      </c>
      <c r="C24" s="133" t="s">
        <v>646</v>
      </c>
      <c r="D24" s="114"/>
      <c r="E24" s="114"/>
      <c r="F24" s="140" t="s">
        <v>701</v>
      </c>
      <c r="G24" s="141">
        <f>G23*18</f>
        <v>225000</v>
      </c>
      <c r="H24" s="133" t="s">
        <v>700</v>
      </c>
    </row>
    <row r="25" spans="1:8">
      <c r="A25" s="138" t="s">
        <v>595</v>
      </c>
      <c r="B25" s="139">
        <f>B22*B24</f>
        <v>8875.4038861091503</v>
      </c>
      <c r="C25" s="133" t="s">
        <v>653</v>
      </c>
      <c r="D25" s="114"/>
      <c r="E25" s="114"/>
      <c r="F25" s="140" t="s">
        <v>707</v>
      </c>
      <c r="G25" s="141">
        <f>G23*1.1</f>
        <v>13750.000000000002</v>
      </c>
      <c r="H25" s="133" t="s">
        <v>700</v>
      </c>
    </row>
    <row r="26" spans="1:8">
      <c r="A26" s="138" t="s">
        <v>79</v>
      </c>
      <c r="B26" s="139">
        <v>0.8</v>
      </c>
      <c r="C26" s="133" t="s">
        <v>708</v>
      </c>
      <c r="D26" s="114"/>
      <c r="E26" s="114"/>
      <c r="F26" s="142" t="s">
        <v>646</v>
      </c>
      <c r="G26" s="133" t="s">
        <v>646</v>
      </c>
      <c r="H26" s="133" t="s">
        <v>646</v>
      </c>
    </row>
    <row r="27" spans="1:8">
      <c r="A27" s="138" t="s">
        <v>709</v>
      </c>
      <c r="B27" s="139">
        <f>B25*B26</f>
        <v>7100.3231088873208</v>
      </c>
      <c r="C27" s="133" t="s">
        <v>710</v>
      </c>
      <c r="D27" s="114"/>
      <c r="E27" s="114"/>
      <c r="F27" s="142" t="s">
        <v>711</v>
      </c>
      <c r="G27" s="143">
        <f>225*G21</f>
        <v>123750</v>
      </c>
      <c r="H27" s="132" t="s">
        <v>670</v>
      </c>
    </row>
    <row r="28" spans="1:8">
      <c r="A28" s="138" t="s">
        <v>712</v>
      </c>
      <c r="B28" s="144">
        <f>500*B27*B19</f>
        <v>3372653.4767214772</v>
      </c>
      <c r="C28" s="132" t="s">
        <v>670</v>
      </c>
      <c r="D28" s="114"/>
      <c r="E28" s="114"/>
      <c r="F28" s="142" t="s">
        <v>713</v>
      </c>
      <c r="G28" s="143">
        <v>3093750</v>
      </c>
      <c r="H28" s="132" t="s">
        <v>670</v>
      </c>
    </row>
    <row r="29" spans="1:8">
      <c r="A29" s="138" t="s">
        <v>714</v>
      </c>
      <c r="B29" s="144">
        <f>12500*B27*B19</f>
        <v>84316336.918036923</v>
      </c>
      <c r="C29" s="132" t="s">
        <v>670</v>
      </c>
      <c r="D29" s="114"/>
      <c r="E29" s="114"/>
      <c r="F29" s="114"/>
      <c r="G29" s="114"/>
      <c r="H29" s="114"/>
    </row>
  </sheetData>
  <mergeCells count="2">
    <mergeCell ref="J3:L3"/>
    <mergeCell ref="N3:P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DE7C-55C9-4194-A669-64CF604092D3}">
  <dimension ref="A1:I83"/>
  <sheetViews>
    <sheetView topLeftCell="A33" workbookViewId="0">
      <selection activeCell="C83" sqref="C83"/>
    </sheetView>
  </sheetViews>
  <sheetFormatPr defaultRowHeight="14.5"/>
  <cols>
    <col min="1" max="1" width="50" bestFit="1" customWidth="1"/>
    <col min="2" max="2" width="18.54296875" bestFit="1" customWidth="1"/>
    <col min="3" max="3" width="34.7265625" bestFit="1" customWidth="1"/>
    <col min="4" max="4" width="22.81640625" bestFit="1" customWidth="1"/>
    <col min="5" max="5" width="9.26953125" bestFit="1" customWidth="1"/>
    <col min="6" max="6" width="23.26953125" bestFit="1" customWidth="1"/>
    <col min="7" max="7" width="9" customWidth="1"/>
  </cols>
  <sheetData>
    <row r="1" spans="1:9">
      <c r="A1" s="114" t="s">
        <v>715</v>
      </c>
      <c r="B1" s="114">
        <v>0.3</v>
      </c>
      <c r="C1" s="114"/>
      <c r="D1" s="114"/>
      <c r="E1" s="114"/>
      <c r="F1" s="114"/>
      <c r="G1" s="114"/>
      <c r="H1" s="114"/>
      <c r="I1" s="114"/>
    </row>
    <row r="2" spans="1:9">
      <c r="A2" s="114" t="s">
        <v>716</v>
      </c>
      <c r="B2" s="114">
        <v>0.5</v>
      </c>
      <c r="C2" s="114"/>
      <c r="D2" s="114"/>
      <c r="E2" s="114"/>
      <c r="F2" s="114"/>
      <c r="G2" s="114"/>
      <c r="H2" s="114"/>
      <c r="I2" s="114"/>
    </row>
    <row r="3" spans="1:9">
      <c r="A3" s="114" t="s">
        <v>717</v>
      </c>
      <c r="B3" s="114">
        <v>72</v>
      </c>
      <c r="C3" s="114">
        <v>6</v>
      </c>
      <c r="D3" s="114"/>
      <c r="E3" s="114"/>
      <c r="F3" s="114"/>
      <c r="G3" s="114"/>
      <c r="H3" s="114"/>
      <c r="I3" s="114"/>
    </row>
    <row r="4" spans="1:9">
      <c r="A4" s="114" t="s">
        <v>718</v>
      </c>
      <c r="B4" s="114">
        <v>45</v>
      </c>
      <c r="C4" s="114"/>
      <c r="D4" s="114"/>
      <c r="E4" s="114"/>
      <c r="F4" s="114"/>
      <c r="G4" s="114"/>
      <c r="H4" s="114"/>
      <c r="I4" s="114"/>
    </row>
    <row r="5" spans="1:9">
      <c r="A5" s="114" t="s">
        <v>719</v>
      </c>
      <c r="B5" s="114">
        <v>0.26666666700000002</v>
      </c>
      <c r="C5" s="114"/>
      <c r="D5" s="114"/>
      <c r="E5" s="114"/>
      <c r="F5" s="114"/>
      <c r="G5" s="114"/>
      <c r="H5" s="114"/>
      <c r="I5" s="114"/>
    </row>
    <row r="6" spans="1:9">
      <c r="A6" s="114" t="s">
        <v>720</v>
      </c>
      <c r="B6" s="114">
        <v>20</v>
      </c>
      <c r="C6" s="114"/>
      <c r="D6" s="114"/>
      <c r="E6" s="114"/>
      <c r="F6" s="114"/>
      <c r="G6" s="114"/>
      <c r="H6" s="114"/>
      <c r="I6" s="114"/>
    </row>
    <row r="7" spans="1:9">
      <c r="A7" s="114" t="s">
        <v>721</v>
      </c>
      <c r="B7" s="222">
        <v>17</v>
      </c>
      <c r="C7" s="114"/>
      <c r="D7" s="114"/>
      <c r="E7" s="114"/>
      <c r="F7" s="114"/>
      <c r="G7" s="114"/>
      <c r="H7" s="114"/>
      <c r="I7" s="114"/>
    </row>
    <row r="8" spans="1:9">
      <c r="A8" s="114" t="s">
        <v>722</v>
      </c>
      <c r="B8" s="223">
        <v>4.43</v>
      </c>
      <c r="C8" s="114"/>
      <c r="D8" s="114"/>
      <c r="E8" s="114"/>
      <c r="F8" s="114"/>
      <c r="G8" s="114"/>
      <c r="H8" s="114"/>
      <c r="I8" s="114"/>
    </row>
    <row r="9" spans="1:9">
      <c r="A9" s="114" t="s">
        <v>723</v>
      </c>
      <c r="B9" s="224">
        <v>5</v>
      </c>
      <c r="C9" s="114"/>
      <c r="D9" s="114"/>
      <c r="E9" s="114"/>
      <c r="F9" s="114"/>
      <c r="G9" s="114"/>
      <c r="H9" s="114"/>
      <c r="I9" s="114"/>
    </row>
    <row r="10" spans="1:9">
      <c r="A10" s="114" t="s">
        <v>335</v>
      </c>
      <c r="B10" s="223">
        <v>0</v>
      </c>
      <c r="C10" s="114"/>
      <c r="D10" s="114"/>
      <c r="E10" s="114"/>
      <c r="F10" s="114"/>
      <c r="G10" s="114"/>
      <c r="H10" s="114"/>
      <c r="I10" s="114"/>
    </row>
    <row r="11" spans="1:9">
      <c r="A11" s="114" t="s">
        <v>724</v>
      </c>
      <c r="B11" s="223">
        <v>457</v>
      </c>
      <c r="C11" s="114"/>
      <c r="D11" s="114"/>
      <c r="E11" s="114"/>
      <c r="F11" s="114"/>
      <c r="G11" s="114"/>
      <c r="H11" s="114"/>
      <c r="I11" s="114"/>
    </row>
    <row r="12" spans="1:9">
      <c r="A12" s="114" t="s">
        <v>725</v>
      </c>
      <c r="B12" s="224">
        <v>300</v>
      </c>
      <c r="C12" s="114" t="s">
        <v>726</v>
      </c>
      <c r="D12" s="114"/>
      <c r="E12" s="114"/>
      <c r="F12" s="114"/>
      <c r="G12" s="114"/>
      <c r="H12" s="114"/>
      <c r="I12" s="114"/>
    </row>
    <row r="13" spans="1:9">
      <c r="A13" s="114" t="s">
        <v>727</v>
      </c>
      <c r="B13" s="223">
        <v>12</v>
      </c>
      <c r="C13" s="114"/>
      <c r="D13" s="114"/>
      <c r="E13" s="114"/>
      <c r="F13" s="114"/>
      <c r="G13" s="114"/>
      <c r="H13" s="114"/>
      <c r="I13" s="114"/>
    </row>
    <row r="14" spans="1:9">
      <c r="A14" s="114" t="s">
        <v>728</v>
      </c>
      <c r="B14" s="223">
        <v>4.5</v>
      </c>
      <c r="C14" s="114" t="s">
        <v>729</v>
      </c>
      <c r="D14" s="114"/>
      <c r="E14" s="114"/>
      <c r="F14" s="114"/>
      <c r="G14" s="114"/>
      <c r="H14" s="114"/>
      <c r="I14" s="114"/>
    </row>
    <row r="15" spans="1:9">
      <c r="A15" s="114" t="s">
        <v>730</v>
      </c>
      <c r="B15" s="223">
        <v>110</v>
      </c>
      <c r="C15" s="114"/>
      <c r="D15" s="114"/>
      <c r="E15" s="114"/>
      <c r="F15" s="114"/>
      <c r="G15" s="114"/>
      <c r="H15" s="114"/>
      <c r="I15" s="114"/>
    </row>
    <row r="16" spans="1:9">
      <c r="A16" s="114" t="s">
        <v>731</v>
      </c>
      <c r="B16" s="223">
        <v>130</v>
      </c>
      <c r="C16" s="114"/>
      <c r="D16" s="114"/>
      <c r="E16" s="114"/>
      <c r="F16" s="114"/>
      <c r="G16" s="114"/>
      <c r="H16" s="114"/>
      <c r="I16" s="114"/>
    </row>
    <row r="17" spans="1:9">
      <c r="A17" s="114" t="s">
        <v>732</v>
      </c>
      <c r="B17" s="223">
        <v>2.2153846150000001</v>
      </c>
      <c r="C17" s="114"/>
      <c r="D17" s="114"/>
      <c r="E17" s="114"/>
      <c r="F17" s="114"/>
      <c r="G17" s="114"/>
      <c r="H17" s="114"/>
      <c r="I17" s="114"/>
    </row>
    <row r="18" spans="1:9">
      <c r="A18" s="114" t="s">
        <v>733</v>
      </c>
      <c r="B18" s="224">
        <v>0.3</v>
      </c>
      <c r="C18" s="114" t="s">
        <v>726</v>
      </c>
      <c r="D18" s="114"/>
      <c r="E18" s="114"/>
      <c r="F18" s="114"/>
      <c r="G18" s="114"/>
      <c r="H18" s="114"/>
      <c r="I18" s="114"/>
    </row>
    <row r="19" spans="1:9">
      <c r="A19" s="114" t="s">
        <v>734</v>
      </c>
      <c r="B19" s="224">
        <v>31.364000000000001</v>
      </c>
      <c r="C19" s="114" t="s">
        <v>583</v>
      </c>
      <c r="D19" s="114"/>
      <c r="E19" s="114"/>
      <c r="F19" s="114"/>
      <c r="G19" s="114"/>
      <c r="H19" s="114"/>
      <c r="I19" s="114"/>
    </row>
    <row r="20" spans="1:9">
      <c r="A20" s="114" t="s">
        <v>735</v>
      </c>
      <c r="B20" s="225">
        <v>2.3770000000000002E-3</v>
      </c>
      <c r="C20" s="114" t="s">
        <v>581</v>
      </c>
      <c r="D20" s="114"/>
      <c r="E20" s="114"/>
      <c r="F20" s="114"/>
      <c r="G20" s="114"/>
      <c r="H20" s="114"/>
      <c r="I20" s="114"/>
    </row>
    <row r="21" spans="1:9">
      <c r="A21" s="114" t="s">
        <v>736</v>
      </c>
      <c r="B21" s="225" t="s">
        <v>646</v>
      </c>
      <c r="C21" s="114"/>
      <c r="D21" s="114"/>
      <c r="E21" s="114"/>
      <c r="F21" s="114"/>
      <c r="G21" s="114"/>
      <c r="H21" s="114"/>
      <c r="I21" s="114"/>
    </row>
    <row r="22" spans="1:9">
      <c r="A22" s="114"/>
      <c r="B22" s="223" t="s">
        <v>646</v>
      </c>
      <c r="C22" s="114"/>
      <c r="D22" s="114"/>
      <c r="E22" s="114"/>
      <c r="F22" s="114"/>
      <c r="G22" s="114"/>
      <c r="H22" s="114"/>
      <c r="I22" s="114"/>
    </row>
    <row r="23" spans="1:9">
      <c r="A23" s="10" t="s">
        <v>737</v>
      </c>
      <c r="B23" s="223">
        <v>-0.01</v>
      </c>
      <c r="C23" s="114" t="s">
        <v>738</v>
      </c>
      <c r="D23" s="114"/>
      <c r="E23" s="114"/>
      <c r="F23" s="114"/>
      <c r="G23" s="114"/>
      <c r="H23" s="114"/>
      <c r="I23" s="114"/>
    </row>
    <row r="24" spans="1:9">
      <c r="A24" s="10" t="s">
        <v>739</v>
      </c>
      <c r="B24" s="223">
        <v>-0.6</v>
      </c>
      <c r="C24" s="114" t="s">
        <v>740</v>
      </c>
      <c r="D24" s="114"/>
      <c r="E24" s="114"/>
      <c r="F24" s="114"/>
      <c r="G24" s="114"/>
      <c r="H24" s="114"/>
      <c r="I24" s="114"/>
    </row>
    <row r="25" spans="1:9">
      <c r="A25" s="10" t="s">
        <v>741</v>
      </c>
      <c r="B25" s="223">
        <v>0.06</v>
      </c>
      <c r="C25" s="114" t="s">
        <v>742</v>
      </c>
      <c r="D25" s="114"/>
      <c r="E25" s="114"/>
      <c r="F25" s="114"/>
      <c r="G25" s="114"/>
      <c r="H25" s="114"/>
      <c r="I25" s="114"/>
    </row>
    <row r="26" spans="1:9">
      <c r="A26" s="114"/>
      <c r="B26" s="223" t="s">
        <v>646</v>
      </c>
      <c r="C26" s="114"/>
      <c r="D26" s="114"/>
      <c r="E26" s="114"/>
      <c r="F26" s="114"/>
      <c r="G26" s="114"/>
      <c r="H26" s="114"/>
      <c r="I26" s="114"/>
    </row>
    <row r="27" spans="1:9">
      <c r="A27" s="10" t="s">
        <v>743</v>
      </c>
      <c r="B27" s="223">
        <v>0.01</v>
      </c>
      <c r="C27" s="114"/>
      <c r="D27" s="114"/>
      <c r="E27" s="114"/>
      <c r="F27" s="114"/>
      <c r="G27" s="114"/>
      <c r="H27" s="114"/>
      <c r="I27" s="114"/>
    </row>
    <row r="28" spans="1:9">
      <c r="A28" s="10"/>
      <c r="B28" s="223" t="s">
        <v>646</v>
      </c>
      <c r="C28" s="114"/>
      <c r="D28" s="114"/>
      <c r="E28" s="114"/>
      <c r="F28" s="114"/>
      <c r="G28" s="114"/>
      <c r="H28" s="114"/>
      <c r="I28" s="114"/>
    </row>
    <row r="29" spans="1:9">
      <c r="A29" s="10" t="s">
        <v>744</v>
      </c>
      <c r="B29" s="224">
        <v>40</v>
      </c>
      <c r="C29" s="114" t="s">
        <v>726</v>
      </c>
      <c r="D29" s="114"/>
      <c r="E29" s="114"/>
      <c r="F29" s="114"/>
      <c r="G29" s="114"/>
      <c r="H29" s="114"/>
      <c r="I29" s="114"/>
    </row>
    <row r="30" spans="1:9">
      <c r="A30" s="10" t="s">
        <v>745</v>
      </c>
      <c r="B30" s="224">
        <v>7</v>
      </c>
      <c r="C30" s="114" t="s">
        <v>726</v>
      </c>
      <c r="D30" s="114"/>
      <c r="E30" s="114"/>
      <c r="F30" s="114"/>
      <c r="G30" s="114"/>
      <c r="H30" s="114"/>
      <c r="I30" s="114"/>
    </row>
    <row r="31" spans="1:9">
      <c r="A31" s="114" t="s">
        <v>746</v>
      </c>
      <c r="B31" s="114">
        <v>5.7142857139999998</v>
      </c>
      <c r="C31" s="114"/>
      <c r="D31" s="114"/>
      <c r="E31" s="114"/>
      <c r="F31" s="114"/>
      <c r="G31" s="114"/>
      <c r="H31" s="114"/>
      <c r="I31" s="114"/>
    </row>
    <row r="32" spans="1:9">
      <c r="A32" s="10" t="s">
        <v>747</v>
      </c>
      <c r="B32" s="114">
        <v>0.85</v>
      </c>
      <c r="C32" s="114" t="s">
        <v>748</v>
      </c>
      <c r="D32" s="114"/>
      <c r="E32" s="114"/>
      <c r="F32" s="114"/>
      <c r="G32" s="114"/>
      <c r="H32" s="114"/>
      <c r="I32" s="114"/>
    </row>
    <row r="33" spans="1:9">
      <c r="A33" s="10" t="s">
        <v>749</v>
      </c>
      <c r="B33" s="114">
        <v>38.484510010000001</v>
      </c>
      <c r="C33" s="114"/>
      <c r="D33" s="114"/>
      <c r="E33" s="114"/>
      <c r="F33" s="114"/>
      <c r="G33" s="114"/>
      <c r="H33" s="114"/>
      <c r="I33" s="114"/>
    </row>
    <row r="34" spans="1:9">
      <c r="A34" s="10" t="s">
        <v>750</v>
      </c>
      <c r="B34" s="114">
        <v>0.15555555600000001</v>
      </c>
      <c r="C34" s="114"/>
      <c r="D34" s="114"/>
      <c r="E34" s="114"/>
      <c r="F34" s="114"/>
      <c r="G34" s="114"/>
      <c r="H34" s="114"/>
      <c r="I34" s="114"/>
    </row>
    <row r="35" spans="1:9">
      <c r="A35" s="114"/>
      <c r="B35" s="114"/>
      <c r="C35" s="114"/>
      <c r="D35" s="114"/>
      <c r="E35" s="114"/>
      <c r="F35" s="114"/>
      <c r="G35" s="114"/>
      <c r="H35" s="114"/>
      <c r="I35" s="114"/>
    </row>
    <row r="36" spans="1:9">
      <c r="A36" s="10" t="s">
        <v>751</v>
      </c>
      <c r="B36" s="114">
        <v>0.143159009</v>
      </c>
      <c r="C36" s="114" t="s">
        <v>752</v>
      </c>
      <c r="D36" s="114"/>
      <c r="E36" s="114"/>
      <c r="F36" s="114"/>
      <c r="G36" s="114"/>
      <c r="H36" s="114"/>
      <c r="I36" s="114"/>
    </row>
    <row r="37" spans="1:9">
      <c r="A37" s="10" t="s">
        <v>753</v>
      </c>
      <c r="B37" s="114">
        <v>0.04</v>
      </c>
      <c r="C37" s="114" t="s">
        <v>754</v>
      </c>
      <c r="D37" s="114"/>
      <c r="E37" s="114"/>
      <c r="F37" s="114"/>
      <c r="G37" s="114"/>
      <c r="H37" s="114"/>
      <c r="I37" s="114"/>
    </row>
    <row r="38" spans="1:9">
      <c r="A38" s="10"/>
      <c r="B38" s="114"/>
      <c r="C38" s="114"/>
      <c r="D38" s="114"/>
      <c r="E38" s="114"/>
      <c r="F38" s="114"/>
      <c r="G38" s="114"/>
      <c r="H38" s="114"/>
      <c r="I38" s="114"/>
    </row>
    <row r="39" spans="1:9">
      <c r="A39" s="10" t="s">
        <v>755</v>
      </c>
      <c r="B39" s="114">
        <v>5.4519722509999999</v>
      </c>
      <c r="C39" s="114" t="s">
        <v>756</v>
      </c>
      <c r="D39" s="114"/>
      <c r="E39" s="114"/>
      <c r="F39" s="114"/>
      <c r="G39" s="114"/>
      <c r="H39" s="114"/>
      <c r="I39" s="114"/>
    </row>
    <row r="40" spans="1:9">
      <c r="A40" s="10" t="s">
        <v>757</v>
      </c>
      <c r="B40" s="114">
        <v>1.131063012</v>
      </c>
      <c r="C40" s="114" t="s">
        <v>758</v>
      </c>
      <c r="D40" s="114"/>
      <c r="E40" s="114"/>
      <c r="F40" s="114"/>
      <c r="G40" s="114"/>
      <c r="H40" s="114"/>
      <c r="I40" s="114"/>
    </row>
    <row r="41" spans="1:9">
      <c r="A41" s="10" t="s">
        <v>759</v>
      </c>
      <c r="B41" s="114">
        <v>0.213991605</v>
      </c>
      <c r="C41" s="114" t="s">
        <v>758</v>
      </c>
      <c r="D41" s="114"/>
      <c r="E41" s="114"/>
      <c r="F41" s="114"/>
      <c r="G41" s="114"/>
      <c r="H41" s="114"/>
      <c r="I41" s="114"/>
    </row>
    <row r="42" spans="1:9">
      <c r="A42" s="114"/>
      <c r="B42" s="114"/>
      <c r="C42" s="114"/>
      <c r="D42" s="114"/>
      <c r="E42" s="114"/>
      <c r="F42" s="114"/>
      <c r="G42" s="114"/>
      <c r="H42" s="114"/>
      <c r="I42" s="114"/>
    </row>
    <row r="43" spans="1:9">
      <c r="A43" s="114" t="s">
        <v>760</v>
      </c>
      <c r="B43" s="114">
        <v>0.17847773</v>
      </c>
      <c r="C43" s="114" t="s">
        <v>761</v>
      </c>
      <c r="D43" s="114" t="s">
        <v>762</v>
      </c>
      <c r="E43" s="114"/>
      <c r="F43" s="114"/>
      <c r="G43" s="114"/>
      <c r="H43" s="114"/>
      <c r="I43" s="114"/>
    </row>
    <row r="44" spans="1:9">
      <c r="A44" s="10" t="s">
        <v>763</v>
      </c>
      <c r="B44" s="114">
        <v>2.6666666669999999</v>
      </c>
      <c r="C44" s="114"/>
      <c r="D44" s="114"/>
      <c r="E44" s="114"/>
      <c r="F44" s="114"/>
      <c r="G44" s="114"/>
      <c r="H44" s="114"/>
      <c r="I44" s="114"/>
    </row>
    <row r="45" spans="1:9">
      <c r="A45" s="10" t="s">
        <v>764</v>
      </c>
      <c r="B45" s="114">
        <v>1.46</v>
      </c>
      <c r="C45" s="114" t="s">
        <v>765</v>
      </c>
      <c r="D45" s="114"/>
      <c r="E45" s="114"/>
      <c r="F45" s="114"/>
      <c r="G45" s="114"/>
      <c r="H45" s="114"/>
      <c r="I45" s="114"/>
    </row>
    <row r="46" spans="1:9">
      <c r="A46" s="10" t="s">
        <v>766</v>
      </c>
      <c r="B46" s="114">
        <v>0.5</v>
      </c>
      <c r="C46" s="114"/>
      <c r="D46" s="114"/>
      <c r="E46" s="114"/>
      <c r="F46" s="114"/>
      <c r="G46" s="114"/>
      <c r="H46" s="114"/>
      <c r="I46" s="114"/>
    </row>
    <row r="47" spans="1:9">
      <c r="A47" s="10" t="s">
        <v>767</v>
      </c>
      <c r="B47" s="114">
        <v>0.9</v>
      </c>
      <c r="C47" s="114" t="s">
        <v>765</v>
      </c>
      <c r="D47" s="114"/>
      <c r="E47" s="114"/>
      <c r="F47" s="114"/>
      <c r="G47" s="114"/>
      <c r="H47" s="114"/>
      <c r="I47" s="114"/>
    </row>
    <row r="48" spans="1:9">
      <c r="A48" s="10" t="s">
        <v>768</v>
      </c>
      <c r="B48" s="114">
        <v>0.84615384599999999</v>
      </c>
      <c r="C48" s="114"/>
      <c r="D48" s="114"/>
      <c r="E48" s="114"/>
      <c r="F48" s="114"/>
      <c r="G48" s="114"/>
      <c r="H48" s="114"/>
      <c r="I48" s="114"/>
    </row>
    <row r="49" spans="1:9">
      <c r="A49" s="10" t="s">
        <v>769</v>
      </c>
      <c r="B49" s="114">
        <v>0.85</v>
      </c>
      <c r="C49" s="114" t="s">
        <v>770</v>
      </c>
      <c r="D49" s="114"/>
      <c r="E49" s="114"/>
      <c r="F49" s="114"/>
      <c r="G49" s="114"/>
      <c r="H49" s="114"/>
      <c r="I49" s="114"/>
    </row>
    <row r="50" spans="1:9">
      <c r="A50" s="10" t="s">
        <v>771</v>
      </c>
      <c r="B50" s="114">
        <v>2.9595323069999999</v>
      </c>
      <c r="C50" s="114"/>
      <c r="D50" s="114"/>
      <c r="E50" s="114"/>
      <c r="F50" s="114"/>
      <c r="G50" s="114"/>
      <c r="H50" s="114"/>
      <c r="I50" s="114"/>
    </row>
    <row r="51" spans="1:9">
      <c r="A51" s="10" t="s">
        <v>772</v>
      </c>
      <c r="B51" s="114">
        <v>0.175116196</v>
      </c>
      <c r="C51" s="114"/>
      <c r="D51" s="114"/>
      <c r="E51" s="114"/>
      <c r="F51" s="114"/>
      <c r="G51" s="114"/>
      <c r="H51" s="114"/>
      <c r="I51" s="114"/>
    </row>
    <row r="52" spans="1:9">
      <c r="A52" s="10" t="s">
        <v>23</v>
      </c>
      <c r="B52" s="114">
        <v>2.8405613E-2</v>
      </c>
      <c r="C52" s="114"/>
      <c r="D52" s="114"/>
      <c r="E52" s="114"/>
      <c r="F52" s="114"/>
      <c r="G52" s="114"/>
      <c r="H52" s="114"/>
      <c r="I52" s="114"/>
    </row>
    <row r="53" spans="1:9">
      <c r="A53" s="10" t="s">
        <v>773</v>
      </c>
      <c r="B53" s="114">
        <v>0.95393920099999996</v>
      </c>
      <c r="C53" s="114"/>
      <c r="D53" s="114"/>
      <c r="E53" s="114"/>
      <c r="F53" s="114"/>
      <c r="G53" s="114"/>
      <c r="H53" s="114"/>
      <c r="I53" s="114"/>
    </row>
    <row r="54" spans="1:9">
      <c r="A54" s="10"/>
      <c r="B54" s="114"/>
      <c r="C54" s="114"/>
      <c r="D54" s="114"/>
      <c r="E54" s="114"/>
      <c r="F54" s="114"/>
      <c r="G54" s="114"/>
      <c r="H54" s="114"/>
      <c r="I54" s="114"/>
    </row>
    <row r="55" spans="1:9">
      <c r="A55" s="265" t="s">
        <v>774</v>
      </c>
      <c r="B55" s="266"/>
      <c r="C55" s="266"/>
      <c r="D55" s="266"/>
      <c r="E55" s="266"/>
      <c r="F55" s="266"/>
      <c r="G55" s="266"/>
      <c r="H55" s="266"/>
      <c r="I55" s="267"/>
    </row>
    <row r="56" spans="1:9">
      <c r="A56" s="226" t="s">
        <v>775</v>
      </c>
      <c r="B56" s="227">
        <v>-5.2019299999999998E-5</v>
      </c>
      <c r="C56" s="228" t="s">
        <v>776</v>
      </c>
      <c r="D56" s="114" t="s">
        <v>777</v>
      </c>
      <c r="E56" s="229">
        <v>4.3206000000000001E-2</v>
      </c>
      <c r="F56" s="228" t="s">
        <v>778</v>
      </c>
      <c r="G56" s="114" t="s">
        <v>779</v>
      </c>
      <c r="H56" s="114" t="s">
        <v>646</v>
      </c>
      <c r="I56" s="228" t="s">
        <v>646</v>
      </c>
    </row>
    <row r="57" spans="1:9">
      <c r="A57" s="226" t="s">
        <v>780</v>
      </c>
      <c r="B57" s="227">
        <v>-1.52695E-5</v>
      </c>
      <c r="C57" s="228" t="s">
        <v>781</v>
      </c>
      <c r="D57" s="114" t="s">
        <v>782</v>
      </c>
      <c r="E57" s="230">
        <v>-9.5300000000000003E-3</v>
      </c>
      <c r="F57" s="228" t="s">
        <v>783</v>
      </c>
      <c r="G57" s="114" t="s">
        <v>784</v>
      </c>
      <c r="H57" s="114"/>
      <c r="I57" s="228" t="s">
        <v>646</v>
      </c>
    </row>
    <row r="58" spans="1:9">
      <c r="A58" s="231" t="s">
        <v>785</v>
      </c>
      <c r="B58" s="233">
        <v>-2.7161000000000001E-6</v>
      </c>
      <c r="C58" s="234" t="s">
        <v>781</v>
      </c>
      <c r="D58" s="232" t="s">
        <v>786</v>
      </c>
      <c r="E58" s="235" t="s">
        <v>646</v>
      </c>
      <c r="F58" s="234" t="s">
        <v>646</v>
      </c>
      <c r="G58" s="232" t="s">
        <v>787</v>
      </c>
      <c r="H58" s="232" t="s">
        <v>646</v>
      </c>
      <c r="I58" s="234" t="s">
        <v>646</v>
      </c>
    </row>
    <row r="59" spans="1:9">
      <c r="A59" s="10"/>
      <c r="B59" s="114"/>
      <c r="C59" s="114"/>
      <c r="D59" s="114"/>
      <c r="E59" s="114"/>
      <c r="F59" s="114"/>
      <c r="G59" s="114"/>
      <c r="H59" s="114"/>
      <c r="I59" s="114"/>
    </row>
    <row r="60" spans="1:9">
      <c r="A60" s="236" t="s">
        <v>788</v>
      </c>
      <c r="B60" s="237">
        <v>-0.32</v>
      </c>
      <c r="C60" s="237" t="s">
        <v>789</v>
      </c>
      <c r="D60" s="238" t="s">
        <v>646</v>
      </c>
      <c r="E60" s="114"/>
      <c r="F60" s="114"/>
      <c r="G60" s="114"/>
      <c r="H60" s="114"/>
      <c r="I60" s="114"/>
    </row>
    <row r="61" spans="1:9">
      <c r="A61" s="239" t="s">
        <v>790</v>
      </c>
      <c r="B61" s="240">
        <v>2.9777173000000001E-2</v>
      </c>
      <c r="C61" s="241" t="s">
        <v>646</v>
      </c>
      <c r="D61" s="241" t="s">
        <v>646</v>
      </c>
      <c r="E61" s="114"/>
      <c r="F61" s="114"/>
      <c r="G61" s="114"/>
      <c r="H61" s="114"/>
      <c r="I61" s="114"/>
    </row>
    <row r="62" spans="1:9">
      <c r="A62" s="239" t="s">
        <v>791</v>
      </c>
      <c r="B62" s="240">
        <v>-9.5286950000000002E-3</v>
      </c>
      <c r="C62" s="240" t="s">
        <v>792</v>
      </c>
      <c r="D62" s="241" t="s">
        <v>646</v>
      </c>
      <c r="E62" s="114"/>
      <c r="F62" s="114"/>
      <c r="G62" s="114"/>
      <c r="H62" s="114"/>
      <c r="I62" s="114"/>
    </row>
    <row r="63" spans="1:9">
      <c r="A63" s="239" t="s">
        <v>793</v>
      </c>
      <c r="B63" s="240">
        <v>13.20906441</v>
      </c>
      <c r="C63" s="240" t="s">
        <v>794</v>
      </c>
      <c r="D63" s="241" t="s">
        <v>646</v>
      </c>
      <c r="E63" s="114"/>
      <c r="F63" s="114"/>
      <c r="G63" s="114"/>
      <c r="H63" s="114"/>
      <c r="I63" s="114"/>
    </row>
    <row r="64" spans="1:9">
      <c r="A64" s="239" t="s">
        <v>795</v>
      </c>
      <c r="B64" s="242">
        <v>-4.8923900000000001E-6</v>
      </c>
      <c r="C64" s="240" t="s">
        <v>794</v>
      </c>
      <c r="D64" s="241" t="s">
        <v>646</v>
      </c>
      <c r="E64" s="114"/>
      <c r="F64" s="114"/>
      <c r="G64" s="114"/>
      <c r="H64" s="114"/>
      <c r="I64" s="114"/>
    </row>
    <row r="65" spans="1:9">
      <c r="A65" s="239" t="s">
        <v>796</v>
      </c>
      <c r="B65" s="240">
        <v>4.3599760000000001E-2</v>
      </c>
      <c r="C65" s="241" t="s">
        <v>646</v>
      </c>
      <c r="D65" s="241" t="s">
        <v>646</v>
      </c>
      <c r="E65" s="114"/>
      <c r="F65" s="114"/>
      <c r="G65" s="114"/>
      <c r="H65" s="114"/>
      <c r="I65" s="114"/>
    </row>
    <row r="66" spans="1:9">
      <c r="A66" s="239" t="s">
        <v>797</v>
      </c>
      <c r="B66" s="240">
        <v>1.2824204000000001E-2</v>
      </c>
      <c r="C66" s="241" t="s">
        <v>646</v>
      </c>
      <c r="D66" s="241" t="s">
        <v>646</v>
      </c>
      <c r="E66" s="114"/>
      <c r="F66" s="114"/>
      <c r="G66" s="114"/>
      <c r="H66" s="114"/>
      <c r="I66" s="114"/>
    </row>
    <row r="67" spans="1:9">
      <c r="A67" s="239" t="s">
        <v>373</v>
      </c>
      <c r="B67" s="240">
        <v>0.96882464499999998</v>
      </c>
      <c r="C67" s="241" t="s">
        <v>646</v>
      </c>
      <c r="D67" s="241" t="s">
        <v>646</v>
      </c>
      <c r="E67" s="114"/>
      <c r="F67" s="114"/>
      <c r="G67" s="114"/>
      <c r="H67" s="114"/>
      <c r="I67" s="114"/>
    </row>
    <row r="68" spans="1:9">
      <c r="A68" s="239" t="s">
        <v>37</v>
      </c>
      <c r="B68" s="240">
        <v>0.29413475</v>
      </c>
      <c r="C68" s="241" t="s">
        <v>646</v>
      </c>
      <c r="D68" s="241" t="s">
        <v>646</v>
      </c>
      <c r="E68" s="114"/>
      <c r="F68" s="114"/>
      <c r="G68" s="114"/>
      <c r="H68" s="114"/>
      <c r="I68" s="114"/>
    </row>
    <row r="69" spans="1:9">
      <c r="A69" s="239" t="s">
        <v>798</v>
      </c>
      <c r="B69" s="240">
        <v>5.427829859</v>
      </c>
      <c r="C69" s="241" t="s">
        <v>646</v>
      </c>
      <c r="D69" s="241" t="s">
        <v>646</v>
      </c>
      <c r="E69" s="114"/>
      <c r="F69" s="114"/>
      <c r="G69" s="114"/>
      <c r="H69" s="114"/>
      <c r="I69" s="114"/>
    </row>
    <row r="70" spans="1:9">
      <c r="A70" s="239" t="s">
        <v>799</v>
      </c>
      <c r="B70" s="240">
        <v>4.0000000000000002E-4</v>
      </c>
      <c r="C70" s="240" t="s">
        <v>800</v>
      </c>
      <c r="D70" s="240">
        <v>5.0099999999999999E-2</v>
      </c>
      <c r="E70" s="114"/>
      <c r="F70" s="114"/>
      <c r="G70" s="114"/>
      <c r="H70" s="114"/>
      <c r="I70" s="114"/>
    </row>
    <row r="71" spans="1:9">
      <c r="A71" s="239" t="s">
        <v>801</v>
      </c>
      <c r="B71" s="240">
        <v>-8.0000000000000002E-3</v>
      </c>
      <c r="C71" s="240" t="s">
        <v>802</v>
      </c>
      <c r="D71" s="240">
        <v>0.86419999999999997</v>
      </c>
      <c r="E71" s="114"/>
      <c r="F71" s="114"/>
      <c r="G71" s="114"/>
      <c r="H71" s="114"/>
      <c r="I71" s="114"/>
    </row>
    <row r="72" spans="1:9">
      <c r="A72" s="239" t="s">
        <v>235</v>
      </c>
      <c r="B72" s="240">
        <v>0.96440802999999997</v>
      </c>
      <c r="C72" s="241" t="s">
        <v>646</v>
      </c>
      <c r="D72" s="241" t="s">
        <v>646</v>
      </c>
      <c r="E72" s="114"/>
      <c r="F72" s="114"/>
      <c r="G72" s="114"/>
      <c r="H72" s="114"/>
      <c r="I72" s="114"/>
    </row>
    <row r="73" spans="1:9">
      <c r="A73" s="243" t="s">
        <v>803</v>
      </c>
      <c r="B73" s="244">
        <v>0.2</v>
      </c>
      <c r="C73" s="244" t="s">
        <v>804</v>
      </c>
      <c r="D73" s="245" t="s">
        <v>805</v>
      </c>
      <c r="E73" s="246">
        <v>-1.4912799999999999</v>
      </c>
      <c r="F73" s="247" t="s">
        <v>806</v>
      </c>
      <c r="G73" s="114"/>
      <c r="H73" s="114"/>
      <c r="I73" s="114"/>
    </row>
    <row r="74" spans="1:9">
      <c r="A74" s="248" t="s">
        <v>807</v>
      </c>
      <c r="B74" s="244">
        <v>0.24987139999999999</v>
      </c>
      <c r="C74" s="241" t="s">
        <v>646</v>
      </c>
      <c r="D74" s="245" t="s">
        <v>646</v>
      </c>
      <c r="E74" s="249" t="s">
        <v>646</v>
      </c>
      <c r="F74" s="250" t="s">
        <v>646</v>
      </c>
      <c r="G74" s="114"/>
      <c r="H74" s="114"/>
      <c r="I74" s="114"/>
    </row>
    <row r="75" spans="1:9">
      <c r="A75" s="10" t="s">
        <v>808</v>
      </c>
      <c r="B75" s="114">
        <v>0.99658700700000002</v>
      </c>
      <c r="C75" s="114"/>
      <c r="D75" s="251" t="s">
        <v>809</v>
      </c>
      <c r="E75" s="252" t="s">
        <v>646</v>
      </c>
      <c r="F75" s="250" t="s">
        <v>810</v>
      </c>
      <c r="G75" s="114"/>
      <c r="H75" s="114"/>
      <c r="I75" s="114"/>
    </row>
    <row r="79" spans="1:9">
      <c r="A79" s="268" t="s">
        <v>811</v>
      </c>
      <c r="B79" s="269"/>
      <c r="C79" s="269"/>
      <c r="D79" s="269"/>
      <c r="E79" s="269"/>
      <c r="F79" s="269"/>
      <c r="G79" s="270"/>
    </row>
    <row r="80" spans="1:9">
      <c r="A80" s="253" t="s">
        <v>646</v>
      </c>
      <c r="B80" s="271" t="s">
        <v>154</v>
      </c>
      <c r="C80" s="271"/>
      <c r="D80" s="272" t="s">
        <v>208</v>
      </c>
      <c r="E80" s="273"/>
      <c r="F80" s="274" t="s">
        <v>812</v>
      </c>
      <c r="G80" s="275"/>
    </row>
    <row r="81" spans="1:7">
      <c r="A81" s="255" t="s">
        <v>582</v>
      </c>
      <c r="B81" s="114" t="s">
        <v>813</v>
      </c>
      <c r="C81" s="114"/>
      <c r="D81" s="256" t="s">
        <v>814</v>
      </c>
      <c r="E81" s="114"/>
      <c r="F81" s="257" t="s">
        <v>815</v>
      </c>
      <c r="G81" s="258" t="s">
        <v>646</v>
      </c>
    </row>
    <row r="82" spans="1:7">
      <c r="A82" s="255" t="s">
        <v>816</v>
      </c>
      <c r="B82" s="114" t="s">
        <v>817</v>
      </c>
      <c r="C82" s="114"/>
      <c r="D82" s="256" t="s">
        <v>818</v>
      </c>
      <c r="E82" s="114"/>
      <c r="F82" s="256" t="s">
        <v>819</v>
      </c>
      <c r="G82" s="228" t="s">
        <v>646</v>
      </c>
    </row>
    <row r="83" spans="1:7">
      <c r="A83" s="253" t="s">
        <v>236</v>
      </c>
      <c r="B83" s="232" t="s">
        <v>820</v>
      </c>
      <c r="C83" s="232" t="s">
        <v>646</v>
      </c>
      <c r="D83" s="254" t="s">
        <v>821</v>
      </c>
      <c r="E83" s="232" t="s">
        <v>646</v>
      </c>
      <c r="F83" s="254" t="s">
        <v>822</v>
      </c>
      <c r="G83" s="234" t="s">
        <v>646</v>
      </c>
    </row>
  </sheetData>
  <mergeCells count="5">
    <mergeCell ref="A55:I55"/>
    <mergeCell ref="A79:G79"/>
    <mergeCell ref="B80:C80"/>
    <mergeCell ref="D80:E80"/>
    <mergeCell ref="F80:G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Wing_Area_Sizing_(BEN)</vt:lpstr>
      <vt:lpstr>Structural Weight-MatProperties</vt:lpstr>
      <vt:lpstr>IGNORE THIS PAGE</vt:lpstr>
      <vt:lpstr>Mission Weight</vt:lpstr>
      <vt:lpstr>3.1.2</vt:lpstr>
      <vt:lpstr>WingLayout</vt:lpstr>
      <vt:lpstr>Maneuver</vt:lpstr>
      <vt:lpstr>Takeoff Calculator</vt:lpstr>
      <vt:lpstr>LandingCalculator</vt:lpstr>
      <vt:lpstr>Life Cycle Cost </vt:lpstr>
      <vt:lpstr>Lat.-Dir. Stability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Ethan Barichievich</cp:lastModifiedBy>
  <cp:revision/>
  <dcterms:created xsi:type="dcterms:W3CDTF">2025-11-03T20:09:44Z</dcterms:created>
  <dcterms:modified xsi:type="dcterms:W3CDTF">2026-02-20T23:14:03Z</dcterms:modified>
  <cp:category/>
  <cp:contentStatus/>
</cp:coreProperties>
</file>