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75" windowWidth="15210" windowHeight="100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T21" i="1" l="1"/>
  <c r="H7" i="1"/>
  <c r="H12" i="1"/>
  <c r="J18" i="1" l="1"/>
  <c r="K18" i="1" s="1"/>
  <c r="J23" i="1"/>
  <c r="K23" i="1" s="1"/>
  <c r="H23" i="1"/>
  <c r="H18" i="1"/>
  <c r="H8" i="1"/>
  <c r="J8" i="1" s="1"/>
  <c r="K8" i="1" l="1"/>
  <c r="AH7" i="1"/>
  <c r="P21" i="1" l="1"/>
  <c r="P22" i="1" s="1"/>
  <c r="T15" i="1" l="1"/>
  <c r="T6" i="1"/>
  <c r="T7" i="1" s="1"/>
  <c r="T9" i="1" s="1"/>
  <c r="T22" i="1"/>
  <c r="T23" i="1" s="1"/>
  <c r="T24" i="1" s="1"/>
  <c r="T25" i="1" s="1"/>
  <c r="T27" i="1" s="1"/>
  <c r="J7" i="1"/>
  <c r="H13" i="1"/>
  <c r="J13" i="1" s="1"/>
  <c r="K13" i="1" s="1"/>
  <c r="J12" i="1"/>
  <c r="K12" i="1" s="1"/>
  <c r="T16" i="1" l="1"/>
  <c r="K7" i="1"/>
  <c r="H17" i="1"/>
  <c r="H22" i="1"/>
  <c r="J22" i="1"/>
  <c r="K22" i="1" s="1"/>
  <c r="T17" i="1" l="1"/>
  <c r="T18" i="1" s="1"/>
  <c r="T10" i="1"/>
  <c r="Q32" i="1"/>
  <c r="Q31" i="1"/>
  <c r="Q30" i="1"/>
  <c r="Q27" i="1"/>
  <c r="Q28" i="1"/>
  <c r="Q29" i="1"/>
  <c r="J17" i="1"/>
  <c r="T19" i="1" l="1"/>
  <c r="P14" i="1" s="1"/>
  <c r="T11" i="1"/>
  <c r="AE21" i="1"/>
  <c r="AE30" i="1"/>
  <c r="AE31" i="1"/>
  <c r="AE32" i="1"/>
  <c r="AE33" i="1"/>
  <c r="AH21" i="1"/>
  <c r="AH30" i="1"/>
  <c r="AH31" i="1"/>
  <c r="AH32" i="1"/>
  <c r="AH33" i="1"/>
  <c r="K17" i="1"/>
  <c r="AJ18" i="1"/>
  <c r="AJ19" i="1"/>
  <c r="AJ20" i="1"/>
  <c r="AJ21" i="1"/>
  <c r="AJ30" i="1"/>
  <c r="AJ31" i="1"/>
  <c r="AJ32" i="1"/>
  <c r="AJ33" i="1"/>
  <c r="AJ17" i="1"/>
  <c r="T29" i="1" l="1"/>
  <c r="T28" i="1" s="1"/>
  <c r="AH10" i="1"/>
  <c r="AH11" i="1"/>
  <c r="AH12" i="1"/>
  <c r="AH13" i="1"/>
  <c r="AH14" i="1"/>
  <c r="AH15" i="1"/>
  <c r="AH16" i="1"/>
  <c r="AH17" i="1"/>
  <c r="AH18" i="1"/>
  <c r="AH19" i="1"/>
  <c r="AH20" i="1"/>
  <c r="AH9" i="1"/>
  <c r="AE17" i="1"/>
  <c r="AE18" i="1"/>
  <c r="AE19" i="1"/>
  <c r="AE20" i="1"/>
  <c r="AE14" i="1"/>
  <c r="AE15" i="1"/>
  <c r="AE16" i="1"/>
  <c r="AE13" i="1" l="1"/>
  <c r="AK14" i="1"/>
  <c r="AK13" i="1"/>
  <c r="AE12" i="1"/>
  <c r="AE11" i="1"/>
  <c r="AH8" i="1"/>
  <c r="AE7" i="1"/>
  <c r="AE8" i="1"/>
  <c r="AE9" i="1"/>
  <c r="AE10" i="1"/>
  <c r="AE6" i="1"/>
  <c r="AH6" i="1"/>
  <c r="AK7" i="1"/>
  <c r="AK8" i="1"/>
  <c r="AK9" i="1"/>
  <c r="AK10" i="1"/>
  <c r="AK11" i="1"/>
  <c r="AK12" i="1"/>
  <c r="AK6" i="1"/>
</calcChain>
</file>

<file path=xl/sharedStrings.xml><?xml version="1.0" encoding="utf-8"?>
<sst xmlns="http://schemas.openxmlformats.org/spreadsheetml/2006/main" count="221" uniqueCount="129">
  <si>
    <t>kg</t>
  </si>
  <si>
    <t>Mass</t>
  </si>
  <si>
    <t># rotor</t>
  </si>
  <si>
    <t>g</t>
  </si>
  <si>
    <t>α</t>
  </si>
  <si>
    <t>V</t>
  </si>
  <si>
    <t>Prop D</t>
  </si>
  <si>
    <t>m</t>
  </si>
  <si>
    <t>oz</t>
  </si>
  <si>
    <t>in</t>
  </si>
  <si>
    <t>=</t>
  </si>
  <si>
    <t>HP</t>
  </si>
  <si>
    <t>W</t>
  </si>
  <si>
    <t>motor (1)</t>
  </si>
  <si>
    <t>ESC(1)</t>
  </si>
  <si>
    <t>Conversions</t>
  </si>
  <si>
    <t>Frame</t>
  </si>
  <si>
    <t>Battery (1)</t>
  </si>
  <si>
    <t>Prop Pitch</t>
  </si>
  <si>
    <t>Kg</t>
  </si>
  <si>
    <t>Lbs</t>
  </si>
  <si>
    <t>Talon</t>
  </si>
  <si>
    <t>2200mAh3S</t>
  </si>
  <si>
    <t>Trngy 640</t>
  </si>
  <si>
    <t>Afro 30A</t>
  </si>
  <si>
    <t>QUAD</t>
  </si>
  <si>
    <t>HEXA</t>
  </si>
  <si>
    <t>Total</t>
  </si>
  <si>
    <t>lbs</t>
  </si>
  <si>
    <t>battery (1)</t>
  </si>
  <si>
    <t>Prop</t>
  </si>
  <si>
    <t>APC E</t>
  </si>
  <si>
    <t>APC SF</t>
  </si>
  <si>
    <t>MA-K</t>
  </si>
  <si>
    <t>MA Scim</t>
  </si>
  <si>
    <t>Zinger</t>
  </si>
  <si>
    <t>Aeront E</t>
  </si>
  <si>
    <t>TBS Disco</t>
  </si>
  <si>
    <t>Efficiency</t>
  </si>
  <si>
    <t>%</t>
  </si>
  <si>
    <t>F450</t>
  </si>
  <si>
    <t>Req Nom KV</t>
  </si>
  <si>
    <t>RPM</t>
  </si>
  <si>
    <t>TBS 900</t>
  </si>
  <si>
    <t>TBS 30</t>
  </si>
  <si>
    <t>Legend</t>
  </si>
  <si>
    <t xml:space="preserve">Calculated mass </t>
  </si>
  <si>
    <t>AUW calculator</t>
  </si>
  <si>
    <t>APC MR</t>
  </si>
  <si>
    <t>Max RPM</t>
  </si>
  <si>
    <t>Propeller diameter</t>
  </si>
  <si>
    <t>Propeller Pitch</t>
  </si>
  <si>
    <t>Estimated RPM of propeller based on desired kv and prop specs</t>
  </si>
  <si>
    <t>TBC</t>
  </si>
  <si>
    <t>Propeller Correction Factors</t>
  </si>
  <si>
    <t>Misc</t>
  </si>
  <si>
    <t>FC/HW/VTX…</t>
  </si>
  <si>
    <t>Input</t>
  </si>
  <si>
    <t>Output</t>
  </si>
  <si>
    <t>Titles</t>
  </si>
  <si>
    <t>Fixed values</t>
  </si>
  <si>
    <t>Italic</t>
  </si>
  <si>
    <t>Unverified Information or Estimate</t>
  </si>
  <si>
    <t>Formula based. Change Left column value for conversion.</t>
  </si>
  <si>
    <t>Max RPM calculated using Prop D</t>
  </si>
  <si>
    <t>Graupner E</t>
  </si>
  <si>
    <t>Fill in your copter components weight</t>
  </si>
  <si>
    <t>The Answer!</t>
  </si>
  <si>
    <t>Fill in 'Inputs' below</t>
  </si>
  <si>
    <t>Use calculated AUW</t>
  </si>
  <si>
    <t>OCTO</t>
  </si>
  <si>
    <t>HK X930</t>
  </si>
  <si>
    <t>Motor calculator</t>
  </si>
  <si>
    <t>KV</t>
  </si>
  <si>
    <t>TRI</t>
  </si>
  <si>
    <t>Anycopter</t>
  </si>
  <si>
    <t>mAh</t>
  </si>
  <si>
    <t>Setup</t>
  </si>
  <si>
    <t>Desired Thrust-to-Weight (usually 3)</t>
  </si>
  <si>
    <t>Req Tot T</t>
  </si>
  <si>
    <t>Req T Per</t>
  </si>
  <si>
    <t>Required Motor</t>
  </si>
  <si>
    <t>Required</t>
  </si>
  <si>
    <t>Required KV</t>
  </si>
  <si>
    <t>A</t>
  </si>
  <si>
    <t>Min</t>
  </si>
  <si>
    <t>Capacity</t>
  </si>
  <si>
    <t>Battery</t>
  </si>
  <si>
    <t>Voltage</t>
  </si>
  <si>
    <t>#</t>
  </si>
  <si>
    <t>Propeller</t>
  </si>
  <si>
    <t>Diameter</t>
  </si>
  <si>
    <t>Pitch</t>
  </si>
  <si>
    <t>Rating</t>
  </si>
  <si>
    <t>C</t>
  </si>
  <si>
    <t>Thrust-to-Weight</t>
  </si>
  <si>
    <t>Desired</t>
  </si>
  <si>
    <t>Req Power</t>
  </si>
  <si>
    <t>Estimator</t>
  </si>
  <si>
    <t>100% Throttle</t>
  </si>
  <si>
    <t>Hover</t>
  </si>
  <si>
    <t>P-in</t>
  </si>
  <si>
    <t>P-out</t>
  </si>
  <si>
    <t>A-motor</t>
  </si>
  <si>
    <t>A-tot</t>
  </si>
  <si>
    <t xml:space="preserve">RPM </t>
  </si>
  <si>
    <t xml:space="preserve">P-out </t>
  </si>
  <si>
    <t xml:space="preserve">A-motor </t>
  </si>
  <si>
    <t xml:space="preserve">A-tot </t>
  </si>
  <si>
    <t>Endurance</t>
  </si>
  <si>
    <t>Average</t>
  </si>
  <si>
    <t>100% Throt</t>
  </si>
  <si>
    <t>Number of rotors on the copter (ie: quad = 4)</t>
  </si>
  <si>
    <t>Prop correction factor (use the table)</t>
  </si>
  <si>
    <t>How many batteries on the copter</t>
  </si>
  <si>
    <t>Input mAh capacity</t>
  </si>
  <si>
    <t>Input nominal voltage (ie: 3S = 11.1)</t>
  </si>
  <si>
    <t>Input desired Thrust to Weight ratio (usually 3 and above)</t>
  </si>
  <si>
    <t>Single motor thrust based on total thrust and number of motors</t>
  </si>
  <si>
    <t>Required KV to achieve RPM with input voltage</t>
  </si>
  <si>
    <t>Input estimated motor efficiency</t>
  </si>
  <si>
    <t>Required nominal KV of motor (the KV number written on the motor</t>
  </si>
  <si>
    <t>Required motor power in Watt</t>
  </si>
  <si>
    <t>Req ESC</t>
  </si>
  <si>
    <t>Required ESC continuous limit (accounts for 20% margin)</t>
  </si>
  <si>
    <t>Required calculated battery rating (accounts for 20% margin)</t>
  </si>
  <si>
    <t>Results may vary. Estimates based on 80% battery consumption.</t>
  </si>
  <si>
    <t>Calculated limit RPM based on manufacturer`s guidelines.</t>
  </si>
  <si>
    <t>Total thrust required based on weight and T:W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</si>
</sst>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EE7F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Border="1"/>
    <xf numFmtId="0" fontId="0" fillId="4" borderId="17" xfId="0" applyFill="1" applyBorder="1"/>
    <xf numFmtId="0" fontId="0" fillId="4" borderId="7" xfId="0" applyFill="1" applyBorder="1"/>
    <xf numFmtId="0" fontId="0" fillId="4" borderId="18" xfId="0" applyFill="1" applyBorder="1"/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23" xfId="0" applyFill="1" applyBorder="1"/>
    <xf numFmtId="0" fontId="0" fillId="4" borderId="16" xfId="0" applyFill="1" applyBorder="1"/>
    <xf numFmtId="164" fontId="0" fillId="4" borderId="0" xfId="0" applyNumberFormat="1" applyFill="1" applyBorder="1"/>
    <xf numFmtId="0" fontId="0" fillId="4" borderId="14" xfId="0" applyFill="1" applyBorder="1"/>
    <xf numFmtId="0" fontId="0" fillId="4" borderId="24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29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0" xfId="0" applyFill="1"/>
    <xf numFmtId="0" fontId="2" fillId="3" borderId="31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8" fillId="3" borderId="15" xfId="0" applyFont="1" applyFill="1" applyBorder="1"/>
    <xf numFmtId="0" fontId="0" fillId="4" borderId="40" xfId="0" applyFill="1" applyBorder="1"/>
    <xf numFmtId="0" fontId="8" fillId="4" borderId="0" xfId="0" applyFont="1" applyFill="1" applyBorder="1"/>
    <xf numFmtId="0" fontId="0" fillId="5" borderId="1" xfId="0" applyFill="1" applyBorder="1"/>
    <xf numFmtId="0" fontId="8" fillId="5" borderId="1" xfId="0" applyFont="1" applyFill="1" applyBorder="1"/>
    <xf numFmtId="0" fontId="0" fillId="5" borderId="13" xfId="0" applyFill="1" applyBorder="1"/>
    <xf numFmtId="0" fontId="0" fillId="5" borderId="10" xfId="0" applyFill="1" applyBorder="1"/>
    <xf numFmtId="0" fontId="7" fillId="4" borderId="0" xfId="1" applyFill="1" applyBorder="1"/>
    <xf numFmtId="0" fontId="6" fillId="3" borderId="10" xfId="0" applyFont="1" applyFill="1" applyBorder="1"/>
    <xf numFmtId="0" fontId="0" fillId="3" borderId="13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1" xfId="0" applyFill="1" applyBorder="1"/>
    <xf numFmtId="0" fontId="0" fillId="3" borderId="33" xfId="0" applyFill="1" applyBorder="1"/>
    <xf numFmtId="0" fontId="0" fillId="3" borderId="3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5" borderId="36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36" xfId="0" applyFill="1" applyBorder="1"/>
    <xf numFmtId="0" fontId="0" fillId="6" borderId="36" xfId="0" applyFill="1" applyBorder="1" applyAlignment="1">
      <alignment horizontal="center"/>
    </xf>
    <xf numFmtId="0" fontId="0" fillId="6" borderId="1" xfId="0" applyFill="1" applyBorder="1"/>
    <xf numFmtId="164" fontId="0" fillId="6" borderId="9" xfId="0" applyNumberFormat="1" applyFill="1" applyBorder="1"/>
    <xf numFmtId="164" fontId="0" fillId="6" borderId="15" xfId="0" applyNumberFormat="1" applyFill="1" applyBorder="1"/>
    <xf numFmtId="164" fontId="0" fillId="6" borderId="12" xfId="0" applyNumberFormat="1" applyFill="1" applyBorder="1"/>
    <xf numFmtId="2" fontId="0" fillId="6" borderId="31" xfId="0" applyNumberFormat="1" applyFill="1" applyBorder="1"/>
    <xf numFmtId="2" fontId="0" fillId="6" borderId="15" xfId="0" applyNumberFormat="1" applyFill="1" applyBorder="1"/>
    <xf numFmtId="2" fontId="0" fillId="6" borderId="12" xfId="0" applyNumberFormat="1" applyFill="1" applyBorder="1"/>
    <xf numFmtId="0" fontId="9" fillId="4" borderId="10" xfId="0" applyFont="1" applyFill="1" applyBorder="1"/>
    <xf numFmtId="2" fontId="9" fillId="4" borderId="11" xfId="0" applyNumberFormat="1" applyFont="1" applyFill="1" applyBorder="1"/>
    <xf numFmtId="0" fontId="9" fillId="4" borderId="13" xfId="0" applyFont="1" applyFill="1" applyBorder="1"/>
    <xf numFmtId="2" fontId="9" fillId="4" borderId="14" xfId="0" applyNumberFormat="1" applyFont="1" applyFill="1" applyBorder="1"/>
    <xf numFmtId="0" fontId="9" fillId="4" borderId="36" xfId="0" applyFont="1" applyFill="1" applyBorder="1"/>
    <xf numFmtId="2" fontId="9" fillId="4" borderId="32" xfId="0" applyNumberFormat="1" applyFont="1" applyFill="1" applyBorder="1"/>
    <xf numFmtId="2" fontId="9" fillId="4" borderId="1" xfId="0" applyNumberFormat="1" applyFont="1" applyFill="1" applyBorder="1"/>
    <xf numFmtId="0" fontId="9" fillId="4" borderId="36" xfId="0" applyFont="1" applyFill="1" applyBorder="1" applyAlignment="1">
      <alignment horizontal="center"/>
    </xf>
    <xf numFmtId="0" fontId="7" fillId="4" borderId="0" xfId="1" applyFont="1" applyFill="1" applyBorder="1"/>
    <xf numFmtId="1" fontId="9" fillId="4" borderId="1" xfId="0" applyNumberFormat="1" applyFont="1" applyFill="1" applyBorder="1"/>
    <xf numFmtId="165" fontId="9" fillId="4" borderId="1" xfId="0" applyNumberFormat="1" applyFont="1" applyFill="1" applyBorder="1"/>
    <xf numFmtId="0" fontId="0" fillId="4" borderId="43" xfId="0" applyFill="1" applyBorder="1"/>
    <xf numFmtId="0" fontId="0" fillId="4" borderId="44" xfId="0" applyFill="1" applyBorder="1"/>
    <xf numFmtId="0" fontId="8" fillId="4" borderId="49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2" fontId="0" fillId="4" borderId="0" xfId="0" applyNumberFormat="1" applyFill="1"/>
    <xf numFmtId="0" fontId="0" fillId="3" borderId="2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0" fillId="3" borderId="16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9" fillId="4" borderId="13" xfId="0" applyFont="1" applyFill="1" applyBorder="1" applyAlignment="1">
      <alignment horizontal="right"/>
    </xf>
    <xf numFmtId="0" fontId="0" fillId="3" borderId="14" xfId="0" applyFont="1" applyFill="1" applyBorder="1" applyAlignment="1">
      <alignment horizontal="left"/>
    </xf>
    <xf numFmtId="1" fontId="10" fillId="4" borderId="1" xfId="2" applyNumberFormat="1" applyFont="1" applyFill="1" applyBorder="1"/>
    <xf numFmtId="1" fontId="9" fillId="4" borderId="1" xfId="0" applyNumberFormat="1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1" fontId="9" fillId="4" borderId="10" xfId="0" applyNumberFormat="1" applyFont="1" applyFill="1" applyBorder="1" applyAlignment="1">
      <alignment horizontal="right"/>
    </xf>
    <xf numFmtId="0" fontId="5" fillId="6" borderId="1" xfId="0" applyFont="1" applyFill="1" applyBorder="1"/>
    <xf numFmtId="1" fontId="2" fillId="4" borderId="1" xfId="0" applyNumberFormat="1" applyFont="1" applyFill="1" applyBorder="1"/>
    <xf numFmtId="2" fontId="9" fillId="4" borderId="0" xfId="0" applyNumberFormat="1" applyFont="1" applyFill="1" applyBorder="1"/>
    <xf numFmtId="0" fontId="3" fillId="4" borderId="0" xfId="0" applyFont="1" applyFill="1" applyBorder="1" applyAlignment="1"/>
    <xf numFmtId="1" fontId="2" fillId="0" borderId="1" xfId="0" applyNumberFormat="1" applyFont="1" applyBorder="1"/>
    <xf numFmtId="164" fontId="2" fillId="0" borderId="1" xfId="0" applyNumberFormat="1" applyFont="1" applyBorder="1"/>
    <xf numFmtId="164" fontId="2" fillId="0" borderId="13" xfId="0" applyNumberFormat="1" applyFont="1" applyBorder="1"/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4" borderId="15" xfId="1" applyFill="1" applyBorder="1" applyAlignment="1">
      <alignment horizontal="left"/>
    </xf>
    <xf numFmtId="0" fontId="7" fillId="4" borderId="1" xfId="1" applyFill="1" applyBorder="1" applyAlignment="1">
      <alignment horizontal="left"/>
    </xf>
    <xf numFmtId="0" fontId="7" fillId="4" borderId="16" xfId="1" applyFill="1" applyBorder="1" applyAlignment="1">
      <alignment horizontal="left"/>
    </xf>
    <xf numFmtId="0" fontId="0" fillId="5" borderId="41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0" fillId="4" borderId="45" xfId="0" applyFont="1" applyFill="1" applyBorder="1" applyAlignment="1">
      <alignment horizontal="center"/>
    </xf>
    <xf numFmtId="0" fontId="0" fillId="4" borderId="46" xfId="0" applyFill="1" applyBorder="1" applyAlignment="1">
      <alignment horizontal="left"/>
    </xf>
    <xf numFmtId="0" fontId="0" fillId="4" borderId="47" xfId="0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1" fontId="10" fillId="0" borderId="1" xfId="2" applyNumberFormat="1" applyFont="1" applyBorder="1"/>
    <xf numFmtId="0" fontId="0" fillId="4" borderId="1" xfId="0" applyFill="1" applyBorder="1"/>
    <xf numFmtId="1" fontId="10" fillId="4" borderId="13" xfId="0" applyNumberFormat="1" applyFont="1" applyFill="1" applyBorder="1"/>
    <xf numFmtId="0" fontId="1" fillId="3" borderId="12" xfId="0" applyFont="1" applyFill="1" applyBorder="1"/>
    <xf numFmtId="0" fontId="4" fillId="4" borderId="12" xfId="0" applyFont="1" applyFill="1" applyBorder="1"/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4" borderId="16" xfId="0" applyFill="1" applyBorder="1" applyAlignment="1">
      <alignment horizontal="right"/>
    </xf>
    <xf numFmtId="1" fontId="0" fillId="4" borderId="16" xfId="0" applyNumberFormat="1" applyFill="1" applyBorder="1"/>
    <xf numFmtId="0" fontId="0" fillId="4" borderId="14" xfId="0" applyFill="1" applyBorder="1" applyAlignment="1">
      <alignment horizontal="right"/>
    </xf>
    <xf numFmtId="0" fontId="0" fillId="3" borderId="52" xfId="0" applyFill="1" applyBorder="1"/>
    <xf numFmtId="0" fontId="0" fillId="6" borderId="26" xfId="0" applyFill="1" applyBorder="1"/>
    <xf numFmtId="0" fontId="0" fillId="5" borderId="26" xfId="0" applyFill="1" applyBorder="1"/>
    <xf numFmtId="0" fontId="9" fillId="4" borderId="26" xfId="0" applyFont="1" applyFill="1" applyBorder="1"/>
    <xf numFmtId="2" fontId="9" fillId="4" borderId="53" xfId="0" applyNumberFormat="1" applyFont="1" applyFill="1" applyBorder="1"/>
    <xf numFmtId="0" fontId="7" fillId="4" borderId="15" xfId="1" applyFill="1" applyBorder="1"/>
  </cellXfs>
  <cellStyles count="3">
    <cellStyle name="Explanatory Text" xfId="1" builtinId="53"/>
    <cellStyle name="Normal" xfId="0" builtinId="0"/>
    <cellStyle name="Warning Text" xfId="2" builtinId="11"/>
  </cellStyles>
  <dxfs count="0"/>
  <tableStyles count="0" defaultTableStyle="TableStyleMedium9" defaultPivotStyle="PivotStyleLight16"/>
  <colors>
    <mruColors>
      <color rgb="FFCEE7F2"/>
      <color rgb="FFADD6E9"/>
      <color rgb="FFFFFF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4"/>
  <sheetViews>
    <sheetView tabSelected="1" zoomScale="85" zoomScaleNormal="85" workbookViewId="0"/>
  </sheetViews>
  <sheetFormatPr defaultRowHeight="15" x14ac:dyDescent="0.25"/>
  <cols>
    <col min="1" max="1" width="2.5703125" customWidth="1"/>
    <col min="2" max="2" width="2.42578125" customWidth="1"/>
    <col min="5" max="5" width="10.5703125" customWidth="1"/>
    <col min="6" max="7" width="9.42578125" customWidth="1"/>
    <col min="8" max="8" width="10.28515625" bestFit="1" customWidth="1"/>
    <col min="9" max="9" width="2.140625" customWidth="1"/>
    <col min="12" max="12" width="2.42578125" customWidth="1"/>
    <col min="13" max="13" width="1.85546875" customWidth="1"/>
    <col min="14" max="14" width="2.42578125" style="1" customWidth="1"/>
    <col min="15" max="16" width="10.28515625" customWidth="1"/>
    <col min="17" max="17" width="10.42578125" customWidth="1"/>
    <col min="18" max="18" width="3" customWidth="1"/>
    <col min="19" max="19" width="11.85546875" customWidth="1"/>
    <col min="20" max="20" width="10.140625" customWidth="1"/>
    <col min="21" max="21" width="6.42578125" customWidth="1"/>
    <col min="22" max="22" width="2.42578125" customWidth="1"/>
    <col min="23" max="23" width="1.85546875" customWidth="1"/>
    <col min="24" max="24" width="2.42578125" style="31" customWidth="1"/>
    <col min="25" max="25" width="12.28515625" style="31" bestFit="1" customWidth="1"/>
    <col min="26" max="26" width="62" style="31" customWidth="1"/>
    <col min="27" max="27" width="2.42578125" style="31" customWidth="1"/>
    <col min="28" max="28" width="1.85546875" customWidth="1"/>
    <col min="29" max="29" width="2.42578125" customWidth="1"/>
    <col min="32" max="32" width="2.42578125" customWidth="1"/>
    <col min="33" max="33" width="10" bestFit="1" customWidth="1"/>
    <col min="35" max="35" width="2.42578125" customWidth="1"/>
    <col min="38" max="38" width="2.42578125" customWidth="1"/>
  </cols>
  <sheetData>
    <row r="1" spans="2:38" ht="15.75" thickBot="1" x14ac:dyDescent="0.3"/>
    <row r="2" spans="2:38" ht="7.5" customHeight="1" thickBot="1" x14ac:dyDescent="0.3">
      <c r="B2" s="35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3"/>
      <c r="X2" s="2"/>
      <c r="Y2" s="2"/>
      <c r="Z2" s="2"/>
      <c r="AA2" s="78"/>
      <c r="AB2" s="78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2:38" ht="15.75" thickBot="1" x14ac:dyDescent="0.3">
      <c r="B3" s="36"/>
      <c r="C3" s="102" t="s">
        <v>47</v>
      </c>
      <c r="D3" s="103"/>
      <c r="E3" s="103"/>
      <c r="F3" s="103"/>
      <c r="G3" s="103"/>
      <c r="H3" s="103"/>
      <c r="I3" s="103"/>
      <c r="J3" s="103"/>
      <c r="K3" s="104"/>
      <c r="L3" s="5"/>
      <c r="M3" s="6"/>
      <c r="N3" s="7"/>
      <c r="O3" s="102" t="s">
        <v>72</v>
      </c>
      <c r="P3" s="103"/>
      <c r="Q3" s="103"/>
      <c r="R3" s="103"/>
      <c r="S3" s="103"/>
      <c r="T3" s="103"/>
      <c r="U3" s="104"/>
      <c r="V3" s="7"/>
      <c r="W3" s="8"/>
      <c r="X3" s="7"/>
      <c r="Y3" s="102" t="s">
        <v>45</v>
      </c>
      <c r="Z3" s="104"/>
      <c r="AA3" s="39"/>
      <c r="AB3" s="39"/>
      <c r="AC3" s="9"/>
      <c r="AD3" s="102" t="s">
        <v>15</v>
      </c>
      <c r="AE3" s="103"/>
      <c r="AF3" s="103"/>
      <c r="AG3" s="103"/>
      <c r="AH3" s="103"/>
      <c r="AI3" s="103"/>
      <c r="AJ3" s="103"/>
      <c r="AK3" s="104"/>
      <c r="AL3" s="10"/>
    </row>
    <row r="4" spans="2:38" ht="15.75" thickBot="1" x14ac:dyDescent="0.3">
      <c r="B4" s="36"/>
      <c r="C4" s="45" t="s">
        <v>66</v>
      </c>
      <c r="D4" s="7"/>
      <c r="E4" s="7"/>
      <c r="F4" s="7"/>
      <c r="G4" s="7"/>
      <c r="H4" s="7"/>
      <c r="I4" s="7"/>
      <c r="J4" s="7"/>
      <c r="K4" s="7"/>
      <c r="L4" s="7"/>
      <c r="M4" s="8"/>
      <c r="N4" s="7"/>
      <c r="O4" s="45" t="s">
        <v>68</v>
      </c>
      <c r="P4" s="7"/>
      <c r="Q4" s="7"/>
      <c r="R4" s="7"/>
      <c r="S4" s="31"/>
      <c r="T4" s="31"/>
      <c r="U4" s="31"/>
      <c r="V4" s="7"/>
      <c r="W4" s="8"/>
      <c r="X4" s="7"/>
      <c r="Y4" s="7"/>
      <c r="Z4" s="7"/>
      <c r="AA4" s="39"/>
      <c r="AB4" s="39"/>
      <c r="AC4" s="9"/>
      <c r="AD4" s="45" t="s">
        <v>63</v>
      </c>
      <c r="AE4" s="7"/>
      <c r="AF4" s="7"/>
      <c r="AG4" s="7"/>
      <c r="AH4" s="7"/>
      <c r="AI4" s="7"/>
      <c r="AJ4" s="14"/>
      <c r="AK4" s="7"/>
      <c r="AL4" s="10"/>
    </row>
    <row r="5" spans="2:38" ht="15.75" thickBot="1" x14ac:dyDescent="0.3">
      <c r="B5" s="36"/>
      <c r="C5" s="18" t="s">
        <v>74</v>
      </c>
      <c r="D5" s="19"/>
      <c r="E5" s="19" t="s">
        <v>22</v>
      </c>
      <c r="F5" s="19" t="s">
        <v>43</v>
      </c>
      <c r="G5" s="19" t="s">
        <v>44</v>
      </c>
      <c r="H5" s="46" t="s">
        <v>56</v>
      </c>
      <c r="I5" s="19"/>
      <c r="J5" s="105" t="s">
        <v>27</v>
      </c>
      <c r="K5" s="106"/>
      <c r="L5" s="7"/>
      <c r="M5" s="8"/>
      <c r="N5" s="7"/>
      <c r="O5" s="110" t="s">
        <v>77</v>
      </c>
      <c r="P5" s="111"/>
      <c r="Q5" s="112"/>
      <c r="R5" s="7"/>
      <c r="S5" s="113" t="s">
        <v>81</v>
      </c>
      <c r="T5" s="114"/>
      <c r="U5" s="115"/>
      <c r="V5" s="7"/>
      <c r="W5" s="8"/>
      <c r="X5" s="7"/>
      <c r="Y5" s="110" t="s">
        <v>77</v>
      </c>
      <c r="Z5" s="112"/>
      <c r="AA5" s="39"/>
      <c r="AB5" s="39"/>
      <c r="AC5" s="9"/>
      <c r="AD5" s="29" t="s">
        <v>9</v>
      </c>
      <c r="AE5" s="30" t="s">
        <v>7</v>
      </c>
      <c r="AF5" s="7"/>
      <c r="AG5" s="29" t="s">
        <v>11</v>
      </c>
      <c r="AH5" s="30" t="s">
        <v>12</v>
      </c>
      <c r="AI5" s="10"/>
      <c r="AJ5" s="27" t="s">
        <v>8</v>
      </c>
      <c r="AK5" s="28" t="s">
        <v>3</v>
      </c>
      <c r="AL5" s="10"/>
    </row>
    <row r="6" spans="2:38" ht="15.75" thickBot="1" x14ac:dyDescent="0.3">
      <c r="B6" s="36"/>
      <c r="C6" s="51"/>
      <c r="D6" s="52" t="s">
        <v>16</v>
      </c>
      <c r="E6" s="52" t="s">
        <v>17</v>
      </c>
      <c r="F6" s="52" t="s">
        <v>13</v>
      </c>
      <c r="G6" s="52" t="s">
        <v>14</v>
      </c>
      <c r="H6" s="52" t="s">
        <v>55</v>
      </c>
      <c r="I6" s="52"/>
      <c r="J6" s="53" t="s">
        <v>0</v>
      </c>
      <c r="K6" s="54" t="s">
        <v>28</v>
      </c>
      <c r="L6" s="7"/>
      <c r="M6" s="8"/>
      <c r="N6" s="7"/>
      <c r="O6" s="23" t="s">
        <v>2</v>
      </c>
      <c r="P6" s="60">
        <v>4</v>
      </c>
      <c r="Q6" s="22"/>
      <c r="R6" s="5"/>
      <c r="S6" s="18" t="s">
        <v>82</v>
      </c>
      <c r="T6" s="94">
        <f>((1/(0.0004233*P17))*(P22/(0.098102*(P7^(1/3))*((0.0254*P16)^2)*((P16/(P17*3.29546))^1.5)))^0.5)</f>
        <v>7747.7427693100817</v>
      </c>
      <c r="U6" s="20" t="s">
        <v>42</v>
      </c>
      <c r="V6" s="7"/>
      <c r="W6" s="8"/>
      <c r="X6" s="7"/>
      <c r="Y6" s="23" t="s">
        <v>2</v>
      </c>
      <c r="Z6" s="11" t="s">
        <v>112</v>
      </c>
      <c r="AA6" s="39"/>
      <c r="AB6" s="39"/>
      <c r="AC6" s="9"/>
      <c r="AD6" s="61">
        <v>6</v>
      </c>
      <c r="AE6" s="77">
        <f t="shared" ref="AE6:AE16" si="0">AD6*0.0254</f>
        <v>0.15239999999999998</v>
      </c>
      <c r="AF6" s="12"/>
      <c r="AG6" s="61">
        <v>0.1</v>
      </c>
      <c r="AH6" s="76">
        <f>AG6*745.699872</f>
        <v>74.5699872</v>
      </c>
      <c r="AI6" s="10"/>
      <c r="AJ6" s="64">
        <v>0.5</v>
      </c>
      <c r="AK6" s="76">
        <f>AJ6*28.3495231</f>
        <v>14.174761549999999</v>
      </c>
      <c r="AL6" s="10"/>
    </row>
    <row r="7" spans="2:38" x14ac:dyDescent="0.25">
      <c r="B7" s="36"/>
      <c r="C7" s="18" t="s">
        <v>75</v>
      </c>
      <c r="D7" s="56">
        <v>282</v>
      </c>
      <c r="E7" s="56">
        <v>320</v>
      </c>
      <c r="F7" s="56">
        <v>75</v>
      </c>
      <c r="G7" s="56">
        <v>25</v>
      </c>
      <c r="H7" s="56">
        <f>21+125+28+31+80+75</f>
        <v>360</v>
      </c>
      <c r="I7" s="44" t="s">
        <v>10</v>
      </c>
      <c r="J7" s="67">
        <f>(D7+(E7*P12)+(F7*3)+(G7*3)+H7)/1000</f>
        <v>1.5820000000000001</v>
      </c>
      <c r="K7" s="68">
        <f>J7*2.20462262</f>
        <v>3.4877129848399999</v>
      </c>
      <c r="L7" s="7"/>
      <c r="M7" s="8"/>
      <c r="N7" s="7"/>
      <c r="O7" s="21" t="s">
        <v>4</v>
      </c>
      <c r="P7" s="60">
        <v>1.45</v>
      </c>
      <c r="Q7" s="22"/>
      <c r="R7" s="7"/>
      <c r="S7" s="23" t="s">
        <v>83</v>
      </c>
      <c r="T7" s="92">
        <f>T6/P11</f>
        <v>697.99484408198941</v>
      </c>
      <c r="U7" s="22" t="s">
        <v>73</v>
      </c>
      <c r="V7" s="7"/>
      <c r="W7" s="8"/>
      <c r="X7" s="7"/>
      <c r="Y7" s="21" t="s">
        <v>4</v>
      </c>
      <c r="Z7" s="11" t="s">
        <v>113</v>
      </c>
      <c r="AA7" s="39"/>
      <c r="AB7" s="39"/>
      <c r="AC7" s="9"/>
      <c r="AD7" s="62">
        <v>6.5</v>
      </c>
      <c r="AE7" s="77">
        <f t="shared" si="0"/>
        <v>0.1651</v>
      </c>
      <c r="AF7" s="12"/>
      <c r="AG7" s="62">
        <v>0.2</v>
      </c>
      <c r="AH7" s="76">
        <f>AG7*745.699872</f>
        <v>149.1399744</v>
      </c>
      <c r="AI7" s="10"/>
      <c r="AJ7" s="65">
        <v>0.6</v>
      </c>
      <c r="AK7" s="76">
        <f t="shared" ref="AK7:AK14" si="1">AJ7*28.3495231</f>
        <v>17.009713859999998</v>
      </c>
      <c r="AL7" s="10"/>
    </row>
    <row r="8" spans="2:38" ht="15.75" thickBot="1" x14ac:dyDescent="0.3">
      <c r="B8" s="36"/>
      <c r="C8" s="145" t="s">
        <v>75</v>
      </c>
      <c r="D8" s="146">
        <v>282</v>
      </c>
      <c r="E8" s="146">
        <v>320</v>
      </c>
      <c r="F8" s="146">
        <v>75</v>
      </c>
      <c r="G8" s="146">
        <v>25</v>
      </c>
      <c r="H8" s="146">
        <f>21+125+28+31+80</f>
        <v>285</v>
      </c>
      <c r="I8" s="147" t="s">
        <v>10</v>
      </c>
      <c r="J8" s="148">
        <f>(D8+(E8*P12)+(F8*3)+(G8*3)+H8)/1000</f>
        <v>1.5069999999999999</v>
      </c>
      <c r="K8" s="149">
        <f>J8*2.20462262</f>
        <v>3.3223662883399996</v>
      </c>
      <c r="L8" s="7"/>
      <c r="M8" s="8"/>
      <c r="N8" s="7"/>
      <c r="O8" s="119" t="s">
        <v>69</v>
      </c>
      <c r="P8" s="120"/>
      <c r="Q8" s="121"/>
      <c r="R8" s="7"/>
      <c r="S8" s="23" t="s">
        <v>38</v>
      </c>
      <c r="T8" s="93">
        <v>80</v>
      </c>
      <c r="U8" s="22" t="s">
        <v>39</v>
      </c>
      <c r="V8" s="7"/>
      <c r="W8" s="8"/>
      <c r="X8" s="7"/>
      <c r="Y8" s="24" t="s">
        <v>1</v>
      </c>
      <c r="Z8" s="13" t="s">
        <v>46</v>
      </c>
      <c r="AA8" s="39"/>
      <c r="AB8" s="39"/>
      <c r="AC8" s="9"/>
      <c r="AD8" s="62">
        <v>7</v>
      </c>
      <c r="AE8" s="77">
        <f t="shared" si="0"/>
        <v>0.17779999999999999</v>
      </c>
      <c r="AF8" s="12"/>
      <c r="AG8" s="62">
        <v>0.3</v>
      </c>
      <c r="AH8" s="76">
        <f t="shared" ref="AH8" si="2">AG8*745.699872</f>
        <v>223.70996160000001</v>
      </c>
      <c r="AI8" s="10"/>
      <c r="AJ8" s="65">
        <v>0.7</v>
      </c>
      <c r="AK8" s="76">
        <f t="shared" si="1"/>
        <v>19.844666169999996</v>
      </c>
      <c r="AL8" s="10"/>
    </row>
    <row r="9" spans="2:38" ht="15.75" thickBot="1" x14ac:dyDescent="0.3">
      <c r="B9" s="36"/>
      <c r="C9" s="31"/>
      <c r="D9" s="31"/>
      <c r="E9" s="31"/>
      <c r="F9" s="31"/>
      <c r="G9" s="31"/>
      <c r="H9" s="31"/>
      <c r="I9" s="31"/>
      <c r="J9" s="31"/>
      <c r="K9" s="31"/>
      <c r="L9" s="7"/>
      <c r="M9" s="8"/>
      <c r="N9" s="7"/>
      <c r="O9" s="23" t="s">
        <v>1</v>
      </c>
      <c r="P9" s="95">
        <v>1.1519999999999999</v>
      </c>
      <c r="Q9" s="22" t="s">
        <v>0</v>
      </c>
      <c r="R9" s="7"/>
      <c r="S9" s="23" t="s">
        <v>41</v>
      </c>
      <c r="T9" s="91">
        <f>T7*(1+(1-T8/100))</f>
        <v>837.59381289838723</v>
      </c>
      <c r="U9" s="22" t="s">
        <v>73</v>
      </c>
      <c r="V9" s="7"/>
      <c r="W9" s="8"/>
      <c r="X9" s="7"/>
      <c r="Y9" s="110" t="s">
        <v>87</v>
      </c>
      <c r="Z9" s="112"/>
      <c r="AA9" s="39"/>
      <c r="AB9" s="39"/>
      <c r="AC9" s="9"/>
      <c r="AD9" s="62">
        <v>8</v>
      </c>
      <c r="AE9" s="77">
        <f t="shared" si="0"/>
        <v>0.20319999999999999</v>
      </c>
      <c r="AF9" s="12"/>
      <c r="AG9" s="62">
        <v>0.4</v>
      </c>
      <c r="AH9" s="76">
        <f t="shared" ref="AH9:AH20" si="3">AG9*745.699872</f>
        <v>298.2799488</v>
      </c>
      <c r="AI9" s="10"/>
      <c r="AJ9" s="64">
        <v>0.8</v>
      </c>
      <c r="AK9" s="76">
        <f t="shared" si="1"/>
        <v>22.679618480000002</v>
      </c>
      <c r="AL9" s="10"/>
    </row>
    <row r="10" spans="2:38" x14ac:dyDescent="0.25">
      <c r="B10" s="36"/>
      <c r="C10" s="18" t="s">
        <v>25</v>
      </c>
      <c r="D10" s="19"/>
      <c r="E10" s="19" t="s">
        <v>22</v>
      </c>
      <c r="F10" s="19" t="s">
        <v>43</v>
      </c>
      <c r="G10" s="19" t="s">
        <v>44</v>
      </c>
      <c r="H10" s="46" t="s">
        <v>56</v>
      </c>
      <c r="I10" s="19"/>
      <c r="J10" s="105" t="s">
        <v>27</v>
      </c>
      <c r="K10" s="106"/>
      <c r="L10" s="7"/>
      <c r="M10" s="8"/>
      <c r="N10" s="7"/>
      <c r="O10" s="116" t="s">
        <v>87</v>
      </c>
      <c r="P10" s="117"/>
      <c r="Q10" s="118"/>
      <c r="R10" s="7"/>
      <c r="S10" s="23" t="s">
        <v>97</v>
      </c>
      <c r="T10" s="135">
        <f>T16*(1+(1-T8/100))</f>
        <v>133.76896685439482</v>
      </c>
      <c r="U10" s="22" t="s">
        <v>12</v>
      </c>
      <c r="V10" s="7"/>
      <c r="W10" s="8"/>
      <c r="X10" s="7"/>
      <c r="Y10" s="23" t="s">
        <v>88</v>
      </c>
      <c r="Z10" s="11" t="s">
        <v>116</v>
      </c>
      <c r="AA10" s="39"/>
      <c r="AB10" s="39"/>
      <c r="AC10" s="9"/>
      <c r="AD10" s="62">
        <v>5</v>
      </c>
      <c r="AE10" s="77">
        <f t="shared" si="0"/>
        <v>0.127</v>
      </c>
      <c r="AF10" s="12"/>
      <c r="AG10" s="62">
        <v>0.5</v>
      </c>
      <c r="AH10" s="76">
        <f t="shared" si="3"/>
        <v>372.84993600000001</v>
      </c>
      <c r="AI10" s="10"/>
      <c r="AJ10" s="65">
        <v>0.9</v>
      </c>
      <c r="AK10" s="76">
        <f t="shared" si="1"/>
        <v>25.51457079</v>
      </c>
      <c r="AL10" s="10"/>
    </row>
    <row r="11" spans="2:38" ht="15.75" thickBot="1" x14ac:dyDescent="0.3">
      <c r="B11" s="36"/>
      <c r="C11" s="51"/>
      <c r="D11" s="52" t="s">
        <v>16</v>
      </c>
      <c r="E11" s="52" t="s">
        <v>17</v>
      </c>
      <c r="F11" s="52" t="s">
        <v>13</v>
      </c>
      <c r="G11" s="52" t="s">
        <v>14</v>
      </c>
      <c r="H11" s="52" t="s">
        <v>55</v>
      </c>
      <c r="I11" s="52"/>
      <c r="J11" s="53" t="s">
        <v>0</v>
      </c>
      <c r="K11" s="54" t="s">
        <v>28</v>
      </c>
      <c r="L11" s="7"/>
      <c r="M11" s="8"/>
      <c r="N11" s="7"/>
      <c r="O11" s="21" t="s">
        <v>88</v>
      </c>
      <c r="P11" s="60">
        <v>11.1</v>
      </c>
      <c r="Q11" s="22" t="s">
        <v>5</v>
      </c>
      <c r="R11" s="5"/>
      <c r="S11" s="24" t="s">
        <v>123</v>
      </c>
      <c r="T11" s="137">
        <f>(T18*20/100)+T18</f>
        <v>14.461509930204846</v>
      </c>
      <c r="U11" s="25" t="s">
        <v>84</v>
      </c>
      <c r="V11" s="7"/>
      <c r="W11" s="8"/>
      <c r="X11" s="7"/>
      <c r="Y11" s="21" t="s">
        <v>89</v>
      </c>
      <c r="Z11" s="11" t="s">
        <v>114</v>
      </c>
      <c r="AA11" s="39"/>
      <c r="AB11" s="39"/>
      <c r="AC11" s="9"/>
      <c r="AD11" s="62">
        <v>9</v>
      </c>
      <c r="AE11" s="77">
        <f t="shared" si="0"/>
        <v>0.2286</v>
      </c>
      <c r="AF11" s="12"/>
      <c r="AG11" s="62">
        <v>0.6</v>
      </c>
      <c r="AH11" s="76">
        <f t="shared" si="3"/>
        <v>447.41992320000003</v>
      </c>
      <c r="AI11" s="10"/>
      <c r="AJ11" s="65">
        <v>1</v>
      </c>
      <c r="AK11" s="76">
        <f t="shared" si="1"/>
        <v>28.349523099999999</v>
      </c>
      <c r="AL11" s="10"/>
    </row>
    <row r="12" spans="2:38" ht="15.75" thickBot="1" x14ac:dyDescent="0.3">
      <c r="B12" s="36"/>
      <c r="C12" s="18" t="s">
        <v>40</v>
      </c>
      <c r="D12" s="56">
        <v>282</v>
      </c>
      <c r="E12" s="56">
        <v>185</v>
      </c>
      <c r="F12" s="56">
        <v>75</v>
      </c>
      <c r="G12" s="56">
        <v>25</v>
      </c>
      <c r="H12" s="56">
        <f>21+125+28+31+80</f>
        <v>285</v>
      </c>
      <c r="I12" s="44" t="s">
        <v>10</v>
      </c>
      <c r="J12" s="67">
        <f>(D12+(E12*P12)+(F12*4)+(G12*4)+H12)/1000</f>
        <v>1.337</v>
      </c>
      <c r="K12" s="68">
        <f>J12*2.20462262</f>
        <v>2.9475804429399997</v>
      </c>
      <c r="L12" s="7"/>
      <c r="M12" s="8"/>
      <c r="N12" s="7"/>
      <c r="O12" s="21" t="s">
        <v>89</v>
      </c>
      <c r="P12" s="60">
        <v>2</v>
      </c>
      <c r="Q12" s="22"/>
      <c r="R12" s="7"/>
      <c r="S12" s="31"/>
      <c r="T12" s="31"/>
      <c r="U12" s="31"/>
      <c r="V12" s="7"/>
      <c r="W12" s="8"/>
      <c r="X12" s="7"/>
      <c r="Y12" s="21" t="s">
        <v>86</v>
      </c>
      <c r="Z12" s="11" t="s">
        <v>115</v>
      </c>
      <c r="AA12" s="39"/>
      <c r="AB12" s="39"/>
      <c r="AC12" s="9"/>
      <c r="AD12" s="62">
        <v>10</v>
      </c>
      <c r="AE12" s="77">
        <f t="shared" si="0"/>
        <v>0.254</v>
      </c>
      <c r="AF12" s="12"/>
      <c r="AG12" s="62">
        <v>0.7</v>
      </c>
      <c r="AH12" s="76">
        <f t="shared" si="3"/>
        <v>521.98991039999999</v>
      </c>
      <c r="AI12" s="10"/>
      <c r="AJ12" s="64">
        <v>1.1000000000000001</v>
      </c>
      <c r="AK12" s="76">
        <f t="shared" si="1"/>
        <v>31.184475410000001</v>
      </c>
      <c r="AL12" s="10"/>
    </row>
    <row r="13" spans="2:38" ht="15.75" thickBot="1" x14ac:dyDescent="0.3">
      <c r="B13" s="36"/>
      <c r="C13" s="24" t="s">
        <v>37</v>
      </c>
      <c r="D13" s="57">
        <v>414</v>
      </c>
      <c r="E13" s="57">
        <v>320</v>
      </c>
      <c r="F13" s="57">
        <v>75</v>
      </c>
      <c r="G13" s="57">
        <v>25</v>
      </c>
      <c r="H13" s="57">
        <f>21+125+28+31+80</f>
        <v>285</v>
      </c>
      <c r="I13" s="43" t="s">
        <v>10</v>
      </c>
      <c r="J13" s="69">
        <f>(D13+(E13*P12)+(F13*4)+(G13*4)+H13)/1000</f>
        <v>1.7390000000000001</v>
      </c>
      <c r="K13" s="70">
        <f>J13*2.20462262</f>
        <v>3.8338387361800002</v>
      </c>
      <c r="L13" s="7"/>
      <c r="M13" s="8"/>
      <c r="N13" s="7"/>
      <c r="O13" s="21" t="s">
        <v>86</v>
      </c>
      <c r="P13" s="60">
        <v>2200</v>
      </c>
      <c r="Q13" s="22" t="s">
        <v>76</v>
      </c>
      <c r="R13" s="7"/>
      <c r="S13" s="113" t="s">
        <v>98</v>
      </c>
      <c r="T13" s="114"/>
      <c r="U13" s="115"/>
      <c r="V13" s="7"/>
      <c r="W13" s="8"/>
      <c r="X13" s="7"/>
      <c r="Y13" s="138" t="s">
        <v>93</v>
      </c>
      <c r="Z13" s="13" t="s">
        <v>125</v>
      </c>
      <c r="AA13" s="39"/>
      <c r="AB13" s="39"/>
      <c r="AC13" s="9"/>
      <c r="AD13" s="62">
        <v>11</v>
      </c>
      <c r="AE13" s="77">
        <f t="shared" si="0"/>
        <v>0.27939999999999998</v>
      </c>
      <c r="AF13" s="12"/>
      <c r="AG13" s="62">
        <v>0.8</v>
      </c>
      <c r="AH13" s="76">
        <f t="shared" si="3"/>
        <v>596.5598976</v>
      </c>
      <c r="AI13" s="10"/>
      <c r="AJ13" s="65">
        <v>50</v>
      </c>
      <c r="AK13" s="76">
        <f t="shared" si="1"/>
        <v>1417.4761549999998</v>
      </c>
      <c r="AL13" s="10"/>
    </row>
    <row r="14" spans="2:38" ht="15.75" thickBot="1" x14ac:dyDescent="0.3">
      <c r="B14" s="36"/>
      <c r="C14" s="31"/>
      <c r="D14" s="31"/>
      <c r="E14" s="31"/>
      <c r="F14" s="31"/>
      <c r="G14" s="31"/>
      <c r="H14" s="31"/>
      <c r="I14" s="31"/>
      <c r="J14" s="31"/>
      <c r="K14" s="31"/>
      <c r="L14" s="7"/>
      <c r="M14" s="8"/>
      <c r="N14" s="7"/>
      <c r="O14" s="21" t="s">
        <v>93</v>
      </c>
      <c r="P14" s="96">
        <f>((T19/(((P13*P12))/1000))*20/100)+(T19/(((P13*P12))/1000))</f>
        <v>13.146827209277133</v>
      </c>
      <c r="Q14" s="22" t="s">
        <v>94</v>
      </c>
      <c r="R14" s="7"/>
      <c r="S14" s="113" t="s">
        <v>99</v>
      </c>
      <c r="T14" s="114"/>
      <c r="U14" s="115"/>
      <c r="V14" s="7"/>
      <c r="W14" s="8"/>
      <c r="X14" s="7"/>
      <c r="Y14" s="110" t="s">
        <v>90</v>
      </c>
      <c r="Z14" s="112"/>
      <c r="AA14" s="39"/>
      <c r="AB14" s="39"/>
      <c r="AC14" s="9"/>
      <c r="AD14" s="62">
        <v>12</v>
      </c>
      <c r="AE14" s="77">
        <f t="shared" si="0"/>
        <v>0.30479999999999996</v>
      </c>
      <c r="AF14" s="12"/>
      <c r="AG14" s="62">
        <v>0.9</v>
      </c>
      <c r="AH14" s="76">
        <f t="shared" si="3"/>
        <v>671.12988480000001</v>
      </c>
      <c r="AI14" s="10"/>
      <c r="AJ14" s="65">
        <v>125</v>
      </c>
      <c r="AK14" s="76">
        <f t="shared" si="1"/>
        <v>3543.6903874999998</v>
      </c>
      <c r="AL14" s="10"/>
    </row>
    <row r="15" spans="2:38" ht="15.75" thickBot="1" x14ac:dyDescent="0.3">
      <c r="B15" s="36"/>
      <c r="C15" s="18" t="s">
        <v>26</v>
      </c>
      <c r="D15" s="19"/>
      <c r="E15" s="19" t="s">
        <v>22</v>
      </c>
      <c r="F15" s="19" t="s">
        <v>23</v>
      </c>
      <c r="G15" s="19" t="s">
        <v>24</v>
      </c>
      <c r="H15" s="46" t="s">
        <v>56</v>
      </c>
      <c r="I15" s="19"/>
      <c r="J15" s="83" t="s">
        <v>27</v>
      </c>
      <c r="K15" s="84"/>
      <c r="L15" s="7"/>
      <c r="M15" s="8"/>
      <c r="N15" s="7"/>
      <c r="O15" s="116" t="s">
        <v>90</v>
      </c>
      <c r="P15" s="117"/>
      <c r="Q15" s="118"/>
      <c r="R15" s="7"/>
      <c r="S15" s="18" t="s">
        <v>82</v>
      </c>
      <c r="T15" s="94">
        <f>((1/(0.0004233*P17))*(P22/(0.098102*(P7^(1/3))*((0.0254*P16)^2)*((P16/(P17*3.29546))^1.5)))^0.5)</f>
        <v>7747.7427693100817</v>
      </c>
      <c r="U15" s="20" t="s">
        <v>42</v>
      </c>
      <c r="V15" s="7"/>
      <c r="W15" s="8"/>
      <c r="X15" s="7"/>
      <c r="Y15" s="21" t="s">
        <v>6</v>
      </c>
      <c r="Z15" s="11" t="s">
        <v>50</v>
      </c>
      <c r="AA15" s="39"/>
      <c r="AB15" s="39"/>
      <c r="AC15" s="9"/>
      <c r="AD15" s="62">
        <v>13</v>
      </c>
      <c r="AE15" s="77">
        <f t="shared" si="0"/>
        <v>0.33019999999999999</v>
      </c>
      <c r="AF15" s="12"/>
      <c r="AG15" s="62">
        <v>1</v>
      </c>
      <c r="AH15" s="76">
        <f t="shared" si="3"/>
        <v>745.69987200000003</v>
      </c>
      <c r="AI15" s="7"/>
      <c r="AJ15" s="2"/>
      <c r="AK15" s="7"/>
      <c r="AL15" s="10"/>
    </row>
    <row r="16" spans="2:38" ht="15.75" thickBot="1" x14ac:dyDescent="0.3">
      <c r="B16" s="36"/>
      <c r="C16" s="24"/>
      <c r="D16" s="47" t="s">
        <v>16</v>
      </c>
      <c r="E16" s="47" t="s">
        <v>29</v>
      </c>
      <c r="F16" s="47" t="s">
        <v>13</v>
      </c>
      <c r="G16" s="47" t="s">
        <v>14</v>
      </c>
      <c r="H16" s="47" t="s">
        <v>55</v>
      </c>
      <c r="I16" s="47"/>
      <c r="J16" s="48" t="s">
        <v>0</v>
      </c>
      <c r="K16" s="49" t="s">
        <v>28</v>
      </c>
      <c r="L16" s="7"/>
      <c r="M16" s="8"/>
      <c r="N16" s="7"/>
      <c r="O16" s="21" t="s">
        <v>91</v>
      </c>
      <c r="P16" s="60">
        <v>10</v>
      </c>
      <c r="Q16" s="22" t="s">
        <v>9</v>
      </c>
      <c r="R16" s="7"/>
      <c r="S16" s="23" t="s">
        <v>102</v>
      </c>
      <c r="T16" s="96">
        <f>(((P16)^4*P17*T6^3)/(1.4*10^17))*745.699872</f>
        <v>111.47413904532901</v>
      </c>
      <c r="U16" s="22" t="s">
        <v>12</v>
      </c>
      <c r="V16" s="7"/>
      <c r="W16" s="8"/>
      <c r="X16" s="7"/>
      <c r="Y16" s="138" t="s">
        <v>18</v>
      </c>
      <c r="Z16" s="13" t="s">
        <v>51</v>
      </c>
      <c r="AA16" s="39"/>
      <c r="AB16" s="39"/>
      <c r="AC16" s="9"/>
      <c r="AD16" s="62">
        <v>14</v>
      </c>
      <c r="AE16" s="77">
        <f t="shared" si="0"/>
        <v>0.35559999999999997</v>
      </c>
      <c r="AF16" s="12"/>
      <c r="AG16" s="62">
        <v>1.1000000000000001</v>
      </c>
      <c r="AH16" s="76">
        <f t="shared" si="3"/>
        <v>820.26985920000004</v>
      </c>
      <c r="AI16" s="10"/>
      <c r="AJ16" s="27" t="s">
        <v>20</v>
      </c>
      <c r="AK16" s="28" t="s">
        <v>19</v>
      </c>
      <c r="AL16" s="10"/>
    </row>
    <row r="17" spans="2:38" x14ac:dyDescent="0.25">
      <c r="B17" s="36"/>
      <c r="C17" s="50" t="s">
        <v>21</v>
      </c>
      <c r="D17" s="58">
        <v>440</v>
      </c>
      <c r="E17" s="58">
        <v>185</v>
      </c>
      <c r="F17" s="58">
        <v>98</v>
      </c>
      <c r="G17" s="58">
        <v>26</v>
      </c>
      <c r="H17" s="56">
        <f>21+180+28+31</f>
        <v>260</v>
      </c>
      <c r="I17" s="55" t="s">
        <v>10</v>
      </c>
      <c r="J17" s="71">
        <f>(D17+(E17*P12)+(F17*6)+(G17*6))/1000</f>
        <v>1.554</v>
      </c>
      <c r="K17" s="72">
        <f>J17*2.20462262</f>
        <v>3.4259835514799999</v>
      </c>
      <c r="L17" s="7"/>
      <c r="M17" s="8"/>
      <c r="N17" s="7"/>
      <c r="O17" s="21" t="s">
        <v>92</v>
      </c>
      <c r="P17" s="60">
        <v>4.5</v>
      </c>
      <c r="Q17" s="22" t="s">
        <v>9</v>
      </c>
      <c r="R17" s="7"/>
      <c r="S17" s="23" t="s">
        <v>101</v>
      </c>
      <c r="T17" s="99">
        <f>T16*(1+(1-T8/100))</f>
        <v>133.76896685439482</v>
      </c>
      <c r="U17" s="22" t="s">
        <v>12</v>
      </c>
      <c r="V17" s="7"/>
      <c r="W17" s="8"/>
      <c r="X17" s="7"/>
      <c r="Y17" s="110" t="s">
        <v>95</v>
      </c>
      <c r="Z17" s="112"/>
      <c r="AA17" s="39"/>
      <c r="AB17" s="39"/>
      <c r="AC17" s="9"/>
      <c r="AD17" s="62">
        <v>15</v>
      </c>
      <c r="AE17" s="77">
        <f t="shared" ref="AE17:AE33" si="4">AD17*0.0254</f>
        <v>0.38100000000000001</v>
      </c>
      <c r="AF17" s="12"/>
      <c r="AG17" s="62">
        <v>1.2</v>
      </c>
      <c r="AH17" s="76">
        <f t="shared" si="3"/>
        <v>894.83984640000006</v>
      </c>
      <c r="AI17" s="10"/>
      <c r="AJ17" s="64">
        <f>AK17*2.20462</f>
        <v>2.2046199999999998</v>
      </c>
      <c r="AK17" s="73">
        <v>1</v>
      </c>
      <c r="AL17" s="10"/>
    </row>
    <row r="18" spans="2:38" ht="15.75" thickBot="1" x14ac:dyDescent="0.3">
      <c r="B18" s="36"/>
      <c r="C18" s="145" t="s">
        <v>21</v>
      </c>
      <c r="D18" s="146">
        <v>440</v>
      </c>
      <c r="E18" s="146">
        <v>185</v>
      </c>
      <c r="F18" s="146">
        <v>98</v>
      </c>
      <c r="G18" s="146">
        <v>26</v>
      </c>
      <c r="H18" s="146">
        <f>21+180+28+31</f>
        <v>260</v>
      </c>
      <c r="I18" s="147" t="s">
        <v>10</v>
      </c>
      <c r="J18" s="148">
        <f>(D18+(E18*P12)+(F18*6)+(G18*6))/1000</f>
        <v>1.554</v>
      </c>
      <c r="K18" s="149">
        <f>J18*2.20462262</f>
        <v>3.4259835514799999</v>
      </c>
      <c r="L18" s="7"/>
      <c r="M18" s="8"/>
      <c r="N18" s="7"/>
      <c r="O18" s="116" t="s">
        <v>95</v>
      </c>
      <c r="P18" s="117"/>
      <c r="Q18" s="118"/>
      <c r="R18" s="7"/>
      <c r="S18" s="23" t="s">
        <v>103</v>
      </c>
      <c r="T18" s="100">
        <f>T17/P11</f>
        <v>12.051258275170705</v>
      </c>
      <c r="U18" s="22" t="s">
        <v>84</v>
      </c>
      <c r="V18" s="7"/>
      <c r="W18" s="8"/>
      <c r="X18" s="7"/>
      <c r="Y18" s="23" t="s">
        <v>96</v>
      </c>
      <c r="Z18" s="11" t="s">
        <v>117</v>
      </c>
      <c r="AA18" s="39"/>
      <c r="AB18" s="39"/>
      <c r="AC18" s="9"/>
      <c r="AD18" s="62">
        <v>16</v>
      </c>
      <c r="AE18" s="77">
        <f t="shared" si="4"/>
        <v>0.40639999999999998</v>
      </c>
      <c r="AF18" s="12"/>
      <c r="AG18" s="62">
        <v>1.3</v>
      </c>
      <c r="AH18" s="76">
        <f t="shared" si="3"/>
        <v>969.40983360000007</v>
      </c>
      <c r="AI18" s="10"/>
      <c r="AJ18" s="65">
        <f t="shared" ref="AJ18:AJ33" si="5">AK18*2.20462</f>
        <v>2.7557749999999999</v>
      </c>
      <c r="AK18" s="73">
        <v>1.25</v>
      </c>
      <c r="AL18" s="10"/>
    </row>
    <row r="19" spans="2:38" ht="15.75" thickBot="1" x14ac:dyDescent="0.3">
      <c r="B19" s="36"/>
      <c r="C19" s="31"/>
      <c r="D19" s="31"/>
      <c r="E19" s="31"/>
      <c r="F19" s="31"/>
      <c r="G19" s="31"/>
      <c r="H19" s="31"/>
      <c r="I19" s="31"/>
      <c r="J19" s="31"/>
      <c r="K19" s="31"/>
      <c r="L19" s="7"/>
      <c r="M19" s="8"/>
      <c r="N19" s="7"/>
      <c r="O19" s="150" t="s">
        <v>78</v>
      </c>
      <c r="P19" s="136"/>
      <c r="Q19" s="11"/>
      <c r="R19" s="7"/>
      <c r="S19" s="23" t="s">
        <v>104</v>
      </c>
      <c r="T19" s="100">
        <f>T18*4</f>
        <v>48.205033100682819</v>
      </c>
      <c r="U19" s="22" t="s">
        <v>84</v>
      </c>
      <c r="V19" s="7"/>
      <c r="W19" s="8"/>
      <c r="X19" s="7"/>
      <c r="Y19" s="85" t="s">
        <v>79</v>
      </c>
      <c r="Z19" s="11" t="s">
        <v>128</v>
      </c>
      <c r="AA19" s="39"/>
      <c r="AB19" s="39"/>
      <c r="AC19" s="9"/>
      <c r="AD19" s="62">
        <v>17</v>
      </c>
      <c r="AE19" s="77">
        <f t="shared" si="4"/>
        <v>0.43179999999999996</v>
      </c>
      <c r="AF19" s="12"/>
      <c r="AG19" s="62">
        <v>1.4</v>
      </c>
      <c r="AH19" s="76">
        <f t="shared" si="3"/>
        <v>1043.9798208</v>
      </c>
      <c r="AI19" s="10"/>
      <c r="AJ19" s="65">
        <f t="shared" si="5"/>
        <v>3.3069299999999995</v>
      </c>
      <c r="AK19" s="73">
        <v>1.5</v>
      </c>
      <c r="AL19" s="10"/>
    </row>
    <row r="20" spans="2:38" ht="15.75" thickBot="1" x14ac:dyDescent="0.3">
      <c r="B20" s="36"/>
      <c r="C20" s="18" t="s">
        <v>70</v>
      </c>
      <c r="D20" s="19"/>
      <c r="E20" s="19" t="s">
        <v>22</v>
      </c>
      <c r="F20" s="19" t="s">
        <v>23</v>
      </c>
      <c r="G20" s="19" t="s">
        <v>24</v>
      </c>
      <c r="H20" s="46" t="s">
        <v>56</v>
      </c>
      <c r="I20" s="19"/>
      <c r="J20" s="83" t="s">
        <v>27</v>
      </c>
      <c r="K20" s="84"/>
      <c r="L20" s="7"/>
      <c r="M20" s="8"/>
      <c r="N20" s="7"/>
      <c r="O20" s="85" t="s">
        <v>96</v>
      </c>
      <c r="P20" s="60">
        <v>3</v>
      </c>
      <c r="Q20" s="87"/>
      <c r="R20" s="7"/>
      <c r="S20" s="132" t="s">
        <v>100</v>
      </c>
      <c r="T20" s="133"/>
      <c r="U20" s="134"/>
      <c r="V20" s="7"/>
      <c r="W20" s="8"/>
      <c r="X20" s="7"/>
      <c r="Y20" s="88" t="s">
        <v>80</v>
      </c>
      <c r="Z20" s="13" t="s">
        <v>118</v>
      </c>
      <c r="AA20" s="39"/>
      <c r="AB20" s="39"/>
      <c r="AC20" s="9"/>
      <c r="AD20" s="62">
        <v>18</v>
      </c>
      <c r="AE20" s="77">
        <f t="shared" si="4"/>
        <v>0.4572</v>
      </c>
      <c r="AF20" s="12"/>
      <c r="AG20" s="62">
        <v>1.5</v>
      </c>
      <c r="AH20" s="76">
        <f t="shared" si="3"/>
        <v>1118.549808</v>
      </c>
      <c r="AI20" s="10"/>
      <c r="AJ20" s="65">
        <f t="shared" si="5"/>
        <v>3.8580849999999995</v>
      </c>
      <c r="AK20" s="73">
        <v>1.75</v>
      </c>
      <c r="AL20" s="10"/>
    </row>
    <row r="21" spans="2:38" ht="15.75" thickBot="1" x14ac:dyDescent="0.3">
      <c r="B21" s="36"/>
      <c r="C21" s="24"/>
      <c r="D21" s="47" t="s">
        <v>16</v>
      </c>
      <c r="E21" s="47" t="s">
        <v>29</v>
      </c>
      <c r="F21" s="47" t="s">
        <v>13</v>
      </c>
      <c r="G21" s="47" t="s">
        <v>14</v>
      </c>
      <c r="H21" s="47" t="s">
        <v>55</v>
      </c>
      <c r="I21" s="47"/>
      <c r="J21" s="48" t="s">
        <v>0</v>
      </c>
      <c r="K21" s="49" t="s">
        <v>28</v>
      </c>
      <c r="L21" s="7"/>
      <c r="M21" s="8"/>
      <c r="N21" s="7"/>
      <c r="O21" s="85" t="s">
        <v>79</v>
      </c>
      <c r="P21" s="86">
        <f>P20*P9</f>
        <v>3.4559999999999995</v>
      </c>
      <c r="Q21" s="87" t="s">
        <v>0</v>
      </c>
      <c r="R21" s="7"/>
      <c r="S21" s="23" t="s">
        <v>105</v>
      </c>
      <c r="T21" s="99">
        <f>(1/(0.0004233*P17))*(((P9/P6)*1.2)/(0.098102*(P7^(1/3))*((0.0254*P16)^2)*((P16/(P17*3.29546))^1.5)))^0.5</f>
        <v>4900.1027752240734</v>
      </c>
      <c r="U21" s="22" t="s">
        <v>42</v>
      </c>
      <c r="V21" s="7"/>
      <c r="W21" s="8"/>
      <c r="X21" s="7"/>
      <c r="Y21" s="107" t="s">
        <v>54</v>
      </c>
      <c r="Z21" s="109"/>
      <c r="AA21" s="39"/>
      <c r="AB21" s="39"/>
      <c r="AC21" s="9"/>
      <c r="AD21" s="62">
        <v>19</v>
      </c>
      <c r="AE21" s="77">
        <f t="shared" si="4"/>
        <v>0.48259999999999997</v>
      </c>
      <c r="AF21" s="12"/>
      <c r="AG21" s="62">
        <v>2.5</v>
      </c>
      <c r="AH21" s="76">
        <f t="shared" ref="AH21:AH33" si="6">AG21*745.699872</f>
        <v>1864.2496800000001</v>
      </c>
      <c r="AI21" s="10"/>
      <c r="AJ21" s="65">
        <f t="shared" si="5"/>
        <v>4.4092399999999996</v>
      </c>
      <c r="AK21" s="73">
        <v>2</v>
      </c>
      <c r="AL21" s="10"/>
    </row>
    <row r="22" spans="2:38" ht="15.75" thickBot="1" x14ac:dyDescent="0.3">
      <c r="B22" s="36"/>
      <c r="C22" s="50" t="s">
        <v>71</v>
      </c>
      <c r="D22" s="58">
        <v>916</v>
      </c>
      <c r="E22" s="58">
        <v>185</v>
      </c>
      <c r="F22" s="58">
        <v>98</v>
      </c>
      <c r="G22" s="58">
        <v>26</v>
      </c>
      <c r="H22" s="56">
        <f>21+350+28+31</f>
        <v>430</v>
      </c>
      <c r="I22" s="55" t="s">
        <v>10</v>
      </c>
      <c r="J22" s="71">
        <f>(D22+(E22*$P$12)+(F22*8)+(G22*8))/1000</f>
        <v>2.278</v>
      </c>
      <c r="K22" s="72">
        <f>J22*2.20462262</f>
        <v>5.0221303283599994</v>
      </c>
      <c r="L22" s="7"/>
      <c r="M22" s="8"/>
      <c r="N22" s="7"/>
      <c r="O22" s="88" t="s">
        <v>80</v>
      </c>
      <c r="P22" s="89">
        <f>P21/P6</f>
        <v>0.86399999999999988</v>
      </c>
      <c r="Q22" s="90" t="s">
        <v>0</v>
      </c>
      <c r="R22" s="7"/>
      <c r="S22" s="23" t="s">
        <v>106</v>
      </c>
      <c r="T22" s="99">
        <f>(((P16)^4*P17*T21^3)/(1.4*10^17))*745.699872</f>
        <v>28.200974367163809</v>
      </c>
      <c r="U22" s="22" t="s">
        <v>12</v>
      </c>
      <c r="V22" s="7"/>
      <c r="W22" s="8"/>
      <c r="X22" s="7"/>
      <c r="Y22" s="88" t="s">
        <v>49</v>
      </c>
      <c r="Z22" s="17" t="s">
        <v>127</v>
      </c>
      <c r="AA22" s="39"/>
      <c r="AB22" s="39"/>
      <c r="AC22" s="9"/>
      <c r="AD22" s="62"/>
      <c r="AE22" s="77"/>
      <c r="AF22" s="12"/>
      <c r="AG22" s="62"/>
      <c r="AH22" s="76"/>
      <c r="AI22" s="10"/>
      <c r="AJ22" s="65"/>
      <c r="AK22" s="73"/>
      <c r="AL22" s="10"/>
    </row>
    <row r="23" spans="2:38" ht="15.75" thickBot="1" x14ac:dyDescent="0.3">
      <c r="B23" s="36"/>
      <c r="C23" s="145" t="s">
        <v>71</v>
      </c>
      <c r="D23" s="146">
        <v>916</v>
      </c>
      <c r="E23" s="146">
        <v>185</v>
      </c>
      <c r="F23" s="146">
        <v>98</v>
      </c>
      <c r="G23" s="146">
        <v>26</v>
      </c>
      <c r="H23" s="146">
        <f>21+350+28+31</f>
        <v>430</v>
      </c>
      <c r="I23" s="147" t="s">
        <v>10</v>
      </c>
      <c r="J23" s="148">
        <f>(D23+(E23*$P$12)+(F23*8)+(G23*8))/1000</f>
        <v>2.278</v>
      </c>
      <c r="K23" s="149">
        <f>J23*2.20462262</f>
        <v>5.0221303283599994</v>
      </c>
      <c r="L23" s="7"/>
      <c r="M23" s="8"/>
      <c r="N23" s="7"/>
      <c r="O23" s="75" t="s">
        <v>64</v>
      </c>
      <c r="P23" s="7"/>
      <c r="Q23" s="7"/>
      <c r="R23" s="7"/>
      <c r="S23" s="23" t="s">
        <v>101</v>
      </c>
      <c r="T23" s="99">
        <f>T22*(1+(1-T8/100))</f>
        <v>33.841169240596571</v>
      </c>
      <c r="U23" s="22" t="s">
        <v>12</v>
      </c>
      <c r="V23" s="7"/>
      <c r="W23" s="8"/>
      <c r="X23" s="7"/>
      <c r="Y23" s="140" t="s">
        <v>81</v>
      </c>
      <c r="Z23" s="141"/>
      <c r="AA23" s="39"/>
      <c r="AB23" s="39"/>
      <c r="AC23" s="9"/>
      <c r="AD23" s="62"/>
      <c r="AE23" s="77"/>
      <c r="AF23" s="12"/>
      <c r="AG23" s="62"/>
      <c r="AH23" s="76"/>
      <c r="AI23" s="10"/>
      <c r="AJ23" s="65"/>
      <c r="AK23" s="73"/>
      <c r="AL23" s="10"/>
    </row>
    <row r="24" spans="2:38" x14ac:dyDescent="0.25">
      <c r="B24" s="36"/>
      <c r="C24" s="40"/>
      <c r="D24" s="40"/>
      <c r="E24" s="7"/>
      <c r="F24" s="7"/>
      <c r="G24" s="7"/>
      <c r="H24" s="7"/>
      <c r="I24" s="7"/>
      <c r="J24" s="7"/>
      <c r="K24" s="7"/>
      <c r="L24" s="7"/>
      <c r="M24" s="8"/>
      <c r="N24" s="7"/>
      <c r="O24" s="107" t="s">
        <v>54</v>
      </c>
      <c r="P24" s="108"/>
      <c r="Q24" s="109"/>
      <c r="R24" s="7"/>
      <c r="S24" s="23" t="s">
        <v>107</v>
      </c>
      <c r="T24" s="100">
        <f>T23/P11</f>
        <v>3.0487539856393306</v>
      </c>
      <c r="U24" s="22" t="s">
        <v>84</v>
      </c>
      <c r="V24" s="7"/>
      <c r="W24" s="8"/>
      <c r="X24" s="7"/>
      <c r="Y24" s="23" t="s">
        <v>82</v>
      </c>
      <c r="Z24" s="11" t="s">
        <v>52</v>
      </c>
      <c r="AA24" s="39"/>
      <c r="AB24" s="39"/>
      <c r="AC24" s="9"/>
      <c r="AD24" s="62"/>
      <c r="AE24" s="77"/>
      <c r="AF24" s="12"/>
      <c r="AG24" s="62"/>
      <c r="AH24" s="76"/>
      <c r="AI24" s="10"/>
      <c r="AJ24" s="65"/>
      <c r="AK24" s="73"/>
      <c r="AL24" s="10"/>
    </row>
    <row r="25" spans="2:38" x14ac:dyDescent="0.25">
      <c r="B25" s="36"/>
      <c r="C25" s="40"/>
      <c r="D25" s="40"/>
      <c r="E25" s="7"/>
      <c r="F25" s="7"/>
      <c r="G25" s="7"/>
      <c r="H25" s="7"/>
      <c r="I25" s="7"/>
      <c r="J25" s="7"/>
      <c r="K25" s="7"/>
      <c r="L25" s="7"/>
      <c r="M25" s="8"/>
      <c r="N25" s="7"/>
      <c r="O25" s="32" t="s">
        <v>30</v>
      </c>
      <c r="P25" s="33" t="s">
        <v>4</v>
      </c>
      <c r="Q25" s="34" t="s">
        <v>49</v>
      </c>
      <c r="R25" s="7"/>
      <c r="S25" s="23" t="s">
        <v>108</v>
      </c>
      <c r="T25" s="100">
        <f>T24*4</f>
        <v>12.195015942557323</v>
      </c>
      <c r="U25" s="22" t="s">
        <v>84</v>
      </c>
      <c r="V25" s="7"/>
      <c r="W25" s="8"/>
      <c r="X25" s="7"/>
      <c r="Y25" s="23" t="s">
        <v>83</v>
      </c>
      <c r="Z25" s="11" t="s">
        <v>119</v>
      </c>
      <c r="AA25" s="39"/>
      <c r="AB25" s="39"/>
      <c r="AC25" s="9"/>
      <c r="AD25" s="62"/>
      <c r="AE25" s="77"/>
      <c r="AF25" s="12"/>
      <c r="AG25" s="62"/>
      <c r="AH25" s="76"/>
      <c r="AI25" s="10"/>
      <c r="AJ25" s="65"/>
      <c r="AK25" s="73"/>
      <c r="AL25" s="10"/>
    </row>
    <row r="26" spans="2:38" x14ac:dyDescent="0.25">
      <c r="B26" s="36"/>
      <c r="C26" s="40"/>
      <c r="D26" s="40"/>
      <c r="E26" s="7"/>
      <c r="F26" s="7"/>
      <c r="G26" s="7"/>
      <c r="H26" s="7"/>
      <c r="I26" s="7"/>
      <c r="J26" s="7"/>
      <c r="K26" s="7"/>
      <c r="L26" s="7"/>
      <c r="M26" s="8"/>
      <c r="N26" s="7"/>
      <c r="O26" s="23" t="s">
        <v>36</v>
      </c>
      <c r="P26" s="41">
        <v>0.93</v>
      </c>
      <c r="Q26" s="142" t="s">
        <v>53</v>
      </c>
      <c r="R26" s="7"/>
      <c r="S26" s="132" t="s">
        <v>109</v>
      </c>
      <c r="T26" s="133"/>
      <c r="U26" s="134"/>
      <c r="V26" s="7"/>
      <c r="W26" s="8"/>
      <c r="X26" s="7"/>
      <c r="Y26" s="23" t="s">
        <v>38</v>
      </c>
      <c r="Z26" s="11" t="s">
        <v>120</v>
      </c>
      <c r="AA26" s="39"/>
      <c r="AB26" s="39"/>
      <c r="AC26" s="9"/>
      <c r="AD26" s="62"/>
      <c r="AE26" s="77"/>
      <c r="AF26" s="12"/>
      <c r="AG26" s="62"/>
      <c r="AH26" s="76"/>
      <c r="AI26" s="10"/>
      <c r="AJ26" s="65"/>
      <c r="AK26" s="73"/>
      <c r="AL26" s="10"/>
    </row>
    <row r="27" spans="2:38" x14ac:dyDescent="0.25">
      <c r="B27" s="36"/>
      <c r="C27" s="40"/>
      <c r="D27" s="40"/>
      <c r="E27" s="7"/>
      <c r="F27" s="7"/>
      <c r="G27" s="7"/>
      <c r="H27" s="7"/>
      <c r="I27" s="7"/>
      <c r="J27" s="7"/>
      <c r="K27" s="7"/>
      <c r="L27" s="7"/>
      <c r="M27" s="8"/>
      <c r="N27" s="7"/>
      <c r="O27" s="23" t="s">
        <v>31</v>
      </c>
      <c r="P27" s="41">
        <v>1.3</v>
      </c>
      <c r="Q27" s="143">
        <f>145000/P16</f>
        <v>14500</v>
      </c>
      <c r="R27" s="7"/>
      <c r="S27" s="23" t="s">
        <v>100</v>
      </c>
      <c r="T27" s="100">
        <f>(60*(((P13/1000)*80/100)/(T25)))*P12</f>
        <v>17.318550545142696</v>
      </c>
      <c r="U27" s="22" t="s">
        <v>85</v>
      </c>
      <c r="V27" s="7"/>
      <c r="W27" s="8"/>
      <c r="X27" s="7"/>
      <c r="Y27" s="23" t="s">
        <v>41</v>
      </c>
      <c r="Z27" s="11" t="s">
        <v>121</v>
      </c>
      <c r="AA27" s="39"/>
      <c r="AB27" s="39"/>
      <c r="AC27" s="9"/>
      <c r="AD27" s="62"/>
      <c r="AE27" s="77"/>
      <c r="AF27" s="12"/>
      <c r="AG27" s="62"/>
      <c r="AH27" s="76"/>
      <c r="AI27" s="10"/>
      <c r="AJ27" s="65"/>
      <c r="AK27" s="73"/>
      <c r="AL27" s="10"/>
    </row>
    <row r="28" spans="2:38" x14ac:dyDescent="0.25">
      <c r="B28" s="36"/>
      <c r="C28" s="40"/>
      <c r="D28" s="40"/>
      <c r="E28" s="7"/>
      <c r="F28" s="7"/>
      <c r="G28" s="7"/>
      <c r="H28" s="7"/>
      <c r="I28" s="7"/>
      <c r="J28" s="7"/>
      <c r="K28" s="7"/>
      <c r="L28" s="7"/>
      <c r="M28" s="8"/>
      <c r="N28" s="7"/>
      <c r="O28" s="23" t="s">
        <v>32</v>
      </c>
      <c r="P28" s="41">
        <v>1.9</v>
      </c>
      <c r="Q28" s="143">
        <f>65000/P16</f>
        <v>6500</v>
      </c>
      <c r="R28" s="7"/>
      <c r="S28" s="23" t="s">
        <v>110</v>
      </c>
      <c r="T28" s="100">
        <f>(T27+T29)/2</f>
        <v>10.849917892387413</v>
      </c>
      <c r="U28" s="22" t="s">
        <v>85</v>
      </c>
      <c r="V28" s="7"/>
      <c r="W28" s="8"/>
      <c r="X28" s="7"/>
      <c r="Y28" s="23" t="s">
        <v>97</v>
      </c>
      <c r="Z28" s="11" t="s">
        <v>122</v>
      </c>
      <c r="AA28" s="39"/>
      <c r="AB28" s="39"/>
      <c r="AC28" s="9"/>
      <c r="AD28" s="62"/>
      <c r="AE28" s="77"/>
      <c r="AF28" s="12"/>
      <c r="AG28" s="62"/>
      <c r="AH28" s="76"/>
      <c r="AI28" s="10"/>
      <c r="AJ28" s="65"/>
      <c r="AK28" s="73"/>
      <c r="AL28" s="10"/>
    </row>
    <row r="29" spans="2:38" ht="15.75" thickBot="1" x14ac:dyDescent="0.3">
      <c r="B29" s="36"/>
      <c r="C29" s="40"/>
      <c r="D29" s="40"/>
      <c r="E29" s="7"/>
      <c r="F29" s="7"/>
      <c r="G29" s="7"/>
      <c r="H29" s="7"/>
      <c r="I29" s="7"/>
      <c r="J29" s="7"/>
      <c r="K29" s="7"/>
      <c r="L29" s="7"/>
      <c r="M29" s="8"/>
      <c r="N29" s="7"/>
      <c r="O29" s="38" t="s">
        <v>48</v>
      </c>
      <c r="P29" s="42">
        <v>1.6</v>
      </c>
      <c r="Q29" s="143">
        <f>105000/P16</f>
        <v>10500</v>
      </c>
      <c r="R29" s="7"/>
      <c r="S29" s="24" t="s">
        <v>111</v>
      </c>
      <c r="T29" s="101">
        <f>(60*(((P13/1000)*80/100)/(T19)))*P12</f>
        <v>4.3812852396321329</v>
      </c>
      <c r="U29" s="25" t="s">
        <v>85</v>
      </c>
      <c r="V29" s="7"/>
      <c r="W29" s="8"/>
      <c r="X29" s="7"/>
      <c r="Y29" s="24" t="s">
        <v>123</v>
      </c>
      <c r="Z29" s="13" t="s">
        <v>124</v>
      </c>
      <c r="AA29" s="39"/>
      <c r="AB29" s="39"/>
      <c r="AC29" s="9"/>
      <c r="AD29" s="62"/>
      <c r="AE29" s="77"/>
      <c r="AF29" s="12"/>
      <c r="AG29" s="62"/>
      <c r="AH29" s="76"/>
      <c r="AI29" s="10"/>
      <c r="AJ29" s="65"/>
      <c r="AK29" s="73"/>
      <c r="AL29" s="10"/>
    </row>
    <row r="30" spans="2:38" ht="15.75" thickBot="1" x14ac:dyDescent="0.3">
      <c r="B30" s="36"/>
      <c r="C30" s="31"/>
      <c r="D30" s="31"/>
      <c r="E30" s="31"/>
      <c r="F30" s="31"/>
      <c r="G30" s="31"/>
      <c r="H30" s="31"/>
      <c r="I30" s="31"/>
      <c r="J30" s="31"/>
      <c r="K30" s="31"/>
      <c r="L30" s="7"/>
      <c r="M30" s="8"/>
      <c r="N30" s="7"/>
      <c r="O30" s="23" t="s">
        <v>65</v>
      </c>
      <c r="P30" s="41">
        <v>1.45</v>
      </c>
      <c r="Q30" s="143">
        <f>135000/P16</f>
        <v>13500</v>
      </c>
      <c r="R30" s="7"/>
      <c r="S30" s="7"/>
      <c r="T30" s="7"/>
      <c r="U30" s="7"/>
      <c r="V30" s="7"/>
      <c r="W30" s="8"/>
      <c r="X30" s="7"/>
      <c r="Y30" s="140" t="s">
        <v>98</v>
      </c>
      <c r="Z30" s="141"/>
      <c r="AA30" s="39"/>
      <c r="AB30" s="39"/>
      <c r="AC30" s="9"/>
      <c r="AD30" s="62">
        <v>20</v>
      </c>
      <c r="AE30" s="77">
        <f t="shared" si="4"/>
        <v>0.50800000000000001</v>
      </c>
      <c r="AF30" s="7"/>
      <c r="AG30" s="62">
        <v>3.5</v>
      </c>
      <c r="AH30" s="76">
        <f t="shared" si="6"/>
        <v>2609.949552</v>
      </c>
      <c r="AI30" s="10"/>
      <c r="AJ30" s="65">
        <f t="shared" si="5"/>
        <v>4.9603949999999992</v>
      </c>
      <c r="AK30" s="73">
        <v>2.25</v>
      </c>
      <c r="AL30" s="10"/>
    </row>
    <row r="31" spans="2:38" ht="15.75" thickBot="1" x14ac:dyDescent="0.3">
      <c r="B31" s="36"/>
      <c r="C31" s="129" t="s">
        <v>45</v>
      </c>
      <c r="D31" s="130"/>
      <c r="E31" s="130"/>
      <c r="F31" s="130"/>
      <c r="G31" s="130"/>
      <c r="H31" s="130"/>
      <c r="I31" s="130"/>
      <c r="J31" s="130"/>
      <c r="K31" s="131"/>
      <c r="L31" s="7"/>
      <c r="M31" s="8"/>
      <c r="N31" s="7"/>
      <c r="O31" s="23" t="s">
        <v>33</v>
      </c>
      <c r="P31" s="41">
        <v>1.3</v>
      </c>
      <c r="Q31" s="143">
        <f>165000/P16</f>
        <v>16500</v>
      </c>
      <c r="R31" s="7"/>
      <c r="S31" s="98"/>
      <c r="T31" s="98"/>
      <c r="U31" s="98"/>
      <c r="V31" s="7"/>
      <c r="W31" s="8"/>
      <c r="X31" s="7"/>
      <c r="Y31" s="139" t="s">
        <v>126</v>
      </c>
      <c r="Z31" s="13"/>
      <c r="AA31" s="39"/>
      <c r="AB31" s="39"/>
      <c r="AC31" s="9"/>
      <c r="AD31" s="62">
        <v>21</v>
      </c>
      <c r="AE31" s="77">
        <f t="shared" si="4"/>
        <v>0.53339999999999999</v>
      </c>
      <c r="AF31" s="7"/>
      <c r="AG31" s="62">
        <v>4.5</v>
      </c>
      <c r="AH31" s="76">
        <f t="shared" si="6"/>
        <v>3355.6494240000002</v>
      </c>
      <c r="AI31" s="10"/>
      <c r="AJ31" s="65">
        <f t="shared" si="5"/>
        <v>5.5115499999999997</v>
      </c>
      <c r="AK31" s="73">
        <v>2.5</v>
      </c>
      <c r="AL31" s="10"/>
    </row>
    <row r="32" spans="2:38" x14ac:dyDescent="0.25">
      <c r="B32" s="36"/>
      <c r="C32" s="81" t="s">
        <v>59</v>
      </c>
      <c r="D32" s="59" t="s">
        <v>57</v>
      </c>
      <c r="E32" s="74" t="s">
        <v>58</v>
      </c>
      <c r="F32" s="122" t="s">
        <v>60</v>
      </c>
      <c r="G32" s="123"/>
      <c r="H32" s="124" t="s">
        <v>67</v>
      </c>
      <c r="I32" s="125"/>
      <c r="J32" s="125"/>
      <c r="K32" s="126"/>
      <c r="L32" s="7"/>
      <c r="M32" s="8"/>
      <c r="N32" s="7"/>
      <c r="O32" s="23" t="s">
        <v>34</v>
      </c>
      <c r="P32" s="41">
        <v>0.95</v>
      </c>
      <c r="Q32" s="143">
        <f>165000/P16</f>
        <v>16500</v>
      </c>
      <c r="R32" s="7"/>
      <c r="S32" s="7"/>
      <c r="T32" s="97"/>
      <c r="U32" s="7"/>
      <c r="V32" s="7"/>
      <c r="W32" s="8"/>
      <c r="X32" s="7"/>
      <c r="Y32" s="7"/>
      <c r="Z32" s="7"/>
      <c r="AA32" s="39"/>
      <c r="AB32" s="39"/>
      <c r="AC32" s="9"/>
      <c r="AD32" s="62">
        <v>22</v>
      </c>
      <c r="AE32" s="77">
        <f t="shared" si="4"/>
        <v>0.55879999999999996</v>
      </c>
      <c r="AF32" s="7"/>
      <c r="AG32" s="62">
        <v>5.5</v>
      </c>
      <c r="AH32" s="76">
        <f t="shared" si="6"/>
        <v>4101.3492960000003</v>
      </c>
      <c r="AI32" s="10"/>
      <c r="AJ32" s="65">
        <f t="shared" si="5"/>
        <v>6.0627049999999993</v>
      </c>
      <c r="AK32" s="73">
        <v>2.75</v>
      </c>
      <c r="AL32" s="10"/>
    </row>
    <row r="33" spans="2:38" ht="15.75" thickBot="1" x14ac:dyDescent="0.3">
      <c r="B33" s="36"/>
      <c r="C33" s="80" t="s">
        <v>61</v>
      </c>
      <c r="D33" s="127" t="s">
        <v>62</v>
      </c>
      <c r="E33" s="127"/>
      <c r="F33" s="127"/>
      <c r="G33" s="127"/>
      <c r="H33" s="127"/>
      <c r="I33" s="127"/>
      <c r="J33" s="127"/>
      <c r="K33" s="128"/>
      <c r="L33" s="7"/>
      <c r="M33" s="8"/>
      <c r="N33" s="7"/>
      <c r="O33" s="24" t="s">
        <v>35</v>
      </c>
      <c r="P33" s="43">
        <v>1.1000000000000001</v>
      </c>
      <c r="Q33" s="144" t="s">
        <v>53</v>
      </c>
      <c r="R33" s="7"/>
      <c r="S33" s="7"/>
      <c r="T33" s="97"/>
      <c r="U33" s="7"/>
      <c r="V33" s="7"/>
      <c r="W33" s="8"/>
      <c r="X33" s="7"/>
      <c r="Y33" s="7"/>
      <c r="Z33" s="7"/>
      <c r="AA33" s="39"/>
      <c r="AB33" s="39"/>
      <c r="AC33" s="9"/>
      <c r="AD33" s="63">
        <v>23</v>
      </c>
      <c r="AE33" s="77">
        <f t="shared" si="4"/>
        <v>0.58419999999999994</v>
      </c>
      <c r="AF33" s="7"/>
      <c r="AG33" s="63">
        <v>6.5</v>
      </c>
      <c r="AH33" s="76">
        <f t="shared" si="6"/>
        <v>4847.0491680000005</v>
      </c>
      <c r="AI33" s="10"/>
      <c r="AJ33" s="66">
        <f t="shared" si="5"/>
        <v>6.613859999999999</v>
      </c>
      <c r="AK33" s="73">
        <v>3</v>
      </c>
      <c r="AL33" s="10"/>
    </row>
    <row r="34" spans="2:38" ht="8.25" customHeight="1" thickBot="1" x14ac:dyDescent="0.3">
      <c r="B34" s="3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5"/>
      <c r="X34" s="14"/>
      <c r="Y34" s="14"/>
      <c r="Z34" s="14"/>
      <c r="AA34" s="79"/>
      <c r="AB34" s="79"/>
      <c r="AC34" s="16"/>
      <c r="AD34" s="14"/>
      <c r="AE34" s="14"/>
      <c r="AF34" s="14"/>
      <c r="AG34" s="14"/>
      <c r="AH34" s="14"/>
      <c r="AI34" s="14"/>
      <c r="AJ34" s="26"/>
      <c r="AK34" s="14"/>
      <c r="AL34" s="17"/>
    </row>
    <row r="35" spans="2:38" s="31" customFormat="1" x14ac:dyDescent="0.25">
      <c r="N35" s="7"/>
    </row>
    <row r="36" spans="2:38" s="31" customFormat="1" x14ac:dyDescent="0.25">
      <c r="N36" s="7"/>
    </row>
    <row r="37" spans="2:38" s="31" customFormat="1" x14ac:dyDescent="0.25">
      <c r="N37" s="7"/>
    </row>
    <row r="38" spans="2:38" s="31" customFormat="1" x14ac:dyDescent="0.25">
      <c r="N38" s="7"/>
    </row>
    <row r="39" spans="2:38" s="31" customFormat="1" x14ac:dyDescent="0.25">
      <c r="N39" s="7"/>
      <c r="R39" s="82"/>
    </row>
    <row r="40" spans="2:38" s="31" customFormat="1" x14ac:dyDescent="0.25">
      <c r="N40" s="7"/>
    </row>
    <row r="41" spans="2:38" s="31" customFormat="1" x14ac:dyDescent="0.25">
      <c r="N41" s="7"/>
    </row>
    <row r="42" spans="2:38" s="31" customFormat="1" x14ac:dyDescent="0.25">
      <c r="N42" s="7"/>
    </row>
    <row r="43" spans="2:38" s="31" customFormat="1" x14ac:dyDescent="0.25">
      <c r="N43" s="7"/>
    </row>
    <row r="44" spans="2:38" s="31" customFormat="1" x14ac:dyDescent="0.25">
      <c r="N44" s="7"/>
    </row>
    <row r="45" spans="2:38" s="31" customFormat="1" x14ac:dyDescent="0.25">
      <c r="N45" s="7"/>
    </row>
    <row r="46" spans="2:38" s="31" customFormat="1" x14ac:dyDescent="0.25">
      <c r="N46" s="7"/>
    </row>
    <row r="47" spans="2:38" s="31" customFormat="1" x14ac:dyDescent="0.25">
      <c r="N47" s="7"/>
    </row>
    <row r="48" spans="2:38" s="31" customFormat="1" x14ac:dyDescent="0.25">
      <c r="N48" s="7"/>
    </row>
    <row r="49" spans="14:14" s="31" customFormat="1" x14ac:dyDescent="0.25">
      <c r="N49" s="7"/>
    </row>
    <row r="50" spans="14:14" s="31" customFormat="1" x14ac:dyDescent="0.25">
      <c r="N50" s="7"/>
    </row>
    <row r="51" spans="14:14" s="31" customFormat="1" x14ac:dyDescent="0.25">
      <c r="N51" s="7"/>
    </row>
    <row r="52" spans="14:14" s="31" customFormat="1" x14ac:dyDescent="0.25">
      <c r="N52" s="7"/>
    </row>
    <row r="53" spans="14:14" s="31" customFormat="1" x14ac:dyDescent="0.25">
      <c r="N53" s="7"/>
    </row>
    <row r="54" spans="14:14" s="31" customFormat="1" x14ac:dyDescent="0.25">
      <c r="N54" s="7"/>
    </row>
    <row r="55" spans="14:14" s="31" customFormat="1" x14ac:dyDescent="0.25">
      <c r="N55" s="7"/>
    </row>
    <row r="56" spans="14:14" s="31" customFormat="1" x14ac:dyDescent="0.25">
      <c r="N56" s="7"/>
    </row>
    <row r="57" spans="14:14" s="31" customFormat="1" x14ac:dyDescent="0.25">
      <c r="N57" s="7"/>
    </row>
    <row r="58" spans="14:14" s="31" customFormat="1" x14ac:dyDescent="0.25">
      <c r="N58" s="7"/>
    </row>
    <row r="59" spans="14:14" s="31" customFormat="1" x14ac:dyDescent="0.25">
      <c r="N59" s="7"/>
    </row>
    <row r="60" spans="14:14" s="31" customFormat="1" x14ac:dyDescent="0.25">
      <c r="N60" s="7"/>
    </row>
    <row r="61" spans="14:14" s="31" customFormat="1" x14ac:dyDescent="0.25">
      <c r="N61" s="7"/>
    </row>
    <row r="62" spans="14:14" s="31" customFormat="1" x14ac:dyDescent="0.25">
      <c r="N62" s="7"/>
    </row>
    <row r="63" spans="14:14" s="31" customFormat="1" x14ac:dyDescent="0.25">
      <c r="N63" s="7"/>
    </row>
    <row r="64" spans="14:14" s="31" customFormat="1" x14ac:dyDescent="0.25">
      <c r="N64" s="7"/>
    </row>
  </sheetData>
  <mergeCells count="28">
    <mergeCell ref="Y9:Z9"/>
    <mergeCell ref="Y5:Z5"/>
    <mergeCell ref="Y23:Z23"/>
    <mergeCell ref="Y30:Z30"/>
    <mergeCell ref="Y21:Z21"/>
    <mergeCell ref="Y17:Z17"/>
    <mergeCell ref="Y14:Z14"/>
    <mergeCell ref="F32:G32"/>
    <mergeCell ref="H32:K32"/>
    <mergeCell ref="D33:K33"/>
    <mergeCell ref="C31:K31"/>
    <mergeCell ref="S20:U20"/>
    <mergeCell ref="S26:U26"/>
    <mergeCell ref="AD3:AK3"/>
    <mergeCell ref="C3:K3"/>
    <mergeCell ref="Y3:Z3"/>
    <mergeCell ref="J10:K10"/>
    <mergeCell ref="O24:Q24"/>
    <mergeCell ref="O3:U3"/>
    <mergeCell ref="J5:K5"/>
    <mergeCell ref="O5:Q5"/>
    <mergeCell ref="S5:U5"/>
    <mergeCell ref="O10:Q10"/>
    <mergeCell ref="O8:Q8"/>
    <mergeCell ref="O15:Q15"/>
    <mergeCell ref="O18:Q18"/>
    <mergeCell ref="S13:U13"/>
    <mergeCell ref="S14:U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Familleprimeau</dc:creator>
  <cp:lastModifiedBy>Familleprimeau</cp:lastModifiedBy>
  <dcterms:created xsi:type="dcterms:W3CDTF">2012-06-03T02:33:30Z</dcterms:created>
  <dcterms:modified xsi:type="dcterms:W3CDTF">2014-03-12T01:20:52Z</dcterms:modified>
</cp:coreProperties>
</file>