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tabRatio="655"/>
  </bookViews>
  <sheets>
    <sheet name="CadastroEqGeral" sheetId="1" r:id="rId1"/>
    <sheet name="CadastroEqTC" sheetId="2" r:id="rId2"/>
    <sheet name="CadastroEqCS" sheetId="3" r:id="rId3"/>
    <sheet name="CadastroEqDJ" sheetId="4" r:id="rId4"/>
    <sheet name="CadastroEqPR" sheetId="5" r:id="rId5"/>
    <sheet name="CadastroEqTP" sheetId="6" r:id="rId6"/>
    <sheet name="CadastroEqTRAFO" sheetId="7" r:id="rId7"/>
    <sheet name="EnsaioInspecao" sheetId="9" r:id="rId8"/>
    <sheet name="PROCV" sheetId="8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I2" i="1"/>
  <c r="J2" i="1" s="1"/>
  <c r="F3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M1" i="1" l="1"/>
  <c r="O1" i="1" s="1"/>
  <c r="N1" i="1"/>
  <c r="F9" i="1"/>
  <c r="F6" i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0" i="1" l="1"/>
  <c r="F3" i="1"/>
  <c r="F4" i="1"/>
  <c r="F5" i="1"/>
  <c r="F7" i="1"/>
  <c r="F8" i="1"/>
</calcChain>
</file>

<file path=xl/sharedStrings.xml><?xml version="1.0" encoding="utf-8"?>
<sst xmlns="http://schemas.openxmlformats.org/spreadsheetml/2006/main" count="426" uniqueCount="154">
  <si>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</si>
  <si>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</si>
  <si>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</si>
  <si>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</si>
  <si>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</si>
  <si>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</si>
  <si>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</si>
  <si>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</si>
  <si>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</si>
  <si>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</si>
  <si>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</si>
  <si>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</si>
  <si>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</si>
  <si>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</si>
  <si>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</si>
  <si>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</si>
  <si>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</si>
  <si>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</si>
  <si>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</si>
  <si>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</si>
  <si>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</si>
  <si>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</si>
  <si>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</si>
  <si>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</si>
  <si>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</si>
  <si>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</si>
  <si>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</si>
  <si>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</si>
  <si>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</si>
  <si>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</si>
  <si>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</si>
  <si>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</si>
  <si>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</si>
  <si>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</si>
  <si>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</si>
  <si>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</si>
  <si>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</si>
  <si>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</si>
  <si>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</si>
  <si>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</si>
  <si>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</si>
  <si>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</si>
  <si>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</si>
  <si>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</si>
  <si>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</si>
  <si>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</si>
  <si>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</si>
  <si>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</si>
  <si>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</si>
  <si>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</si>
  <si>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</si>
  <si>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</si>
  <si>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</si>
  <si>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</si>
  <si>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</si>
  <si>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</si>
  <si>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</si>
  <si>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</si>
  <si>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</si>
  <si>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</si>
  <si>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</si>
  <si>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</si>
  <si>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</si>
  <si>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</si>
  <si>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</si>
  <si>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</si>
  <si>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</si>
  <si>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</si>
  <si>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</si>
  <si>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</si>
  <si>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</si>
  <si>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</si>
  <si>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</si>
  <si>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</si>
  <si>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</si>
  <si>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</si>
  <si>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</si>
  <si>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</si>
  <si>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</si>
  <si>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</si>
  <si>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</si>
  <si>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</si>
  <si>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</si>
  <si>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</si>
  <si>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</si>
  <si>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</si>
  <si>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</si>
  <si>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</si>
  <si>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</si>
  <si>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</si>
  <si>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</si>
  <si>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</si>
  <si>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</si>
  <si>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</si>
  <si>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</si>
  <si>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</si>
  <si>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Procv Chave Seccionadora</t>
  </si>
  <si>
    <t>Magazineluiza Vila Industrial</t>
  </si>
  <si>
    <t>União</t>
  </si>
  <si>
    <t>SEG</t>
  </si>
  <si>
    <t>1,52</t>
  </si>
  <si>
    <t>Chapas Externas</t>
  </si>
  <si>
    <t>Coluna1</t>
  </si>
  <si>
    <t>Coluna2</t>
  </si>
  <si>
    <t>2Transformador de PotencialLogitech EletronicsCabine Primária</t>
  </si>
  <si>
    <t>4Para-RaiosUltra VentiladoresCabine Secundária</t>
  </si>
  <si>
    <t>9DisjuntorEdifier Soluções AudiovisuaisCabine Primária</t>
  </si>
  <si>
    <t>11Transformador de PotênciaMagazineluiza Vila IndustrialCabine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</si>
  <si>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</si>
  <si>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</si>
  <si>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</si>
  <si>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</si>
  <si>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</si>
  <si>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</si>
  <si>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</si>
  <si>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</si>
  <si>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</si>
  <si>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</si>
  <si>
    <t>StatusInspecao</t>
  </si>
  <si>
    <t>DataUltimaInspecao</t>
  </si>
  <si>
    <t>VazamentoOleo</t>
  </si>
  <si>
    <t>Isoladores</t>
  </si>
  <si>
    <t>BuchasAT</t>
  </si>
  <si>
    <t>BuchasBT</t>
  </si>
  <si>
    <t>Aterramento</t>
  </si>
  <si>
    <t>Reaperto</t>
  </si>
  <si>
    <t>Limpeza</t>
  </si>
  <si>
    <t>Fixação</t>
  </si>
  <si>
    <t>Lubrificação</t>
  </si>
  <si>
    <t>Mecanismo</t>
  </si>
  <si>
    <t>Ensaio Isolação</t>
  </si>
  <si>
    <t>Ensaio Relação</t>
  </si>
  <si>
    <t>Ensaio Contatos</t>
  </si>
  <si>
    <t>Ensaio Enrolamentos</t>
  </si>
  <si>
    <t>ConcatStatus1</t>
  </si>
  <si>
    <t>ConcatStatus2</t>
  </si>
  <si>
    <t>2Transformador de PotencialLogitech EletronicsCabine PrimáriaNenhuma</t>
  </si>
  <si>
    <t>11Transformador de PotênciaMagazineluiza Vila IndustrialCabine SecundáriaNenhuma</t>
  </si>
  <si>
    <t>13Chave SeccionadoraDelta PCabine PrimáriaNenhuma</t>
  </si>
  <si>
    <t>Elgin Baterias SA</t>
  </si>
  <si>
    <t>5Para-RaiosElgin Baterias SACabine Secundária</t>
  </si>
  <si>
    <t>5Para-RaiosElgin Baterias SACabine SecundáriaNenhuma</t>
  </si>
  <si>
    <t>Ultra Ventiladores SA</t>
  </si>
  <si>
    <t>1Transformador de PotencialUltra Ventiladores SACabine Primária</t>
  </si>
  <si>
    <t>3Transformador de CorrenteUltra Ventiladores SACabine Primária</t>
  </si>
  <si>
    <t>3Transformador de CorrenteUltra Ventiladores SACabine PrimáriaNenhuma</t>
  </si>
  <si>
    <t>Não Aplicável</t>
  </si>
  <si>
    <t>Satisfatório</t>
  </si>
  <si>
    <t>1Transformador de PotencialUltra Ventiladores SACabine PrimáriaOK</t>
  </si>
  <si>
    <t>9DisjuntorEdifier Soluções AudiovisuaisCabine PrimáriaOK</t>
  </si>
  <si>
    <t>4Para-RaiosUltra VentiladoresCabine SecundáriaOK</t>
  </si>
  <si>
    <t>Casas Bahia</t>
  </si>
  <si>
    <t>10Chave SeccionadoraCasas BahiaCabine Secundária</t>
  </si>
  <si>
    <t>10Chave SeccionadoraCasas BahiaCabine SecundáriaOK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</si>
</sst>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3" xfId="0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9"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164" formatCode="0.0"/>
    </dxf>
    <dxf>
      <numFmt numFmtId="1" formatCode="0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165" formatCode="m/d/yyyy"/>
    </dxf>
    <dxf>
      <numFmt numFmtId="30" formatCode="@"/>
    </dxf>
    <dxf>
      <numFmt numFmtId="30" formatCode="@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ela2" displayName="Tabela2" ref="A1:K10" totalsRowShown="0" headerRowDxfId="38">
  <autoFilter ref="A1:K10">
    <filterColumn colId="0" hiddenButton="1"/>
    <filterColumn colId="1" hiddenButton="1"/>
    <filterColumn colId="2" hiddenButton="1"/>
    <filterColumn colId="3" hiddenButton="1"/>
    <filterColumn colId="4" hiddenButton="1"/>
  </autoFilter>
  <tableColumns count="11">
    <tableColumn id="1" name="Codigo" dataDxfId="37"/>
    <tableColumn id="2" name="TipoDeEquipamento" dataDxfId="36"/>
    <tableColumn id="3" name="Cliente" dataDxfId="35"/>
    <tableColumn id="4" name="Identificacao" dataDxfId="34"/>
    <tableColumn id="5" name="DataCadastro" dataDxfId="33"/>
    <tableColumn id="11" name="Coluna1" dataDxfId="32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31"/>
    <tableColumn id="6" name="DataUltimaInspecao" dataDxfId="30"/>
    <tableColumn id="7" name="StatusInspecao" dataDxfId="29">
      <calculatedColumnFormula>IF(Tabela2[[#This Row],[DataUltimaInspecao]] = 0,"Nenhuma",IF(Tabela2[[#This Row],[DataUltimaInspecao]] + 30 &lt; TODAY(),"Atrasada","OK"))</calculatedColumnFormula>
    </tableColumn>
    <tableColumn id="8" name="ConcatStatus1" dataDxfId="28">
      <calculatedColumnFormula>CONCATENATE(Tabela2[[#This Row],[Codigo]],Tabela2[[#This Row],[TipoDeEquipamento]],Tabela2[[#This Row],[Cliente]],Tabela2[[#This Row],[Identificacao]], Tabela2[[#This Row],[StatusInspecao]])</calculatedColumnFormula>
    </tableColumn>
    <tableColumn id="9" name="ConcatStatus2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3" totalsRowShown="0">
  <autoFilter ref="A1:K3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2" totalsRowShown="0" headerRowDxfId="1">
  <autoFilter ref="A1:S2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O10"/>
  <sheetViews>
    <sheetView tabSelected="1" workbookViewId="0">
      <selection activeCell="F10" sqref="F10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  <col min="7" max="7" width="70.42578125" bestFit="1" customWidth="1"/>
    <col min="8" max="8" width="21.42578125" style="3" bestFit="1" customWidth="1"/>
    <col min="9" max="9" width="16.7109375" bestFit="1" customWidth="1"/>
    <col min="10" max="11" width="79.5703125" bestFit="1" customWidth="1"/>
    <col min="13" max="13" width="16.7109375" bestFit="1" customWidth="1"/>
    <col min="14" max="14" width="15.7109375" bestFit="1" customWidth="1"/>
  </cols>
  <sheetData>
    <row r="1" spans="1:15" ht="16.5" thickTop="1" thickBot="1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102</v>
      </c>
      <c r="G1" s="2" t="s">
        <v>103</v>
      </c>
      <c r="H1" s="3" t="s">
        <v>119</v>
      </c>
      <c r="I1" t="s">
        <v>118</v>
      </c>
      <c r="J1" s="2" t="s">
        <v>134</v>
      </c>
      <c r="K1" s="2" t="s">
        <v>135</v>
      </c>
      <c r="M1" s="27">
        <f ca="1">COUNTIF(Tabela2[StatusInspecao],"Nenhuma")</f>
        <v>5</v>
      </c>
      <c r="N1" s="27">
        <f ca="1">COUNTIF(Tabela2[StatusInspecao],"Atrasada")</f>
        <v>0</v>
      </c>
      <c r="O1" s="27">
        <f ca="1">SUM(M1:N1)</f>
        <v>5</v>
      </c>
    </row>
    <row r="2" spans="1:15" ht="15.75" thickTop="1" x14ac:dyDescent="0.25">
      <c r="A2" s="4">
        <v>1</v>
      </c>
      <c r="B2" s="2" t="s">
        <v>48</v>
      </c>
      <c r="C2" s="2" t="s">
        <v>142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 SACabine Primária</v>
      </c>
      <c r="G2" s="2" t="s">
        <v>143</v>
      </c>
      <c r="H2" s="3">
        <v>45024</v>
      </c>
      <c r="I2" t="str">
        <f ca="1">IF(Tabela2[[#This Row],[DataUltimaInspecao]] = 0,"Nenhuma",IF(Tabela2[[#This Row],[DataUltimaInspecao]] + 30 &lt; TODAY(),"Atrasada","OK"))</f>
        <v>OK</v>
      </c>
      <c r="J2" t="str">
        <f ca="1">CONCATENATE(Tabela2[[#This Row],[Codigo]],Tabela2[[#This Row],[TipoDeEquipamento]],Tabela2[[#This Row],[Cliente]],Tabela2[[#This Row],[Identificacao]], Tabela2[[#This Row],[StatusInspecao]])</f>
        <v>1Transformador de PotencialUltra Ventiladores SACabine PrimáriaOK</v>
      </c>
      <c r="K2" t="s">
        <v>148</v>
      </c>
    </row>
    <row r="3" spans="1:15" ht="15.75" thickTop="1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104</v>
      </c>
      <c r="I3" t="str">
        <f ca="1">IF(Tabela2[[#This Row],[DataUltimaInspecao]] = 0,"Nenhuma",IF(Tabela2[[#This Row],[DataUltimaInspecao]] + 30 &lt; TODAY(),"Atrasada","OK"))</f>
        <v>Nenhuma</v>
      </c>
      <c r="J3" t="str">
        <f ca="1">CONCATENATE(Tabela2[[#This Row],[Codigo]],Tabela2[[#This Row],[TipoDeEquipamento]],Tabela2[[#This Row],[Cliente]],Tabela2[[#This Row],[Identificacao]], Tabela2[[#This Row],[StatusInspecao]])</f>
        <v>2Transformador de PotencialLogitech EletronicsCabine PrimáriaNenhuma</v>
      </c>
      <c r="K3" t="s">
        <v>136</v>
      </c>
    </row>
    <row r="4" spans="1:15" x14ac:dyDescent="0.25">
      <c r="A4" s="4">
        <v>3</v>
      </c>
      <c r="B4" s="2" t="s">
        <v>52</v>
      </c>
      <c r="C4" s="2" t="s">
        <v>142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 SACabine Primária</v>
      </c>
      <c r="G4" s="2" t="s">
        <v>144</v>
      </c>
      <c r="I4" t="str">
        <f ca="1">IF(Tabela2[[#This Row],[DataUltimaInspecao]] = 0,"Nenhuma",IF(Tabela2[[#This Row],[DataUltimaInspecao]] + 30 &lt; TODAY(),"Atrasada","OK"))</f>
        <v>Nenhuma</v>
      </c>
      <c r="J4" t="str">
        <f ca="1">CONCATENATE(Tabela2[[#This Row],[Codigo]],Tabela2[[#This Row],[TipoDeEquipamento]],Tabela2[[#This Row],[Cliente]],Tabela2[[#This Row],[Identificacao]], Tabela2[[#This Row],[StatusInspecao]])</f>
        <v>3Transformador de CorrenteUltra Ventiladores SACabine PrimáriaNenhuma</v>
      </c>
      <c r="K4" t="s">
        <v>145</v>
      </c>
    </row>
    <row r="5" spans="1:15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105</v>
      </c>
      <c r="H5" s="3">
        <v>45024</v>
      </c>
      <c r="I5" t="str">
        <f ca="1">IF(Tabela2[[#This Row],[DataUltimaInspecao]] = 0,"Nenhuma",IF(Tabela2[[#This Row],[DataUltimaInspecao]] + 30 &lt; TODAY(),"Atrasada","OK"))</f>
        <v>OK</v>
      </c>
      <c r="J5" t="str">
        <f ca="1">CONCATENATE(Tabela2[[#This Row],[Codigo]],Tabela2[[#This Row],[TipoDeEquipamento]],Tabela2[[#This Row],[Cliente]],Tabela2[[#This Row],[Identificacao]], Tabela2[[#This Row],[StatusInspecao]])</f>
        <v>4Para-RaiosUltra VentiladoresCabine SecundáriaOK</v>
      </c>
      <c r="K5" t="s">
        <v>150</v>
      </c>
    </row>
    <row r="6" spans="1:15" x14ac:dyDescent="0.25">
      <c r="A6" s="4">
        <v>5</v>
      </c>
      <c r="B6" s="2" t="s">
        <v>57</v>
      </c>
      <c r="C6" s="2" t="s">
        <v>139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 SACabine Secundária</v>
      </c>
      <c r="G6" s="2" t="s">
        <v>140</v>
      </c>
      <c r="I6" t="str">
        <f ca="1">IF(Tabela2[[#This Row],[DataUltimaInspecao]] = 0,"Nenhuma",IF(Tabela2[[#This Row],[DataUltimaInspecao]] + 30 &lt; TODAY(),"Atrasada","OK"))</f>
        <v>Nenhuma</v>
      </c>
      <c r="J6" t="str">
        <f ca="1">CONCATENATE(Tabela2[[#This Row],[Codigo]],Tabela2[[#This Row],[TipoDeEquipamento]],Tabela2[[#This Row],[Cliente]],Tabela2[[#This Row],[Identificacao]], Tabela2[[#This Row],[StatusInspecao]])</f>
        <v>5Para-RaiosElgin Baterias SACabine SecundáriaNenhuma</v>
      </c>
      <c r="K6" t="s">
        <v>141</v>
      </c>
    </row>
    <row r="7" spans="1:15" x14ac:dyDescent="0.25">
      <c r="A7" s="4">
        <v>9</v>
      </c>
      <c r="B7" s="2" t="s">
        <v>64</v>
      </c>
      <c r="C7" s="2" t="s">
        <v>94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106</v>
      </c>
      <c r="H7" s="3">
        <v>45024</v>
      </c>
      <c r="I7" t="str">
        <f ca="1">IF(Tabela2[[#This Row],[DataUltimaInspecao]] = 0,"Nenhuma",IF(Tabela2[[#This Row],[DataUltimaInspecao]] + 30 &lt; TODAY(),"Atrasada","OK"))</f>
        <v>OK</v>
      </c>
      <c r="J7" t="str">
        <f ca="1">CONCATENATE(Tabela2[[#This Row],[Codigo]],Tabela2[[#This Row],[TipoDeEquipamento]],Tabela2[[#This Row],[Cliente]],Tabela2[[#This Row],[Identificacao]], Tabela2[[#This Row],[StatusInspecao]])</f>
        <v>9DisjuntorEdifier Soluções AudiovisuaisCabine PrimáriaOK</v>
      </c>
      <c r="K7" t="s">
        <v>149</v>
      </c>
    </row>
    <row r="8" spans="1:15" x14ac:dyDescent="0.25">
      <c r="A8" s="4">
        <v>10</v>
      </c>
      <c r="B8" s="2" t="s">
        <v>41</v>
      </c>
      <c r="C8" s="2" t="s">
        <v>151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SeccionadoraCasas BahiaCabine Secundária</v>
      </c>
      <c r="G8" s="2" t="s">
        <v>152</v>
      </c>
      <c r="H8" s="3">
        <v>45025</v>
      </c>
      <c r="I8" t="str">
        <f ca="1">IF(Tabela2[[#This Row],[DataUltimaInspecao]] = 0,"Nenhuma",IF(Tabela2[[#This Row],[DataUltimaInspecao]] + 30 &lt; TODAY(),"Atrasada","OK"))</f>
        <v>OK</v>
      </c>
      <c r="J8" t="str">
        <f ca="1">CONCATENATE(Tabela2[[#This Row],[Codigo]],Tabela2[[#This Row],[TipoDeEquipamento]],Tabela2[[#This Row],[Cliente]],Tabela2[[#This Row],[Identificacao]], Tabela2[[#This Row],[StatusInspecao]])</f>
        <v>10Chave SeccionadoraCasas BahiaCabine SecundáriaOK</v>
      </c>
      <c r="K8" t="s">
        <v>153</v>
      </c>
    </row>
    <row r="9" spans="1:15" x14ac:dyDescent="0.25">
      <c r="A9" s="4">
        <v>11</v>
      </c>
      <c r="B9" s="2" t="s">
        <v>61</v>
      </c>
      <c r="C9" s="2" t="s">
        <v>97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107</v>
      </c>
      <c r="I9" t="str">
        <f ca="1">IF(Tabela2[[#This Row],[DataUltimaInspecao]] = 0,"Nenhuma",IF(Tabela2[[#This Row],[DataUltimaInspecao]] + 30 &lt; TODAY(),"Atrasada","OK"))</f>
        <v>Nenhuma</v>
      </c>
      <c r="J9" t="str">
        <f ca="1">CONCATENATE(Tabela2[[#This Row],[Codigo]],Tabela2[[#This Row],[TipoDeEquipamento]],Tabela2[[#This Row],[Cliente]],Tabela2[[#This Row],[Identificacao]], Tabela2[[#This Row],[StatusInspecao]])</f>
        <v>11Transformador de PotênciaMagazineluiza Vila IndustrialCabine SecundáriaNenhuma</v>
      </c>
      <c r="K9" t="s">
        <v>137</v>
      </c>
    </row>
    <row r="10" spans="1:15" x14ac:dyDescent="0.25">
      <c r="A10" s="4">
        <v>13</v>
      </c>
      <c r="B10" s="2" t="s">
        <v>41</v>
      </c>
      <c r="C10" s="2" t="s">
        <v>108</v>
      </c>
      <c r="D10" s="2" t="s">
        <v>42</v>
      </c>
      <c r="E10" s="3">
        <v>45013</v>
      </c>
      <c r="F10" s="2" t="str">
        <f>CONCATENATE(Tabela2[[#This Row],[Codigo]],Tabela2[[#This Row],[TipoDeEquipamento]],Tabela2[[#This Row],[Cliente]],Tabela2[[#This Row],[Identificacao]])</f>
        <v>13Chave SeccionadoraDelta PCabine Primária</v>
      </c>
      <c r="G10" s="2" t="s">
        <v>117</v>
      </c>
      <c r="I10" t="str">
        <f ca="1">IF(Tabela2[[#This Row],[DataUltimaInspecao]] = 0,"Nenhuma",IF(Tabela2[[#This Row],[DataUltimaInspecao]] + 30 &lt; TODAY(),"Atrasada","OK"))</f>
        <v>Nenhuma</v>
      </c>
      <c r="J10" t="str">
        <f ca="1">CONCATENATE(Tabela2[[#This Row],[Codigo]],Tabela2[[#This Row],[TipoDeEquipamento]],Tabela2[[#This Row],[Cliente]],Tabela2[[#This Row],[Identificacao]], Tabela2[[#This Row],[StatusInspecao]])</f>
        <v>13Chave SeccionadoraDelta PCabine PrimáriaNenhuma</v>
      </c>
      <c r="K10" t="s">
        <v>138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142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3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151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13</v>
      </c>
      <c r="B3" t="s">
        <v>108</v>
      </c>
      <c r="C3" t="s">
        <v>42</v>
      </c>
      <c r="D3" t="s">
        <v>89</v>
      </c>
      <c r="E3" t="s">
        <v>109</v>
      </c>
      <c r="F3" t="s">
        <v>110</v>
      </c>
      <c r="G3" t="s">
        <v>43</v>
      </c>
      <c r="H3" s="4">
        <v>400</v>
      </c>
      <c r="I3" s="5">
        <v>15</v>
      </c>
      <c r="K3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94</v>
      </c>
      <c r="C2" t="s">
        <v>42</v>
      </c>
      <c r="D2" t="s">
        <v>45</v>
      </c>
      <c r="E2" t="s">
        <v>65</v>
      </c>
      <c r="F2">
        <v>2009</v>
      </c>
      <c r="G2" t="s">
        <v>95</v>
      </c>
      <c r="H2">
        <v>630</v>
      </c>
      <c r="I2" t="s">
        <v>93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139</v>
      </c>
      <c r="C3" t="s">
        <v>62</v>
      </c>
      <c r="D3" t="s">
        <v>89</v>
      </c>
      <c r="E3" t="s">
        <v>90</v>
      </c>
      <c r="F3">
        <v>1980</v>
      </c>
      <c r="G3">
        <v>60</v>
      </c>
      <c r="H3">
        <v>12</v>
      </c>
      <c r="I3">
        <v>10</v>
      </c>
      <c r="J3" t="s">
        <v>91</v>
      </c>
      <c r="K3" t="s">
        <v>92</v>
      </c>
      <c r="L3" t="s">
        <v>92</v>
      </c>
      <c r="M3" t="s">
        <v>92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142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2"/>
  <sheetViews>
    <sheetView workbookViewId="0">
      <selection activeCell="C6" sqref="C6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97</v>
      </c>
      <c r="C2" t="s">
        <v>62</v>
      </c>
      <c r="D2" t="s">
        <v>98</v>
      </c>
      <c r="E2" t="s">
        <v>99</v>
      </c>
      <c r="F2">
        <v>2013</v>
      </c>
      <c r="G2">
        <v>4000</v>
      </c>
      <c r="H2">
        <v>259</v>
      </c>
      <c r="I2">
        <v>2000</v>
      </c>
      <c r="J2" t="s">
        <v>100</v>
      </c>
      <c r="K2" t="s">
        <v>51</v>
      </c>
      <c r="L2" t="s">
        <v>68</v>
      </c>
      <c r="M2" t="s">
        <v>63</v>
      </c>
      <c r="N2" t="s">
        <v>101</v>
      </c>
      <c r="O2" t="s">
        <v>98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O10"/>
  <sheetViews>
    <sheetView workbookViewId="0">
      <selection activeCell="A2" sqref="A2:A10"/>
    </sheetView>
  </sheetViews>
  <sheetFormatPr defaultRowHeight="15" x14ac:dyDescent="0.25"/>
  <cols>
    <col min="1" max="1" width="7.140625" bestFit="1" customWidth="1"/>
    <col min="2" max="2" width="15.42578125" style="2" bestFit="1" customWidth="1"/>
    <col min="3" max="3" width="10.7109375" style="2" bestFit="1" customWidth="1"/>
    <col min="4" max="4" width="9.42578125" style="2" bestFit="1" customWidth="1"/>
    <col min="5" max="5" width="9.28515625" style="2" bestFit="1" customWidth="1"/>
    <col min="6" max="6" width="12.42578125" style="2" bestFit="1" customWidth="1"/>
    <col min="7" max="7" width="9.140625" style="2" bestFit="1" customWidth="1"/>
    <col min="8" max="8" width="8.28515625" style="2" bestFit="1" customWidth="1"/>
    <col min="9" max="9" width="7.5703125" style="2" bestFit="1" customWidth="1"/>
    <col min="10" max="10" width="11.5703125" style="2" bestFit="1" customWidth="1"/>
    <col min="11" max="11" width="11.140625" style="2" bestFit="1" customWidth="1"/>
    <col min="12" max="12" width="14.42578125" style="2" bestFit="1" customWidth="1"/>
    <col min="13" max="13" width="14.140625" style="2" bestFit="1" customWidth="1"/>
    <col min="14" max="14" width="15.140625" style="2" bestFit="1" customWidth="1"/>
    <col min="15" max="15" width="19.7109375" style="2" bestFit="1" customWidth="1"/>
  </cols>
  <sheetData>
    <row r="1" spans="1:15" x14ac:dyDescent="0.25">
      <c r="A1" s="4" t="s">
        <v>3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124</v>
      </c>
      <c r="G1" s="2" t="s">
        <v>125</v>
      </c>
      <c r="H1" s="2" t="s">
        <v>126</v>
      </c>
      <c r="I1" s="2" t="s">
        <v>127</v>
      </c>
      <c r="J1" s="2" t="s">
        <v>128</v>
      </c>
      <c r="K1" s="2" t="s">
        <v>129</v>
      </c>
      <c r="L1" s="2" t="s">
        <v>130</v>
      </c>
      <c r="M1" s="2" t="s">
        <v>131</v>
      </c>
      <c r="N1" s="2" t="s">
        <v>132</v>
      </c>
      <c r="O1" s="2" t="s">
        <v>133</v>
      </c>
    </row>
    <row r="2" spans="1:15" x14ac:dyDescent="0.25">
      <c r="A2" s="4">
        <v>1</v>
      </c>
      <c r="B2" s="2" t="s">
        <v>146</v>
      </c>
      <c r="C2" s="2" t="s">
        <v>146</v>
      </c>
      <c r="D2" s="2" t="s">
        <v>147</v>
      </c>
      <c r="E2" s="2" t="s">
        <v>147</v>
      </c>
      <c r="F2" s="2" t="s">
        <v>147</v>
      </c>
      <c r="G2" s="2" t="s">
        <v>147</v>
      </c>
      <c r="H2" s="2" t="s">
        <v>147</v>
      </c>
      <c r="I2" s="2" t="s">
        <v>147</v>
      </c>
      <c r="J2" s="2" t="s">
        <v>147</v>
      </c>
      <c r="K2" s="2" t="s">
        <v>147</v>
      </c>
      <c r="L2" s="2" t="s">
        <v>147</v>
      </c>
      <c r="M2" s="2" t="s">
        <v>146</v>
      </c>
      <c r="N2" s="2" t="s">
        <v>146</v>
      </c>
      <c r="O2" s="2" t="s">
        <v>146</v>
      </c>
    </row>
    <row r="3" spans="1:15" x14ac:dyDescent="0.25">
      <c r="A3" s="4">
        <v>2</v>
      </c>
    </row>
    <row r="4" spans="1:15" x14ac:dyDescent="0.25">
      <c r="A4" s="4">
        <v>3</v>
      </c>
    </row>
    <row r="5" spans="1:15" x14ac:dyDescent="0.25">
      <c r="A5" s="4">
        <v>4</v>
      </c>
      <c r="B5" s="2" t="s">
        <v>146</v>
      </c>
      <c r="C5" s="2" t="s">
        <v>146</v>
      </c>
      <c r="D5" s="2" t="s">
        <v>146</v>
      </c>
      <c r="E5" s="2" t="s">
        <v>146</v>
      </c>
      <c r="F5" s="2" t="s">
        <v>147</v>
      </c>
      <c r="G5" s="2" t="s">
        <v>147</v>
      </c>
      <c r="H5" s="2" t="s">
        <v>147</v>
      </c>
      <c r="I5" s="2" t="s">
        <v>147</v>
      </c>
      <c r="J5" s="2" t="s">
        <v>146</v>
      </c>
      <c r="K5" s="2" t="s">
        <v>146</v>
      </c>
      <c r="L5" s="2" t="s">
        <v>147</v>
      </c>
      <c r="M5" s="2" t="s">
        <v>146</v>
      </c>
      <c r="N5" s="2" t="s">
        <v>146</v>
      </c>
      <c r="O5" s="2" t="s">
        <v>146</v>
      </c>
    </row>
    <row r="6" spans="1:15" x14ac:dyDescent="0.25">
      <c r="A6" s="4">
        <v>5</v>
      </c>
    </row>
    <row r="7" spans="1:15" x14ac:dyDescent="0.25">
      <c r="A7" s="4">
        <v>9</v>
      </c>
      <c r="B7" s="2" t="s">
        <v>146</v>
      </c>
      <c r="C7" s="2" t="s">
        <v>147</v>
      </c>
      <c r="D7" s="2" t="s">
        <v>146</v>
      </c>
      <c r="E7" s="2" t="s">
        <v>146</v>
      </c>
      <c r="F7" s="2" t="s">
        <v>147</v>
      </c>
      <c r="G7" s="2" t="s">
        <v>147</v>
      </c>
      <c r="H7" s="2" t="s">
        <v>147</v>
      </c>
      <c r="I7" s="2" t="s">
        <v>147</v>
      </c>
      <c r="J7" s="2" t="s">
        <v>147</v>
      </c>
      <c r="K7" s="2" t="s">
        <v>147</v>
      </c>
      <c r="L7" s="2" t="s">
        <v>147</v>
      </c>
      <c r="M7" s="2" t="s">
        <v>146</v>
      </c>
      <c r="N7" s="2" t="s">
        <v>147</v>
      </c>
      <c r="O7" s="2" t="s">
        <v>146</v>
      </c>
    </row>
    <row r="8" spans="1:15" x14ac:dyDescent="0.25">
      <c r="A8" s="4">
        <v>10</v>
      </c>
      <c r="B8" s="2" t="s">
        <v>146</v>
      </c>
      <c r="C8" s="2" t="s">
        <v>147</v>
      </c>
      <c r="D8" s="2" t="s">
        <v>146</v>
      </c>
      <c r="E8" s="2" t="s">
        <v>146</v>
      </c>
      <c r="F8" s="2" t="s">
        <v>147</v>
      </c>
      <c r="G8" s="2" t="s">
        <v>147</v>
      </c>
      <c r="H8" s="2" t="s">
        <v>147</v>
      </c>
      <c r="I8" s="2" t="s">
        <v>147</v>
      </c>
      <c r="J8" s="2" t="s">
        <v>146</v>
      </c>
      <c r="K8" s="2" t="s">
        <v>147</v>
      </c>
      <c r="L8" s="2" t="s">
        <v>147</v>
      </c>
      <c r="M8" s="2" t="s">
        <v>146</v>
      </c>
      <c r="N8" s="2" t="s">
        <v>147</v>
      </c>
      <c r="O8" s="2" t="s">
        <v>146</v>
      </c>
    </row>
    <row r="9" spans="1:15" x14ac:dyDescent="0.25">
      <c r="A9" s="4">
        <v>11</v>
      </c>
    </row>
    <row r="10" spans="1:15" x14ac:dyDescent="0.25">
      <c r="A10" s="4">
        <v>13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4"/>
  <sheetViews>
    <sheetView topLeftCell="A12" workbookViewId="0">
      <selection activeCell="L24" sqref="L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6" max="6" width="19.1406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30" t="s">
        <v>111</v>
      </c>
      <c r="B1" s="31"/>
      <c r="C1" s="31"/>
      <c r="D1" s="31"/>
      <c r="E1" s="31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7" t="s">
        <v>119</v>
      </c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 SA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3">
        <f>IFERROR(VLOOKUP($A3,CadastroEqGeral!$A:$K,8,0),"")</f>
        <v>45024</v>
      </c>
      <c r="K3" s="23"/>
      <c r="M3" s="23"/>
    </row>
    <row r="4" spans="1:18" s="19" customFormat="1" x14ac:dyDescent="0.25">
      <c r="A4" s="28" t="s">
        <v>112</v>
      </c>
      <c r="B4" s="29"/>
      <c r="C4" s="29"/>
      <c r="D4" s="29"/>
      <c r="E4" s="29"/>
      <c r="F4" s="29"/>
      <c r="G4" s="29"/>
      <c r="H4" s="29"/>
      <c r="I4" s="29"/>
      <c r="J4" s="29"/>
      <c r="K4" s="29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 SA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2" t="s">
        <v>96</v>
      </c>
      <c r="B7" s="32"/>
      <c r="C7" s="32"/>
      <c r="D7" s="32"/>
      <c r="E7" s="32"/>
      <c r="F7" s="32"/>
      <c r="G7" s="32"/>
      <c r="H7" s="32"/>
      <c r="I7" s="32"/>
      <c r="J7" s="32"/>
      <c r="K7" s="32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10</v>
      </c>
      <c r="B9" t="str">
        <f>IF(A9="","Sem Código",IFERROR(VLOOKUP($A9,CadastroEqCS!$A:$K,2,0),"Produto não Encontrado"))</f>
        <v>Casas Bahia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>
        <f>IFERROR(VLOOKUP($A9,CadastroEqCS!$A:$K,6,0),"")</f>
        <v>25677</v>
      </c>
      <c r="G9" t="str">
        <f>IFERROR(VLOOKUP($A9,CadastroEqCS!$A:$K,7,0),"")</f>
        <v>Manual com abertura por punho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8" t="s">
        <v>113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2" t="s">
        <v>114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8" t="s">
        <v>115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2</v>
      </c>
      <c r="B18" s="22" t="str">
        <f>IF(A18="","Sem Código",IFERROR(VLOOKUP($A18,CadastroEqTP!$A:$R,2,0),"Produto não Encontrado"))</f>
        <v>Logitech Eletronics</v>
      </c>
      <c r="C18" s="22" t="str">
        <f>IFERROR(VLOOKUP($A18,CadastroEqTP!$A:$R,3,0),"")</f>
        <v>Cabine Primária</v>
      </c>
      <c r="D18" s="22" t="str">
        <f>IFERROR(VLOOKUP($A18,CadastroEqTP!$A:$R,4,0),"")</f>
        <v>Brasformer</v>
      </c>
      <c r="E18" s="22" t="str">
        <f>IFERROR(VLOOKUP($A18,CadastroEqTP!$A:$R,5,0),"")</f>
        <v>TP552</v>
      </c>
      <c r="F18" s="22">
        <f>IFERROR(VLOOKUP($A18,CadastroEqTP!$A:$R,6,0),"")</f>
        <v>2010</v>
      </c>
      <c r="G18" s="22">
        <f>IFERROR(VLOOKUP($A18,CadastroEqTP!$A:$R,7,0),"")</f>
        <v>15</v>
      </c>
      <c r="H18" s="22" t="str">
        <f>IFERROR(VLOOKUP($A18,CadastroEqTP!$A:$R,8,0),"")</f>
        <v>13,2</v>
      </c>
      <c r="I18" s="22">
        <f>IFERROR(VLOOKUP($A18,CadastroEqTP!$A:$R,9,0),"")</f>
        <v>220</v>
      </c>
      <c r="J18" s="22">
        <f>IFERROR(VLOOKUP($A18,CadastroEqTP!$A:$R,10,0),"")</f>
        <v>35</v>
      </c>
      <c r="K18" s="23" t="str">
        <f>IFERROR(VLOOKUP($A18,CadastroEqTP!$A:$R,11,0),"")</f>
        <v>10B5A</v>
      </c>
      <c r="L18" s="26">
        <f>IFERROR(VLOOKUP($A18,CadastroEqTP!$A:$R,12,0),"")</f>
        <v>1000</v>
      </c>
      <c r="M18" s="23" t="str">
        <f>IFERROR(VLOOKUP($A18,CadastroEqTP!$A:$R,13,0),"")</f>
        <v>Epóxi</v>
      </c>
      <c r="N18" s="23" t="str">
        <f>IFERROR(VLOOKUP($A18,CadastroEqTP!$A:$R,14,0),"")</f>
        <v>RT001</v>
      </c>
      <c r="O18" s="23" t="str">
        <f>IFERROR(VLOOKUP($A18,CadastroEqTP!$A:$R,15,0),"")</f>
        <v>RT002</v>
      </c>
      <c r="P18" s="23" t="str">
        <f>IFERROR(VLOOKUP($A18,CadastroEqTP!$A:$R,16,0),"")</f>
        <v>RT003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8" t="s">
        <v>116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  <row r="23" spans="1:19" x14ac:dyDescent="0.25">
      <c r="A23" s="7" t="s">
        <v>3</v>
      </c>
      <c r="B23" s="7" t="s">
        <v>120</v>
      </c>
      <c r="C23" s="7" t="s">
        <v>121</v>
      </c>
      <c r="D23" s="7" t="s">
        <v>122</v>
      </c>
      <c r="E23" s="7" t="s">
        <v>123</v>
      </c>
      <c r="F23" s="7" t="s">
        <v>124</v>
      </c>
      <c r="G23" s="7" t="s">
        <v>125</v>
      </c>
      <c r="H23" s="7" t="s">
        <v>126</v>
      </c>
      <c r="I23" s="7" t="s">
        <v>127</v>
      </c>
      <c r="J23" s="7" t="s">
        <v>128</v>
      </c>
      <c r="K23" s="7" t="s">
        <v>129</v>
      </c>
      <c r="L23" s="7" t="s">
        <v>130</v>
      </c>
      <c r="M23" s="7" t="s">
        <v>131</v>
      </c>
      <c r="N23" s="7" t="s">
        <v>132</v>
      </c>
      <c r="O23" s="7" t="s">
        <v>133</v>
      </c>
    </row>
    <row r="24" spans="1:19" x14ac:dyDescent="0.25">
      <c r="A24">
        <v>1</v>
      </c>
      <c r="B24" t="str">
        <f>VLOOKUP($A$24,EnsaioInspecao!$A:$O,2,FALSE)</f>
        <v>Não Aplicável</v>
      </c>
      <c r="C24" t="str">
        <f>VLOOKUP($A$24,EnsaioInspecao!$A:$O,3,FALSE)</f>
        <v>Não Aplicável</v>
      </c>
      <c r="D24" t="str">
        <f>VLOOKUP($A$24,EnsaioInspecao!$A:$O,4,FALSE)</f>
        <v>Satisfatório</v>
      </c>
      <c r="E24" t="str">
        <f>VLOOKUP($A$24,EnsaioInspecao!$A:$O,5,FALSE)</f>
        <v>Satisfatório</v>
      </c>
      <c r="F24" t="str">
        <f>VLOOKUP($A$24,EnsaioInspecao!$A:$O,6,FALSE)</f>
        <v>Satisfatório</v>
      </c>
      <c r="G24" t="str">
        <f>VLOOKUP($A$24,EnsaioInspecao!$A:$O,7,FALSE)</f>
        <v>Satisfatório</v>
      </c>
      <c r="H24" t="str">
        <f>VLOOKUP($A$24,EnsaioInspecao!$A:$O,8,FALSE)</f>
        <v>Satisfatório</v>
      </c>
      <c r="I24" t="str">
        <f>VLOOKUP($A$24,EnsaioInspecao!$A:$O,9,FALSE)</f>
        <v>Satisfatório</v>
      </c>
      <c r="J24" t="str">
        <f>VLOOKUP($A$24,EnsaioInspecao!$A:$O,10,FALSE)</f>
        <v>Satisfatório</v>
      </c>
      <c r="K24" t="str">
        <f>VLOOKUP($A$24,EnsaioInspecao!$A:$O,11,FALSE)</f>
        <v>Satisfatório</v>
      </c>
      <c r="L24" t="str">
        <f>VLOOKUP($A$24,EnsaioInspecao!$A:$O,12,FALSE)</f>
        <v>Satisfatório</v>
      </c>
      <c r="M24" t="str">
        <f>VLOOKUP($A$24,EnsaioInspecao!$A:$O,13,FALSE)</f>
        <v>Não Aplicável</v>
      </c>
      <c r="N24" t="str">
        <f>VLOOKUP($A$24,EnsaioInspecao!$A:$O,14,FALSE)</f>
        <v>Não Aplicável</v>
      </c>
      <c r="O24" t="str">
        <f>VLOOKUP($A$24,EnsaioInspecao!$A:$O,15,FALSE)</f>
        <v>Não Aplicável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  <ignoredErrors>
    <ignoredError sqref="C2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2023-04-10T22:07:24Z</dcterms:modified>
</cp:coreProperties>
</file>