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<sst xmlns="http://schemas.openxmlformats.org/spreadsheetml/2006/main" count="384" uniqueCount="152">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</sst>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Fill="1" applyBorder="1"/>
    <xf numFmtId="1" fontId="1" fillId="0" borderId="2" xfId="0" applyNumberFormat="1" applyFont="1" applyFill="1" applyBorder="1"/>
    <xf numFmtId="164" fontId="1" fillId="0" borderId="2" xfId="0" applyNumberFormat="1" applyFont="1" applyFill="1" applyBorder="1"/>
    <xf numFmtId="14" fontId="1" fillId="0" borderId="3" xfId="0" applyNumberFormat="1" applyFon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7" xfId="0" applyFill="1" applyBorder="1" applyAlignment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0" fontId="0" fillId="0" borderId="10" xfId="0" applyFill="1" applyBorder="1"/>
    <xf numFmtId="14" fontId="0" fillId="0" borderId="10" xfId="0" applyNumberFormat="1" applyFill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workbookViewId="0">
      <selection activeCell="M23" sqref="M23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5" max="15" width="10.42578125" bestFit="1" customWidth="1"/>
    <col min="18" max="19" width="10.42578125" bestFit="1" customWidth="1"/>
  </cols>
  <sheetData>
    <row r="1" spans="1:18" s="21" customFormat="1" ht="15.75" thickBot="1" x14ac:dyDescent="0.3">
      <c r="A1" s="31" t="s">
        <v>145</v>
      </c>
      <c r="B1" s="32"/>
      <c r="C1" s="32"/>
      <c r="D1" s="32"/>
      <c r="E1" s="32"/>
      <c r="F1" s="20"/>
      <c r="G1" s="20"/>
      <c r="H1" s="20"/>
      <c r="I1" s="20"/>
      <c r="J1" s="20"/>
      <c r="K1" s="20"/>
      <c r="M1" s="22"/>
    </row>
    <row r="2" spans="1:18" s="18" customFormat="1" x14ac:dyDescent="0.25">
      <c r="A2" s="28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  <c r="M2" s="19"/>
    </row>
    <row r="3" spans="1:18" s="24" customFormat="1" ht="15.75" thickBot="1" x14ac:dyDescent="0.3">
      <c r="A3" s="23">
        <v>1</v>
      </c>
      <c r="B3" s="24" t="str">
        <f>IF(A3="","Sem Código",IFERROR(VLOOKUP($A3,CadastroEqGeral!$A:$K,2,0),"Produto não Encontrado"))</f>
        <v>Transformador de Potencial</v>
      </c>
      <c r="C3" s="24" t="str">
        <f>IFERROR(VLOOKUP($A3,CadastroEqGeral!$A:$K,3,0),"")</f>
        <v>Ultra Ventiladores</v>
      </c>
      <c r="D3" s="24" t="str">
        <f>IFERROR(VLOOKUP($A3,CadastroEqGeral!$A:$K,4,0),"")</f>
        <v>Cabine Primária</v>
      </c>
      <c r="E3" s="25">
        <f>IFERROR(VLOOKUP($A3,CadastroEqGeral!$A:$K,5,0),"")</f>
        <v>45003</v>
      </c>
      <c r="F3" s="26" t="str">
        <f>IFERROR(VLOOKUP($A3,CadastroEqCS!$A:$K,6,0),"")</f>
        <v/>
      </c>
      <c r="G3" s="26" t="str">
        <f>IFERROR(VLOOKUP($A3,CadastroEqCS!$A:$K,7,0),"")</f>
        <v/>
      </c>
      <c r="H3" s="26" t="str">
        <f>IFERROR(VLOOKUP($A3,CadastroEqCS!$A:$K,8,0),"")</f>
        <v/>
      </c>
      <c r="I3" s="26" t="str">
        <f>IFERROR(VLOOKUP($A3,CadastroEqCS!$A:$K,9,0),"")</f>
        <v/>
      </c>
      <c r="J3" s="26" t="str">
        <f>IFERROR(VLOOKUP($A3,CadastroEqCS!$A:$K,10,0),"")</f>
        <v/>
      </c>
      <c r="K3" s="27" t="str">
        <f>IFERROR(VLOOKUP($A3,CadastroEqCS!$A:$K,11,0),"")</f>
        <v/>
      </c>
      <c r="M3" s="25"/>
    </row>
    <row r="4" spans="1:18" s="21" customFormat="1" x14ac:dyDescent="0.25">
      <c r="A4" s="29" t="s">
        <v>146</v>
      </c>
      <c r="B4" s="30"/>
      <c r="C4" s="30"/>
      <c r="D4" s="30"/>
      <c r="E4" s="30"/>
      <c r="F4" s="30"/>
      <c r="G4" s="30"/>
      <c r="H4" s="30"/>
      <c r="I4" s="30"/>
      <c r="J4" s="30"/>
      <c r="K4" s="30"/>
      <c r="M4" s="22"/>
    </row>
    <row r="5" spans="1:18" s="18" customFormat="1" x14ac:dyDescent="0.25">
      <c r="A5" s="28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4" customFormat="1" ht="15.75" thickBot="1" x14ac:dyDescent="0.3">
      <c r="A6" s="23">
        <v>3</v>
      </c>
      <c r="B6" s="24" t="str">
        <f>IF(A6="","Sem Código",IFERROR(VLOOKUP($A6,CadastroEqTC!$A:$R,2,0),"Produto não Encontrado"))</f>
        <v>Ultra Ventiladores</v>
      </c>
      <c r="C6" s="24" t="str">
        <f>IFERROR(VLOOKUP($A6,CadastroEqTC!$A:$R,3,0),"")</f>
        <v>Cabine Primária</v>
      </c>
      <c r="D6" s="24" t="str">
        <f>IFERROR(VLOOKUP($A6,CadastroEqTC!$A:$R,4,0),"")</f>
        <v>Instrumenti</v>
      </c>
      <c r="E6" s="24" t="str">
        <f>IFERROR(VLOOKUP($A6,CadastroEqCS!$A:$R,5,0),"")</f>
        <v/>
      </c>
      <c r="F6" s="24">
        <f>IFERROR(VLOOKUP($A6,CadastroEqTC!$A:$R,6,0),"")</f>
        <v>1997</v>
      </c>
      <c r="G6" s="24" t="str">
        <f>IFERROR(VLOOKUP($A6,CadastroEqTC!$A:$R,7,0),"")</f>
        <v>45/-kV</v>
      </c>
      <c r="H6" s="24" t="str">
        <f>IFERROR(VLOOKUP($A6,CadastroEqTC!$A:$R,8,0),"")</f>
        <v>1,2xin</v>
      </c>
      <c r="I6" s="24">
        <f>IFERROR(VLOOKUP($A6,CadastroEqTC!$A:$R,9,0),"")</f>
        <v>15</v>
      </c>
      <c r="J6" s="24">
        <f>IFERROR(VLOOKUP($A6,CadastroEqTC!$A:$R,10,0),"")</f>
        <v>10</v>
      </c>
      <c r="K6" s="25" t="str">
        <f>IFERROR(VLOOKUP($A6,CadastroEqTC!$A:$R,11,0),"")</f>
        <v>10C28</v>
      </c>
      <c r="L6" s="25" t="str">
        <f>IFERROR(VLOOKUP($A6,CadastroEqTC!$A:$R,12,0),"")</f>
        <v>200-5A</v>
      </c>
      <c r="M6" s="25" t="str">
        <f>IFERROR(VLOOKUP($A6,CadastroEqTC!$A:$R,13,0),"")</f>
        <v>Epóxi</v>
      </c>
      <c r="N6" s="25" t="str">
        <f>IFERROR(VLOOKUP($A6,CadastroEqTC!$A:$R,14,0),"")</f>
        <v>555G</v>
      </c>
      <c r="O6" s="25" t="str">
        <f>IFERROR(VLOOKUP($A6,CadastroEqTC!$A:$R,15,0),"")</f>
        <v>555H</v>
      </c>
      <c r="P6" s="25" t="str">
        <f>IFERROR(VLOOKUP($A6,CadastroEqTC!$A:$R,16,0),"")</f>
        <v>555I</v>
      </c>
      <c r="Q6" s="25" t="str">
        <f>IFERROR(VLOOKUP($A6,CadastroEqTC!$A:$R,17,0),"")</f>
        <v>C:\Users\Lucão\Desktop\Rede\FATEC ADS\ProjetoCRUDVBA\imagens-de-teste\transformador-de-corrente-tc.jpg</v>
      </c>
      <c r="R6" s="25">
        <f>IFERROR(VLOOKUP($A6,CadastroEqTC!$A:$R,18,0),"")</f>
        <v>45003</v>
      </c>
    </row>
    <row r="7" spans="1:18" x14ac:dyDescent="0.25">
      <c r="A7" s="33" t="s">
        <v>119</v>
      </c>
      <c r="B7" s="33"/>
      <c r="C7" s="33"/>
      <c r="D7" s="33"/>
      <c r="E7" s="33"/>
      <c r="F7" s="33"/>
      <c r="G7" s="33"/>
      <c r="H7" s="33"/>
      <c r="I7" s="33"/>
      <c r="J7" s="33"/>
      <c r="K7" s="33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21" customFormat="1" x14ac:dyDescent="0.25">
      <c r="A10" s="29" t="s">
        <v>147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M10" s="22"/>
    </row>
    <row r="11" spans="1:18" s="18" customFormat="1" x14ac:dyDescent="0.25">
      <c r="A11" s="28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4" customFormat="1" ht="15.75" thickBot="1" x14ac:dyDescent="0.3">
      <c r="A12" s="23">
        <v>9</v>
      </c>
      <c r="B12" s="24" t="str">
        <f>IF(A12="","Sem Código",IFERROR(VLOOKUP($A12,CadastroEqDJ!$A:$O,2,0),"Produto não Encontrado"))</f>
        <v>Edifier Soluções Audiovisuais</v>
      </c>
      <c r="C12" s="24" t="str">
        <f>IFERROR(VLOOKUP($A12,CadastroEqDJ!$A:$O,3,0),"")</f>
        <v>Cabine Primária</v>
      </c>
      <c r="D12" s="24" t="str">
        <f>IFERROR(VLOOKUP($A12,CadastroEqDJ!$A:$O,4,0),"")</f>
        <v>Beghim</v>
      </c>
      <c r="E12" s="24" t="str">
        <f>IFERROR(VLOOKUP($A12,CadastroEqDJ!$A:$O,5,0),"")</f>
        <v>MAF15</v>
      </c>
      <c r="F12" s="24">
        <f>IFERROR(VLOOKUP($A12,CadastroEqDJ!$A:$O,6,0),"")</f>
        <v>2009</v>
      </c>
      <c r="G12" s="24" t="str">
        <f>IFERROR(VLOOKUP($A12,CadastroEqDJ!$A:$O,7,0),"")</f>
        <v>DX5S8H</v>
      </c>
      <c r="H12" s="24">
        <f>IFERROR(VLOOKUP($A12,CadastroEqDJ!$A:$O,8,0),"")</f>
        <v>630</v>
      </c>
      <c r="I12" s="24" t="str">
        <f>IFERROR(VLOOKUP($A12,CadastroEqDJ!$A:$O,9,0),"")</f>
        <v>17,5</v>
      </c>
      <c r="J12" s="24">
        <f>IFERROR(VLOOKUP($A12,CadastroEqDJ!$A:$O,10,0),"")</f>
        <v>45</v>
      </c>
      <c r="K12" s="25" t="str">
        <f>IFERROR(VLOOKUP($A12,CadastroEqDJ!$A:$O,11,0),"")</f>
        <v>Manual e Motorizado</v>
      </c>
      <c r="L12" s="25" t="str">
        <f>IFERROR(VLOOKUP($A12,CadastroEqDJ!$A:$O,12,0),"")</f>
        <v>Indireto</v>
      </c>
      <c r="M12" s="25" t="str">
        <f>IFERROR(VLOOKUP($A12,CadastroEqDJ!$A:$O,13,0),"")</f>
        <v>-</v>
      </c>
      <c r="N12" s="25" t="str">
        <f>IFERROR(VLOOKUP($A12,CadastroEqDJ!$A:$O,14,0),"")</f>
        <v>C:\Users\Lucão\Desktop\Rede\FATEC ADS\ProjetoCRUDVBA\imagens-de-teste\disjuntor.jpg</v>
      </c>
      <c r="O12" s="25">
        <f>IFERROR(VLOOKUP($A12,CadastroEqDJ!$A:$O,15,0),"")</f>
        <v>45003</v>
      </c>
    </row>
    <row r="13" spans="1:18" x14ac:dyDescent="0.25">
      <c r="A13" s="33" t="s">
        <v>148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21" customFormat="1" x14ac:dyDescent="0.25">
      <c r="A16" s="29" t="s">
        <v>149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M16" s="22"/>
    </row>
    <row r="17" spans="1:19" s="18" customFormat="1" x14ac:dyDescent="0.25">
      <c r="A17" s="28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4" customFormat="1" ht="15.75" thickBot="1" x14ac:dyDescent="0.3">
      <c r="A18" s="23">
        <v>1</v>
      </c>
      <c r="B18" s="24" t="str">
        <f>IF(A18="","Sem Código",IFERROR(VLOOKUP($A18,CadastroEqTP!$A:$R,2,0),"Produto não Encontrado"))</f>
        <v>Ultra Ventiladores</v>
      </c>
      <c r="C18" s="24" t="str">
        <f>IFERROR(VLOOKUP($A18,CadastroEqTP!$A:$R,3,0),"")</f>
        <v>Cabine Primária</v>
      </c>
      <c r="D18" s="24" t="str">
        <f>IFERROR(VLOOKUP($A18,CadastroEqTP!$A:$R,4,0),"")</f>
        <v>Instrumenti</v>
      </c>
      <c r="E18" s="24" t="str">
        <f>IFERROR(VLOOKUP($A18,CadastroEqTP!$A:$R,5,0),"")</f>
        <v>TP555</v>
      </c>
      <c r="F18" s="24">
        <f>IFERROR(VLOOKUP($A18,CadastroEqTP!$A:$R,6,0),"")</f>
        <v>2000</v>
      </c>
      <c r="G18" s="24">
        <f>IFERROR(VLOOKUP($A18,CadastroEqTP!$A:$R,7,0),"")</f>
        <v>15</v>
      </c>
      <c r="H18" s="24" t="str">
        <f>IFERROR(VLOOKUP($A18,CadastroEqTP!$A:$R,8,0),"")</f>
        <v>13,8</v>
      </c>
      <c r="I18" s="24">
        <f>IFERROR(VLOOKUP($A18,CadastroEqTP!$A:$R,9,0),"")</f>
        <v>220</v>
      </c>
      <c r="J18" s="24">
        <f>IFERROR(VLOOKUP($A18,CadastroEqTP!$A:$R,10,0),"")</f>
        <v>20</v>
      </c>
      <c r="K18" s="25" t="str">
        <f>IFERROR(VLOOKUP($A18,CadastroEqTP!$A:$R,11,0),"")</f>
        <v>10B12A</v>
      </c>
      <c r="L18" s="25">
        <f>IFERROR(VLOOKUP($A18,CadastroEqTP!$A:$R,12,0),"")</f>
        <v>500</v>
      </c>
      <c r="M18" s="25" t="str">
        <f>IFERROR(VLOOKUP($A18,CadastroEqTP!$A:$R,13,0),"")</f>
        <v>Epóxi</v>
      </c>
      <c r="N18" s="25" t="str">
        <f>IFERROR(VLOOKUP($A18,CadastroEqTP!$A:$R,14,0),"")</f>
        <v>5A22</v>
      </c>
      <c r="O18" s="25" t="str">
        <f>IFERROR(VLOOKUP($A18,CadastroEqTP!$A:$R,15,0),"")</f>
        <v>5A23</v>
      </c>
      <c r="P18" s="25" t="str">
        <f>IFERROR(VLOOKUP($A18,CadastroEqTP!$A:$R,16,0),"")</f>
        <v>5A24</v>
      </c>
      <c r="Q18" s="25" t="str">
        <f>IFERROR(VLOOKUP($A18,CadastroEqTP!$A:$R,17,0),"")</f>
        <v>C:\Users\Lucão\Desktop\Rede\FATEC ADS\ProjetoCRUDVBA\imagens-de-teste\transformador-de-potencial-1.jpg</v>
      </c>
      <c r="R18" s="25">
        <f>IFERROR(VLOOKUP($A18,CadastroEqTP!$A:$R,18,0),"")</f>
        <v>45003</v>
      </c>
    </row>
    <row r="19" spans="1:19" s="21" customFormat="1" x14ac:dyDescent="0.25">
      <c r="A19" s="29" t="s">
        <v>150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M19" s="22"/>
    </row>
    <row r="20" spans="1:19" s="18" customFormat="1" x14ac:dyDescent="0.25">
      <c r="A20" s="28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4" customFormat="1" ht="15.75" thickBot="1" x14ac:dyDescent="0.3">
      <c r="A21" s="23">
        <v>6</v>
      </c>
      <c r="B21" s="24" t="str">
        <f>IF(A21="","Sem Código",IFERROR(VLOOKUP($A21,CadastroEqTRAFO!$A:$S,2,0),"Produto não Encontrado"))</f>
        <v>Multilaser SA</v>
      </c>
      <c r="C21" s="24" t="str">
        <f>IFERROR(VLOOKUP($A21,CadastroEqTRAFO!$A:$S,3,0),"")</f>
        <v>Cabine Secundária</v>
      </c>
      <c r="D21" s="24" t="str">
        <f>IFERROR(VLOOKUP($A21,CadastroEqTRAFO!$A:$S,4,0),"")</f>
        <v>WEG</v>
      </c>
      <c r="E21" s="24" t="str">
        <f>IFERROR(VLOOKUP($A21,CadastroEqTRAFO!$A:$S,5,0),"")</f>
        <v>TR555</v>
      </c>
      <c r="F21" s="24">
        <f>IFERROR(VLOOKUP($A21,CadastroEqTRAFO!$A:$S,6,0),"")</f>
        <v>1999</v>
      </c>
      <c r="G21" s="24">
        <f>IFERROR(VLOOKUP($A21,CadastroEqTRAFO!$A:$S,7,0),"")</f>
        <v>2000</v>
      </c>
      <c r="H21" s="24" t="str">
        <f>IFERROR(VLOOKUP($A21,CadastroEqTRAFO!$A:$S,8,0),"")</f>
        <v>W5TR27</v>
      </c>
      <c r="I21" s="24">
        <f>IFERROR(VLOOKUP($A21,CadastroEqTRAFO!$A:$S,9,0),"")</f>
        <v>500</v>
      </c>
      <c r="J21" s="24" t="str">
        <f>IFERROR(VLOOKUP($A21,CadastroEqTRAFO!$A:$S,10,0),"")</f>
        <v>1,75</v>
      </c>
      <c r="K21" s="25" t="str">
        <f>IFERROR(VLOOKUP($A21,CadastroEqTRAFO!$A:$S,11,0),"")</f>
        <v>Óleo Mineral</v>
      </c>
      <c r="L21" s="25">
        <f>IFERROR(VLOOKUP($A21,CadastroEqTRAFO!$A:$S,12,0),"")</f>
        <v>700</v>
      </c>
      <c r="M21" s="25" t="str">
        <f>IFERROR(VLOOKUP($A21,CadastroEqTRAFO!$A:$S,13,0),"")</f>
        <v>DYN1</v>
      </c>
      <c r="N21" s="25" t="str">
        <f>IFERROR(VLOOKUP($A21,CadastroEqTRAFO!$A:$S,14,0),"")</f>
        <v>Rotativo Interno</v>
      </c>
      <c r="O21" s="25" t="str">
        <f>IFERROR(VLOOKUP($A21,CadastroEqTRAFO!$A:$S,15,0),"")</f>
        <v>WEG</v>
      </c>
      <c r="P21" s="25" t="str">
        <f>IFERROR(VLOOKUP($A21,CadastroEqTRAFO!$A:$S,16,0),"")</f>
        <v>13,8/13,2/12,6/12,0/11,4</v>
      </c>
      <c r="Q21" s="25" t="str">
        <f>IFERROR(VLOOKUP($A21,CadastroEqTRAFO!$A:$S,17,0),"")</f>
        <v>380/220</v>
      </c>
      <c r="R21" s="25" t="str">
        <f>IFERROR(VLOOKUP($A21,CadastroEqTRAFO!$A:$S,18,0),"")</f>
        <v>C:\Users\Lucão\Desktop\Rede\FATEC ADS\ProjetoCRUDVBA\imagens-de-teste\TransformadorPotencia.jpg</v>
      </c>
      <c r="S21" s="25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tabSelected="1" workbookViewId="0">
      <selection activeCell="I6" sqref="I6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25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P2" sqref="P2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G19" sqref="G19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workbookViewId="0">
      <selection activeCell="R1" sqref="A1:R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sqref="A1:S1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2023-03-29T15:52:10Z</dcterms:modified>
</cp:coreProperties>
</file>