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\Desktop\VBAPROJETO\Projeto-CRUD-PMI-ESS\"/>
    </mc:Choice>
  </mc:AlternateContent>
  <xr:revisionPtr revIDLastSave="0" documentId="13_ncr:1_{CECE560C-9DA2-4494-B684-E5217520C517}" xr6:coauthVersionLast="36" xr6:coauthVersionMax="36" xr10:uidLastSave="{00000000-0000-0000-0000-000000000000}"/>
  <bookViews>
    <workbookView xWindow="-120" yWindow="-120" windowWidth="20730" windowHeight="11160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<sst xmlns="http://schemas.openxmlformats.org/spreadsheetml/2006/main" count="384" uniqueCount="152">
  <si>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</si>
  <si>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</si>
  <si>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</si>
  <si>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</si>
  <si>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</si>
  <si>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</si>
  <si>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</si>
  <si>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</si>
  <si>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</si>
  <si>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</si>
  <si>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</si>
  <si>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</si>
  <si>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</si>
  <si>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</si>
  <si>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</si>
  <si>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</si>
  <si>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</si>
  <si>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</si>
  <si>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</si>
  <si>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</si>
  <si>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</si>
  <si>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</si>
  <si>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</si>
  <si>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</si>
  <si>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</si>
  <si>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</si>
  <si>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</si>
  <si>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</si>
  <si>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</si>
  <si>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</si>
  <si>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</si>
  <si>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</si>
  <si>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</si>
  <si>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</si>
  <si>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</si>
  <si>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</si>
  <si>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</si>
  <si>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</si>
  <si>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</si>
  <si>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</si>
  <si>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</si>
  <si>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</si>
  <si>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</si>
  <si>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</si>
  <si>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</si>
  <si>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</si>
  <si>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</si>
  <si>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</si>
  <si>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</si>
  <si>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</si>
  <si>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</si>
  <si>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</si>
  <si>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</si>
  <si>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</si>
  <si>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</si>
  <si>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</si>
  <si>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</si>
  <si>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</si>
  <si>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</si>
  <si>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</si>
  <si>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</si>
  <si>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</si>
  <si>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</si>
  <si>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</si>
  <si>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</si>
  <si>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</si>
  <si>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</si>
  <si>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</si>
  <si>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</si>
  <si>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</si>
  <si>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</si>
  <si>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</si>
  <si>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</si>
  <si>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</si>
  <si>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</si>
  <si>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</si>
  <si>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</si>
  <si>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</si>
  <si>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</si>
  <si>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</si>
  <si>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</si>
  <si>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</si>
  <si>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</si>
  <si>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</si>
  <si>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</si>
  <si>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</si>
  <si>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</si>
  <si>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</si>
  <si>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</si>
  <si>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</si>
  <si>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</si>
  <si>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</si>
  <si>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</si>
  <si>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</si>
  <si>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</si>
  <si>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</si>
  <si>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</si>
  <si>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</si>
  <si>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</si>
  <si>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</si>
  <si>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</si>
  <si>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</si>
  <si>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</si>
  <si>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</si>
  <si>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</si>
  <si>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</si>
  <si>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</si>
  <si>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</si>
  <si>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</si>
  <si>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</si>
  <si>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</si>
  <si>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</si>
  <si>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</si>
  <si>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</si>
  <si>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</si>
  <si>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</si>
  <si>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</si>
  <si>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</si>
  <si>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</si>
  <si>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</si>
  <si>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</si>
  <si>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</si>
  <si>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</si>
  <si>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</si>
  <si>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</si>
  <si>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</si>
  <si>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</si>
  <si>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</si>
  <si>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</si>
  <si>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</si>
  <si>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</si>
  <si>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</si>
  <si>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</si>
  <si>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</si>
  <si>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</si>
  <si>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</si>
  <si>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</si>
  <si>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</si>
  <si>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</si>
  <si>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</si>
  <si>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</si>
  <si>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</si>
  <si>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</si>
  <si>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</si>
  <si>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C:\Users\aluno\Desktop\ProjetoVBAPMI\Projeto-CRUD-PMI-ESS\imagens-de-teste\chave-seccionadora.jpg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</si>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</sst>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4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Fill="1" applyBorder="1"/>
    <xf numFmtId="1" fontId="1" fillId="0" borderId="2" xfId="0" applyNumberFormat="1" applyFont="1" applyFill="1" applyBorder="1"/>
    <xf numFmtId="164" fontId="1" fillId="0" borderId="2" xfId="0" applyNumberFormat="1" applyFont="1" applyFill="1" applyBorder="1"/>
    <xf numFmtId="14" fontId="1" fillId="0" borderId="3" xfId="0" applyNumberFormat="1" applyFont="1" applyFill="1" applyBorder="1"/>
    <xf numFmtId="0" fontId="0" fillId="0" borderId="0" xfId="0" applyBorder="1"/>
    <xf numFmtId="14" fontId="0" fillId="0" borderId="0" xfId="0" applyNumberFormat="1" applyBorder="1"/>
    <xf numFmtId="0" fontId="0" fillId="0" borderId="7" xfId="0" applyFill="1" applyBorder="1" applyAlignment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0" fontId="0" fillId="0" borderId="10" xfId="0" applyFill="1" applyBorder="1"/>
    <xf numFmtId="14" fontId="0" fillId="0" borderId="10" xfId="0" applyNumberFormat="1" applyFill="1" applyBorder="1"/>
    <xf numFmtId="1" fontId="1" fillId="2" borderId="12" xfId="0" applyNumberFormat="1" applyFont="1" applyFill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4" totalsRowShown="0" headerRowDxfId="35">
  <autoFilter ref="A1:G1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CAE80E33-FDDC-468C-9330-9571D6518D0E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A226B890-6883-44FB-8210-A74A5222917F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6" totalsRowShown="0">
  <autoFilter ref="A1:K6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3" totalsRowShown="0" headerRowDxfId="1">
  <autoFilter ref="A1:S3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workbookViewId="0">
      <selection activeCell="B25" sqref="B25"/>
    </sheetView>
  </sheetViews>
  <sheetFormatPr defaultRowHeight="14.5" x14ac:dyDescent="0.35"/>
  <cols>
    <col min="2" max="2" width="21.54296875" bestFit="1" customWidth="1"/>
    <col min="4" max="4" width="21.54296875" bestFit="1" customWidth="1"/>
    <col min="5" max="5" width="10.453125" bestFit="1" customWidth="1"/>
    <col min="11" max="11" width="10.36328125" customWidth="1"/>
    <col min="12" max="12" width="10.453125" bestFit="1" customWidth="1"/>
    <col min="13" max="13" width="10.453125" style="3" bestFit="1" customWidth="1"/>
    <col min="15" max="15" width="10.453125" bestFit="1" customWidth="1"/>
    <col min="18" max="19" width="10.453125" bestFit="1" customWidth="1"/>
  </cols>
  <sheetData>
    <row r="1" spans="1:18" s="21" customFormat="1" ht="15" thickBot="1" x14ac:dyDescent="0.4">
      <c r="A1" s="31" t="s">
        <v>145</v>
      </c>
      <c r="B1" s="32"/>
      <c r="C1" s="32"/>
      <c r="D1" s="32"/>
      <c r="E1" s="32"/>
      <c r="F1" s="20"/>
      <c r="G1" s="20"/>
      <c r="H1" s="20"/>
      <c r="I1" s="20"/>
      <c r="J1" s="20"/>
      <c r="K1" s="20"/>
      <c r="M1" s="22"/>
    </row>
    <row r="2" spans="1:18" s="18" customFormat="1" x14ac:dyDescent="0.35">
      <c r="A2" s="28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  <c r="M2" s="19"/>
    </row>
    <row r="3" spans="1:18" s="24" customFormat="1" ht="15" thickBot="1" x14ac:dyDescent="0.4">
      <c r="A3" s="23">
        <v>1</v>
      </c>
      <c r="B3" s="24" t="str">
        <f>IF(A3="","Sem Código",IFERROR(VLOOKUP($A3,CadastroEqGeral!$A:$K,2,0),"Produto não Encontrado"))</f>
        <v>Transformador de Potencial</v>
      </c>
      <c r="C3" s="24" t="str">
        <f>IFERROR(VLOOKUP($A3,CadastroEqGeral!$A:$K,3,0),"")</f>
        <v>Ultra Ventiladores</v>
      </c>
      <c r="D3" s="24" t="str">
        <f>IFERROR(VLOOKUP($A3,CadastroEqGeral!$A:$K,4,0),"")</f>
        <v>Cabine Primária</v>
      </c>
      <c r="E3" s="25">
        <f>IFERROR(VLOOKUP($A3,CadastroEqGeral!$A:$K,5,0),"")</f>
        <v>45003</v>
      </c>
      <c r="F3" s="26" t="str">
        <f>IFERROR(VLOOKUP($A3,CadastroEqCS!$A:$K,6,0),"")</f>
        <v/>
      </c>
      <c r="G3" s="26" t="str">
        <f>IFERROR(VLOOKUP($A3,CadastroEqCS!$A:$K,7,0),"")</f>
        <v/>
      </c>
      <c r="H3" s="26" t="str">
        <f>IFERROR(VLOOKUP($A3,CadastroEqCS!$A:$K,8,0),"")</f>
        <v/>
      </c>
      <c r="I3" s="26" t="str">
        <f>IFERROR(VLOOKUP($A3,CadastroEqCS!$A:$K,9,0),"")</f>
        <v/>
      </c>
      <c r="J3" s="26" t="str">
        <f>IFERROR(VLOOKUP($A3,CadastroEqCS!$A:$K,10,0),"")</f>
        <v/>
      </c>
      <c r="K3" s="27" t="str">
        <f>IFERROR(VLOOKUP($A3,CadastroEqCS!$A:$K,11,0),"")</f>
        <v/>
      </c>
      <c r="M3" s="25"/>
    </row>
    <row r="4" spans="1:18" s="21" customFormat="1" x14ac:dyDescent="0.35">
      <c r="A4" s="29" t="s">
        <v>146</v>
      </c>
      <c r="B4" s="30"/>
      <c r="C4" s="30"/>
      <c r="D4" s="30"/>
      <c r="E4" s="30"/>
      <c r="F4" s="30"/>
      <c r="G4" s="30"/>
      <c r="H4" s="30"/>
      <c r="I4" s="30"/>
      <c r="J4" s="30"/>
      <c r="K4" s="30"/>
      <c r="M4" s="22"/>
    </row>
    <row r="5" spans="1:18" s="18" customFormat="1" x14ac:dyDescent="0.35">
      <c r="A5" s="28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4" customFormat="1" ht="15" thickBot="1" x14ac:dyDescent="0.4">
      <c r="A6" s="23">
        <v>3</v>
      </c>
      <c r="B6" s="24" t="str">
        <f>IF(A6="","Sem Código",IFERROR(VLOOKUP($A6,CadastroEqTC!$A:$R,2,0),"Produto não Encontrado"))</f>
        <v>Ultra Ventiladores</v>
      </c>
      <c r="C6" s="24" t="str">
        <f>IFERROR(VLOOKUP($A6,CadastroEqTC!$A:$R,3,0),"")</f>
        <v>Cabine Primária</v>
      </c>
      <c r="D6" s="24" t="str">
        <f>IFERROR(VLOOKUP($A6,CadastroEqTC!$A:$R,4,0),"")</f>
        <v>Instrumenti</v>
      </c>
      <c r="E6" s="24" t="str">
        <f>IFERROR(VLOOKUP($A6,CadastroEqCS!$A:$R,5,0),"")</f>
        <v/>
      </c>
      <c r="F6" s="24">
        <f>IFERROR(VLOOKUP($A6,CadastroEqTC!$A:$R,6,0),"")</f>
        <v>1997</v>
      </c>
      <c r="G6" s="24" t="str">
        <f>IFERROR(VLOOKUP($A6,CadastroEqTC!$A:$R,7,0),"")</f>
        <v>45/-kV</v>
      </c>
      <c r="H6" s="24" t="str">
        <f>IFERROR(VLOOKUP($A6,CadastroEqTC!$A:$R,8,0),"")</f>
        <v>1,2xin</v>
      </c>
      <c r="I6" s="24">
        <f>IFERROR(VLOOKUP($A6,CadastroEqTC!$A:$R,9,0),"")</f>
        <v>15</v>
      </c>
      <c r="J6" s="24">
        <f>IFERROR(VLOOKUP($A6,CadastroEqTC!$A:$R,10,0),"")</f>
        <v>10</v>
      </c>
      <c r="K6" s="25" t="str">
        <f>IFERROR(VLOOKUP($A6,CadastroEqTC!$A:$R,11,0),"")</f>
        <v>10C28</v>
      </c>
      <c r="L6" s="25" t="str">
        <f>IFERROR(VLOOKUP($A6,CadastroEqTC!$A:$R,12,0),"")</f>
        <v>200-5A</v>
      </c>
      <c r="M6" s="25" t="str">
        <f>IFERROR(VLOOKUP($A6,CadastroEqTC!$A:$R,13,0),"")</f>
        <v>Epóxi</v>
      </c>
      <c r="N6" s="25" t="str">
        <f>IFERROR(VLOOKUP($A6,CadastroEqTC!$A:$R,14,0),"")</f>
        <v>555G</v>
      </c>
      <c r="O6" s="25" t="str">
        <f>IFERROR(VLOOKUP($A6,CadastroEqTC!$A:$R,15,0),"")</f>
        <v>555H</v>
      </c>
      <c r="P6" s="25" t="str">
        <f>IFERROR(VLOOKUP($A6,CadastroEqTC!$A:$R,16,0),"")</f>
        <v>555I</v>
      </c>
      <c r="Q6" s="25" t="str">
        <f>IFERROR(VLOOKUP($A6,CadastroEqTC!$A:$R,17,0),"")</f>
        <v>C:\Users\Lucão\Desktop\Rede\FATEC ADS\ProjetoCRUDVBA\imagens-de-teste\transformador-de-corrente-tc.jpg</v>
      </c>
      <c r="R6" s="25">
        <f>IFERROR(VLOOKUP($A6,CadastroEqTC!$A:$R,18,0),"")</f>
        <v>45003</v>
      </c>
    </row>
    <row r="7" spans="1:18" x14ac:dyDescent="0.35">
      <c r="A7" s="33" t="s">
        <v>119</v>
      </c>
      <c r="B7" s="33"/>
      <c r="C7" s="33"/>
      <c r="D7" s="33"/>
      <c r="E7" s="33"/>
      <c r="F7" s="33"/>
      <c r="G7" s="33"/>
      <c r="H7" s="33"/>
      <c r="I7" s="33"/>
      <c r="J7" s="33"/>
      <c r="K7" s="33"/>
    </row>
    <row r="8" spans="1:18" x14ac:dyDescent="0.3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" thickBot="1" x14ac:dyDescent="0.4">
      <c r="A9">
        <v>7</v>
      </c>
      <c r="B9" t="str">
        <f>IF(A9="","Sem Código",IFERROR(VLOOKUP($A9,CadastroEqCS!$A:$K,2,0),"Produto não Encontrado"))</f>
        <v>Asus Eletronics</v>
      </c>
      <c r="C9" t="str">
        <f>IFERROR(VLOOKUP($A9,CadastroEqCS!$A:$K,3,0),"")</f>
        <v>Cabine Primária</v>
      </c>
      <c r="D9" t="str">
        <f>IFERROR(VLOOKUP($A9,CadastroEqCS!$A:$K,4,0),"")</f>
        <v>A.Cabine</v>
      </c>
      <c r="E9" t="str">
        <f>IFERROR(VLOOKUP($A9,CadastroEqCS!$A:$K,5,0),"")</f>
        <v>GVL</v>
      </c>
      <c r="F9" t="str">
        <f>IFERROR(VLOOKUP($A9,CadastroEqCS!$A:$K,6,0),"")</f>
        <v>K593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 t="str">
        <f>IFERROR(VLOOKUP($A9,CadastroEqCS!$A:$K,10,0),"")</f>
        <v>C:\Users\Lucão\Desktop\Rede\FATEC ADS\ProjetoCRUDVBA\imagens-de-teste\chave-seccionadora.jpg</v>
      </c>
      <c r="K9" s="3">
        <f>IFERROR(VLOOKUP($A9,CadastroEqCS!$A:$K,11,0),"")</f>
        <v>45003</v>
      </c>
    </row>
    <row r="10" spans="1:18" s="21" customFormat="1" x14ac:dyDescent="0.35">
      <c r="A10" s="29" t="s">
        <v>147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M10" s="22"/>
    </row>
    <row r="11" spans="1:18" s="18" customFormat="1" x14ac:dyDescent="0.35">
      <c r="A11" s="28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4" customFormat="1" ht="15" thickBot="1" x14ac:dyDescent="0.4">
      <c r="A12" s="23">
        <v>9</v>
      </c>
      <c r="B12" s="24" t="str">
        <f>IF(A12="","Sem Código",IFERROR(VLOOKUP($A12,CadastroEqDJ!$A:$O,2,0),"Produto não Encontrado"))</f>
        <v>Edifier Soluções Audiovisuais</v>
      </c>
      <c r="C12" s="24" t="str">
        <f>IFERROR(VLOOKUP($A12,CadastroEqDJ!$A:$O,3,0),"")</f>
        <v>Cabine Primária</v>
      </c>
      <c r="D12" s="24" t="str">
        <f>IFERROR(VLOOKUP($A12,CadastroEqDJ!$A:$O,4,0),"")</f>
        <v>Beghim</v>
      </c>
      <c r="E12" s="24" t="str">
        <f>IFERROR(VLOOKUP($A12,CadastroEqDJ!$A:$O,5,0),"")</f>
        <v>MAF15</v>
      </c>
      <c r="F12" s="24">
        <f>IFERROR(VLOOKUP($A12,CadastroEqDJ!$A:$O,6,0),"")</f>
        <v>2009</v>
      </c>
      <c r="G12" s="24" t="str">
        <f>IFERROR(VLOOKUP($A12,CadastroEqDJ!$A:$O,7,0),"")</f>
        <v>DX5S8H</v>
      </c>
      <c r="H12" s="24">
        <f>IFERROR(VLOOKUP($A12,CadastroEqDJ!$A:$O,8,0),"")</f>
        <v>630</v>
      </c>
      <c r="I12" s="24" t="str">
        <f>IFERROR(VLOOKUP($A12,CadastroEqDJ!$A:$O,9,0),"")</f>
        <v>17,5</v>
      </c>
      <c r="J12" s="24">
        <f>IFERROR(VLOOKUP($A12,CadastroEqDJ!$A:$O,10,0),"")</f>
        <v>45</v>
      </c>
      <c r="K12" s="25" t="str">
        <f>IFERROR(VLOOKUP($A12,CadastroEqDJ!$A:$O,11,0),"")</f>
        <v>Manual e Motorizado</v>
      </c>
      <c r="L12" s="25" t="str">
        <f>IFERROR(VLOOKUP($A12,CadastroEqDJ!$A:$O,12,0),"")</f>
        <v>Indireto</v>
      </c>
      <c r="M12" s="25" t="str">
        <f>IFERROR(VLOOKUP($A12,CadastroEqDJ!$A:$O,13,0),"")</f>
        <v>-</v>
      </c>
      <c r="N12" s="25" t="str">
        <f>IFERROR(VLOOKUP($A12,CadastroEqDJ!$A:$O,14,0),"")</f>
        <v>C:\Users\Lucão\Desktop\Rede\FATEC ADS\ProjetoCRUDVBA\imagens-de-teste\disjuntor.jpg</v>
      </c>
      <c r="O12" s="25">
        <f>IFERROR(VLOOKUP($A12,CadastroEqDJ!$A:$O,15,0),"")</f>
        <v>45003</v>
      </c>
    </row>
    <row r="13" spans="1:18" x14ac:dyDescent="0.35">
      <c r="A13" s="33" t="s">
        <v>148</v>
      </c>
      <c r="B13" s="33"/>
      <c r="C13" s="33"/>
      <c r="D13" s="33"/>
      <c r="E13" s="33"/>
      <c r="F13" s="33"/>
      <c r="G13" s="33"/>
      <c r="H13" s="33"/>
      <c r="I13" s="33"/>
      <c r="J13" s="33"/>
      <c r="K13" s="33"/>
    </row>
    <row r="14" spans="1:18" x14ac:dyDescent="0.3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" thickBot="1" x14ac:dyDescent="0.4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3" t="str">
        <f>IFERROR(VLOOKUP($A15,CadastroEqPR!$A:$O,14,0),"")</f>
        <v>C:\Users\Lucão\Desktop\Rede\FATEC ADS\ProjetoCRUDVBA\imagens-de-teste\Para-raios.jpg</v>
      </c>
      <c r="O15" s="3">
        <f>IFERROR(VLOOKUP($A15,CadastroEqPR!$A:$O,15,0),"")</f>
        <v>45003</v>
      </c>
    </row>
    <row r="16" spans="1:18" s="21" customFormat="1" x14ac:dyDescent="0.35">
      <c r="A16" s="29" t="s">
        <v>149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M16" s="22"/>
    </row>
    <row r="17" spans="1:19" s="18" customFormat="1" x14ac:dyDescent="0.35">
      <c r="A17" s="28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4" customFormat="1" ht="15" thickBot="1" x14ac:dyDescent="0.4">
      <c r="A18" s="23">
        <v>1</v>
      </c>
      <c r="B18" s="24" t="str">
        <f>IF(A18="","Sem Código",IFERROR(VLOOKUP($A18,CadastroEqTP!$A:$R,2,0),"Produto não Encontrado"))</f>
        <v>Ultra Ventiladores</v>
      </c>
      <c r="C18" s="24" t="str">
        <f>IFERROR(VLOOKUP($A18,CadastroEqTP!$A:$R,3,0),"")</f>
        <v>Cabine Primária</v>
      </c>
      <c r="D18" s="24" t="str">
        <f>IFERROR(VLOOKUP($A18,CadastroEqTP!$A:$R,4,0),"")</f>
        <v>Instrumenti</v>
      </c>
      <c r="E18" s="24" t="str">
        <f>IFERROR(VLOOKUP($A18,CadastroEqTP!$A:$R,5,0),"")</f>
        <v>TP555</v>
      </c>
      <c r="F18" s="24">
        <f>IFERROR(VLOOKUP($A18,CadastroEqTP!$A:$R,6,0),"")</f>
        <v>2000</v>
      </c>
      <c r="G18" s="24">
        <f>IFERROR(VLOOKUP($A18,CadastroEqTP!$A:$R,7,0),"")</f>
        <v>15</v>
      </c>
      <c r="H18" s="24" t="str">
        <f>IFERROR(VLOOKUP($A18,CadastroEqTP!$A:$R,8,0),"")</f>
        <v>13,8</v>
      </c>
      <c r="I18" s="24">
        <f>IFERROR(VLOOKUP($A18,CadastroEqTP!$A:$R,9,0),"")</f>
        <v>220</v>
      </c>
      <c r="J18" s="24">
        <f>IFERROR(VLOOKUP($A18,CadastroEqTP!$A:$R,10,0),"")</f>
        <v>20</v>
      </c>
      <c r="K18" s="25" t="str">
        <f>IFERROR(VLOOKUP($A18,CadastroEqTP!$A:$R,11,0),"")</f>
        <v>10B12A</v>
      </c>
      <c r="L18" s="25">
        <f>IFERROR(VLOOKUP($A18,CadastroEqTP!$A:$R,12,0),"")</f>
        <v>500</v>
      </c>
      <c r="M18" s="25" t="str">
        <f>IFERROR(VLOOKUP($A18,CadastroEqTP!$A:$R,13,0),"")</f>
        <v>Epóxi</v>
      </c>
      <c r="N18" s="25" t="str">
        <f>IFERROR(VLOOKUP($A18,CadastroEqTP!$A:$R,14,0),"")</f>
        <v>5A22</v>
      </c>
      <c r="O18" s="25" t="str">
        <f>IFERROR(VLOOKUP($A18,CadastroEqTP!$A:$R,15,0),"")</f>
        <v>5A23</v>
      </c>
      <c r="P18" s="25" t="str">
        <f>IFERROR(VLOOKUP($A18,CadastroEqTP!$A:$R,16,0),"")</f>
        <v>5A24</v>
      </c>
      <c r="Q18" s="25" t="str">
        <f>IFERROR(VLOOKUP($A18,CadastroEqTP!$A:$R,17,0),"")</f>
        <v>C:\Users\Lucão\Desktop\Rede\FATEC ADS\ProjetoCRUDVBA\imagens-de-teste\transformador-de-potencial-1.jpg</v>
      </c>
      <c r="R18" s="25">
        <f>IFERROR(VLOOKUP($A18,CadastroEqTP!$A:$R,18,0),"")</f>
        <v>45003</v>
      </c>
    </row>
    <row r="19" spans="1:19" s="21" customFormat="1" x14ac:dyDescent="0.35">
      <c r="A19" s="29" t="s">
        <v>150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M19" s="22"/>
    </row>
    <row r="20" spans="1:19" s="18" customFormat="1" x14ac:dyDescent="0.35">
      <c r="A20" s="28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4" customFormat="1" ht="15" thickBot="1" x14ac:dyDescent="0.4">
      <c r="A21" s="23">
        <v>6</v>
      </c>
      <c r="B21" s="24" t="str">
        <f>IF(A21="","Sem Código",IFERROR(VLOOKUP($A21,CadastroEqTRAFO!$A:$S,2,0),"Produto não Encontrado"))</f>
        <v>Multilaser SA</v>
      </c>
      <c r="C21" s="24" t="str">
        <f>IFERROR(VLOOKUP($A21,CadastroEqTRAFO!$A:$S,3,0),"")</f>
        <v>Cabine Secundária</v>
      </c>
      <c r="D21" s="24" t="str">
        <f>IFERROR(VLOOKUP($A21,CadastroEqTRAFO!$A:$S,4,0),"")</f>
        <v>WEG</v>
      </c>
      <c r="E21" s="24" t="str">
        <f>IFERROR(VLOOKUP($A21,CadastroEqTRAFO!$A:$S,5,0),"")</f>
        <v>TR555</v>
      </c>
      <c r="F21" s="24">
        <f>IFERROR(VLOOKUP($A21,CadastroEqTRAFO!$A:$S,6,0),"")</f>
        <v>1999</v>
      </c>
      <c r="G21" s="24">
        <f>IFERROR(VLOOKUP($A21,CadastroEqTRAFO!$A:$S,7,0),"")</f>
        <v>2000</v>
      </c>
      <c r="H21" s="24" t="str">
        <f>IFERROR(VLOOKUP($A21,CadastroEqTRAFO!$A:$S,8,0),"")</f>
        <v>W5TR27</v>
      </c>
      <c r="I21" s="24">
        <f>IFERROR(VLOOKUP($A21,CadastroEqTRAFO!$A:$S,9,0),"")</f>
        <v>500</v>
      </c>
      <c r="J21" s="24" t="str">
        <f>IFERROR(VLOOKUP($A21,CadastroEqTRAFO!$A:$S,10,0),"")</f>
        <v>1,75</v>
      </c>
      <c r="K21" s="25" t="str">
        <f>IFERROR(VLOOKUP($A21,CadastroEqTRAFO!$A:$S,11,0),"")</f>
        <v>Óleo Mineral</v>
      </c>
      <c r="L21" s="25">
        <f>IFERROR(VLOOKUP($A21,CadastroEqTRAFO!$A:$S,12,0),"")</f>
        <v>700</v>
      </c>
      <c r="M21" s="25" t="str">
        <f>IFERROR(VLOOKUP($A21,CadastroEqTRAFO!$A:$S,13,0),"")</f>
        <v>DYN1</v>
      </c>
      <c r="N21" s="25" t="str">
        <f>IFERROR(VLOOKUP($A21,CadastroEqTRAFO!$A:$S,14,0),"")</f>
        <v>Rotativo Interno</v>
      </c>
      <c r="O21" s="25" t="str">
        <f>IFERROR(VLOOKUP($A21,CadastroEqTRAFO!$A:$S,15,0),"")</f>
        <v>WEG</v>
      </c>
      <c r="P21" s="25" t="str">
        <f>IFERROR(VLOOKUP($A21,CadastroEqTRAFO!$A:$S,16,0),"")</f>
        <v>13,8/13,2/12,6/12,0/11,4</v>
      </c>
      <c r="Q21" s="25" t="str">
        <f>IFERROR(VLOOKUP($A21,CadastroEqTRAFO!$A:$S,17,0),"")</f>
        <v>380/220</v>
      </c>
      <c r="R21" s="25" t="str">
        <f>IFERROR(VLOOKUP($A21,CadastroEqTRAFO!$A:$S,18,0),"")</f>
        <v>C:\Users\Lucão\Desktop\Rede\FATEC ADS\ProjetoCRUDVBA\imagens-de-teste\TransformadorPotencia.jpg</v>
      </c>
      <c r="S21" s="25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4"/>
  <sheetViews>
    <sheetView tabSelected="1" topLeftCell="A4" workbookViewId="0">
      <selection activeCell="F21" sqref="F21"/>
    </sheetView>
  </sheetViews>
  <sheetFormatPr defaultRowHeight="14.5" x14ac:dyDescent="0.35"/>
  <cols>
    <col min="1" max="1" width="9.26953125" style="4" customWidth="1"/>
    <col min="2" max="2" width="26" style="2" bestFit="1" customWidth="1"/>
    <col min="3" max="3" width="27.453125" style="2" bestFit="1" customWidth="1"/>
    <col min="4" max="4" width="17.54296875" style="2" bestFit="1" customWidth="1"/>
    <col min="5" max="5" width="14.81640625" style="3" customWidth="1"/>
    <col min="6" max="6" width="9.1796875" customWidth="1"/>
  </cols>
  <sheetData>
    <row r="1" spans="1:7" x14ac:dyDescent="0.3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127</v>
      </c>
      <c r="G1" s="2" t="s">
        <v>128</v>
      </c>
    </row>
    <row r="2" spans="1:7" x14ac:dyDescent="0.3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129</v>
      </c>
    </row>
    <row r="3" spans="1:7" x14ac:dyDescent="0.3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130</v>
      </c>
    </row>
    <row r="4" spans="1:7" x14ac:dyDescent="0.3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131</v>
      </c>
    </row>
    <row r="5" spans="1:7" x14ac:dyDescent="0.3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132</v>
      </c>
    </row>
    <row r="6" spans="1:7" x14ac:dyDescent="0.3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133</v>
      </c>
    </row>
    <row r="7" spans="1:7" x14ac:dyDescent="0.3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134</v>
      </c>
    </row>
    <row r="8" spans="1:7" x14ac:dyDescent="0.3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135</v>
      </c>
    </row>
    <row r="9" spans="1:7" x14ac:dyDescent="0.3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136</v>
      </c>
    </row>
    <row r="10" spans="1:7" x14ac:dyDescent="0.3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137</v>
      </c>
    </row>
    <row r="11" spans="1:7" x14ac:dyDescent="0.3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138</v>
      </c>
    </row>
    <row r="12" spans="1:7" x14ac:dyDescent="0.3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139</v>
      </c>
    </row>
    <row r="13" spans="1:7" x14ac:dyDescent="0.3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140</v>
      </c>
    </row>
    <row r="14" spans="1:7" x14ac:dyDescent="0.35">
      <c r="A14" s="4">
        <v>13</v>
      </c>
      <c r="B14" s="2" t="s">
        <v>41</v>
      </c>
      <c r="C14" s="2" t="s">
        <v>141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workbookViewId="0">
      <selection activeCell="P2" sqref="P2"/>
    </sheetView>
  </sheetViews>
  <sheetFormatPr defaultRowHeight="14.5" x14ac:dyDescent="0.35"/>
  <cols>
    <col min="1" max="1" width="8.54296875" style="4" customWidth="1"/>
    <col min="2" max="2" width="11" style="2" bestFit="1" customWidth="1"/>
    <col min="3" max="3" width="19" style="2" bestFit="1" customWidth="1"/>
    <col min="4" max="4" width="11.54296875" style="2" customWidth="1"/>
    <col min="5" max="5" width="6.453125" style="2" customWidth="1"/>
    <col min="6" max="6" width="17.453125" style="4" customWidth="1"/>
    <col min="7" max="7" width="6.81640625" style="2" bestFit="1" customWidth="1"/>
    <col min="8" max="8" width="14" style="1" customWidth="1"/>
    <col min="9" max="9" width="16.7265625" style="5" bestFit="1" customWidth="1"/>
    <col min="10" max="10" width="13.26953125" style="1" bestFit="1" customWidth="1"/>
    <col min="11" max="11" width="10.1796875" style="1" customWidth="1"/>
    <col min="12" max="12" width="9.26953125" style="2" customWidth="1"/>
    <col min="13" max="13" width="20.453125" style="2" bestFit="1" customWidth="1"/>
    <col min="14" max="14" width="11.7265625" style="2" customWidth="1"/>
    <col min="15" max="16" width="11.54296875" style="2" customWidth="1"/>
    <col min="17" max="17" width="121.81640625" style="2" bestFit="1" customWidth="1"/>
    <col min="18" max="18" width="14.453125" style="3" customWidth="1"/>
  </cols>
  <sheetData>
    <row r="1" spans="1:18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3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6"/>
  <sheetViews>
    <sheetView workbookViewId="0">
      <selection activeCell="C10" sqref="C10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6.81640625" customWidth="1"/>
    <col min="7" max="7" width="41.26953125" bestFit="1" customWidth="1"/>
    <col min="8" max="8" width="17.26953125" style="4" customWidth="1"/>
    <col min="9" max="9" width="15.81640625" style="5" customWidth="1"/>
    <col min="10" max="10" width="17" customWidth="1"/>
    <col min="11" max="11" width="14.453125" customWidth="1"/>
  </cols>
  <sheetData>
    <row r="1" spans="1:11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3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3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3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3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35">
      <c r="A6">
        <v>13</v>
      </c>
      <c r="B6" t="s">
        <v>141</v>
      </c>
      <c r="C6" t="s">
        <v>42</v>
      </c>
      <c r="D6" t="s">
        <v>103</v>
      </c>
      <c r="E6" t="s">
        <v>142</v>
      </c>
      <c r="F6" t="s">
        <v>143</v>
      </c>
      <c r="G6" t="s">
        <v>45</v>
      </c>
      <c r="H6" s="4">
        <v>400</v>
      </c>
      <c r="I6" s="5">
        <v>15</v>
      </c>
      <c r="J6" t="s">
        <v>144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sqref="A1:O1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17.453125" customWidth="1"/>
    <col min="7" max="7" width="10.81640625" customWidth="1"/>
    <col min="8" max="8" width="17.26953125" customWidth="1"/>
    <col min="9" max="9" width="15.81640625" customWidth="1"/>
    <col min="10" max="10" width="13" customWidth="1"/>
    <col min="11" max="12" width="10" customWidth="1"/>
    <col min="13" max="13" width="11.7265625" customWidth="1"/>
    <col min="14" max="14" width="17" customWidth="1"/>
    <col min="15" max="15" width="14.453125" customWidth="1"/>
  </cols>
  <sheetData>
    <row r="1" spans="1:15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3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workbookViewId="0">
      <selection sqref="A1:O1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17.453125" customWidth="1"/>
    <col min="7" max="7" width="12" customWidth="1"/>
    <col min="8" max="8" width="15.81640625" customWidth="1"/>
    <col min="9" max="9" width="24.81640625" customWidth="1"/>
    <col min="10" max="10" width="9.54296875" customWidth="1"/>
    <col min="11" max="11" width="11.7265625" customWidth="1"/>
    <col min="12" max="13" width="11.54296875" customWidth="1"/>
    <col min="14" max="14" width="86.26953125" bestFit="1" customWidth="1"/>
    <col min="15" max="15" width="14.453125" customWidth="1"/>
  </cols>
  <sheetData>
    <row r="1" spans="1:15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3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3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workbookViewId="0">
      <selection activeCell="R1" sqref="A1:R1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17.453125" customWidth="1"/>
    <col min="7" max="7" width="15.54296875" customWidth="1"/>
    <col min="8" max="8" width="15.81640625" customWidth="1"/>
    <col min="9" max="9" width="18.453125" customWidth="1"/>
    <col min="10" max="10" width="11.1796875" customWidth="1"/>
    <col min="11" max="12" width="10.1796875" customWidth="1"/>
    <col min="13" max="13" width="9.54296875" customWidth="1"/>
    <col min="14" max="14" width="11.7265625" customWidth="1"/>
    <col min="15" max="16" width="11.54296875" customWidth="1"/>
    <col min="17" max="17" width="17" customWidth="1"/>
    <col min="18" max="18" width="14.453125" customWidth="1"/>
  </cols>
  <sheetData>
    <row r="1" spans="1:18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3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3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3"/>
  <sheetViews>
    <sheetView workbookViewId="0">
      <selection sqref="A1:S1"/>
    </sheetView>
  </sheetViews>
  <sheetFormatPr defaultRowHeight="14.5" x14ac:dyDescent="0.35"/>
  <cols>
    <col min="1" max="1" width="8.54296875" customWidth="1"/>
    <col min="2" max="2" width="12.1796875" bestFit="1" customWidth="1"/>
    <col min="3" max="3" width="36" bestFit="1" customWidth="1"/>
    <col min="4" max="4" width="11.54296875" customWidth="1"/>
    <col min="5" max="5" width="7.453125" bestFit="1" customWidth="1"/>
    <col min="6" max="6" width="17.453125" customWidth="1"/>
    <col min="7" max="7" width="11.1796875" customWidth="1"/>
    <col min="8" max="8" width="10.81640625" customWidth="1"/>
    <col min="9" max="9" width="10.1796875" customWidth="1"/>
    <col min="10" max="10" width="12.54296875" customWidth="1"/>
    <col min="11" max="11" width="12.54296875" bestFit="1" customWidth="1"/>
    <col min="12" max="12" width="13.1796875" customWidth="1"/>
    <col min="13" max="13" width="14.1796875" customWidth="1"/>
    <col min="14" max="14" width="15.54296875" bestFit="1" customWidth="1"/>
    <col min="15" max="15" width="14.81640625" customWidth="1"/>
    <col min="16" max="16" width="22.7265625" bestFit="1" customWidth="1"/>
    <col min="17" max="17" width="12.453125" customWidth="1"/>
    <col min="18" max="18" width="98.54296875" bestFit="1" customWidth="1"/>
    <col min="19" max="19" width="14.453125" customWidth="1"/>
  </cols>
  <sheetData>
    <row r="1" spans="1:19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3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3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Aluno</cp:lastModifiedBy>
  <dcterms:created xsi:type="dcterms:W3CDTF">2015-06-05T18:19:34Z</dcterms:created>
  <dcterms:modified xsi:type="dcterms:W3CDTF">2023-03-29T00:19:28Z</dcterms:modified>
</cp:coreProperties>
</file>