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lta\OneDrive\Área de Trabalho\projetoVBA\Projeto-CRUD-PMI-ESS\"/>
    </mc:Choice>
  </mc:AlternateContent>
  <bookViews>
    <workbookView xWindow="-120" yWindow="-120" windowWidth="20730" windowHeight="11160" activeTab="1"/>
  </bookViews>
  <sheets>
    <sheet name="PROCV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8" l="1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B6" i="8"/>
  <c r="E3" i="8"/>
  <c r="D3" i="8"/>
  <c r="C3" i="8"/>
  <c r="B3" i="8"/>
  <c r="C9" i="8"/>
  <c r="K9" i="8"/>
  <c r="J9" i="8"/>
  <c r="I9" i="8"/>
  <c r="H9" i="8"/>
  <c r="G9" i="8"/>
  <c r="F9" i="8"/>
  <c r="E9" i="8"/>
  <c r="D9" i="8"/>
  <c r="B9" i="8"/>
  <c r="F14" i="1" l="1"/>
  <c r="F2" i="1"/>
  <c r="F3" i="1"/>
  <c r="F4" i="1"/>
  <c r="F5" i="1"/>
  <c r="F6" i="1"/>
  <c r="F7" i="1"/>
  <c r="F8" i="1"/>
  <c r="F9" i="1"/>
  <c r="F10" i="1"/>
  <c r="F11" i="1"/>
  <c r="F12" i="1"/>
  <c r="F13" i="1"/>
  <c r="K3" i="8" l="1"/>
  <c r="J3" i="8"/>
  <c r="I3" i="8"/>
  <c r="H3" i="8"/>
  <c r="G3" i="8"/>
  <c r="F3" i="8"/>
</calcChain>
</file>

<file path=xl/sharedStrings.xml><?xml version="1.0" encoding="utf-8"?>
<sst xmlns="http://schemas.openxmlformats.org/spreadsheetml/2006/main" count="372" uniqueCount="143">
  <si>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</si>
  <si>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</si>
  <si>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</si>
  <si>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</si>
  <si>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</si>
  <si>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</si>
  <si>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</si>
  <si>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</si>
  <si>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</si>
  <si>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</si>
  <si>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</si>
  <si>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</si>
  <si>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</si>
  <si>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</si>
  <si>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</si>
  <si>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</si>
  <si>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</si>
  <si>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</si>
  <si>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</si>
  <si>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</si>
  <si>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</si>
  <si>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</si>
  <si>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</si>
  <si>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</si>
  <si>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</si>
  <si>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</si>
  <si>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</si>
  <si>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</si>
  <si>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</si>
  <si>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</si>
  <si>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</si>
  <si>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</si>
  <si>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</si>
  <si>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</si>
  <si>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</si>
  <si>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</si>
  <si>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</si>
  <si>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</si>
  <si>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</si>
  <si>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</si>
  <si>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</si>
  <si>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</si>
  <si>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</si>
  <si>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A.Cabine</t>
  </si>
  <si>
    <t>GVL</t>
  </si>
  <si>
    <t>Manual com abertura por bastão de manobra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</si>
  <si>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</si>
  <si>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</si>
  <si>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</si>
  <si>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</si>
  <si>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</si>
  <si>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</si>
  <si>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</si>
  <si>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</si>
  <si>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Transformador de Corrente</t>
  </si>
  <si>
    <t>Instrumenti</t>
  </si>
  <si>
    <t>45/-kV</t>
  </si>
  <si>
    <t>1,2xin</t>
  </si>
  <si>
    <t>200-5A</t>
  </si>
  <si>
    <t>Para-Raios</t>
  </si>
  <si>
    <t>Balestro</t>
  </si>
  <si>
    <t>PBP12</t>
  </si>
  <si>
    <t>Polimérico</t>
  </si>
  <si>
    <t>Transformador de Potência</t>
  </si>
  <si>
    <t>Cabine Secundária</t>
  </si>
  <si>
    <t>WEG</t>
  </si>
  <si>
    <t>1,75</t>
  </si>
  <si>
    <t>Óleo Mineral</t>
  </si>
  <si>
    <t>DYN1</t>
  </si>
  <si>
    <t>Rotativo Interno</t>
  </si>
  <si>
    <t>380/220</t>
  </si>
  <si>
    <t>Disjuntor</t>
  </si>
  <si>
    <t>MAF15</t>
  </si>
  <si>
    <t>Manual e Motorizado</t>
  </si>
  <si>
    <t>Indireto</t>
  </si>
  <si>
    <t>-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</si>
  <si>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</si>
  <si>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</si>
  <si>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</si>
  <si>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</si>
  <si>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</si>
  <si>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</si>
  <si>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</si>
  <si>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</si>
  <si>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</si>
  <si>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</si>
  <si>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</si>
  <si>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</si>
  <si>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</si>
  <si>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</si>
  <si>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</si>
  <si>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</si>
  <si>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</si>
  <si>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</si>
  <si>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</si>
  <si>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</si>
  <si>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</si>
  <si>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</si>
  <si>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</si>
  <si>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</si>
  <si>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</si>
  <si>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Multilaser SA</t>
  </si>
  <si>
    <t>TR555</t>
  </si>
  <si>
    <t>W5TR27</t>
  </si>
  <si>
    <t>13,8/13,2/12,6/12,0/11,4</t>
  </si>
  <si>
    <t>Asus Eletronics</t>
  </si>
  <si>
    <t>K593</t>
  </si>
  <si>
    <t>PP159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</si>
  <si>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</si>
  <si>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</si>
  <si>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</si>
  <si>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</si>
  <si>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</si>
  <si>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</si>
  <si>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</si>
  <si>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</si>
  <si>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</si>
  <si>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</si>
  <si>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Will Geradores</t>
  </si>
  <si>
    <t>Coluna1</t>
  </si>
  <si>
    <t>Coluna2</t>
  </si>
  <si>
    <t>1Transformador de PotencialUltra VentiladoresCabine Primária</t>
  </si>
  <si>
    <t>2Transformador de PotencialLogitech EletronicsCabine Primária</t>
  </si>
  <si>
    <t>3Transformador de CorrenteUltra VentiladoresCabine Primária</t>
  </si>
  <si>
    <t>4Para-RaiosUltra VentiladoresCabine Secundária</t>
  </si>
  <si>
    <t>5Para-RaiosElgin BateriasCabine Secundária</t>
  </si>
  <si>
    <t>6Transformador de PotênciaMultilaser SACabine Secundária</t>
  </si>
  <si>
    <t>7Chave SeccionadoraAsus EletronicsCabine Primária</t>
  </si>
  <si>
    <t>8Chave SeccionadoraLogitech EletronicsCabine Secundária</t>
  </si>
  <si>
    <t>9DisjuntorEdifier Soluções AudiovisuaisCabine Primária</t>
  </si>
  <si>
    <t>10Chave SeccionadoraFastPlasCabine Secundária</t>
  </si>
  <si>
    <t>11Transformador de PotênciaMagazineluiza Vila IndustrialCabine Secundária</t>
  </si>
  <si>
    <t>12Chave SeccionadoraWill GeradoresCabine Secundária</t>
  </si>
  <si>
    <t>Delta P</t>
  </si>
  <si>
    <t>GVL15</t>
  </si>
  <si>
    <t>RRR5</t>
  </si>
  <si>
    <t>Procv EqGeral</t>
  </si>
  <si>
    <t>Procv EqTC</t>
  </si>
  <si>
    <t>Procv EqDJ</t>
  </si>
  <si>
    <t>Procv EqPR</t>
  </si>
  <si>
    <t>Procv EqTP</t>
  </si>
  <si>
    <t>Procv EqTRAFO</t>
  </si>
  <si>
    <t>13Chave SeccionadoraDelta PCabine Primária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</si>
</sst>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2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2" fontId="1" fillId="2" borderId="2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49" fontId="1" fillId="0" borderId="2" xfId="0" applyNumberFormat="1" applyFont="1" applyBorder="1"/>
    <xf numFmtId="1" fontId="1" fillId="0" borderId="2" xfId="0" applyNumberFormat="1" applyFont="1" applyBorder="1"/>
    <xf numFmtId="164" fontId="1" fillId="0" borderId="2" xfId="0" applyNumberFormat="1" applyFont="1" applyBorder="1"/>
    <xf numFmtId="14" fontId="1" fillId="0" borderId="3" xfId="0" applyNumberFormat="1" applyFont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1" fontId="1" fillId="2" borderId="12" xfId="0" applyNumberFormat="1" applyFont="1" applyFill="1" applyBorder="1"/>
    <xf numFmtId="49" fontId="0" fillId="0" borderId="10" xfId="0" applyNumberFormat="1" applyBorder="1"/>
    <xf numFmtId="2" fontId="0" fillId="0" borderId="10" xfId="0" applyNumberFormat="1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36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ela2" displayName="Tabela2" ref="A1:G14" totalsRowShown="0" headerRowDxfId="35">
  <autoFilter ref="A1:G14">
    <filterColumn colId="0" hiddenButton="1"/>
    <filterColumn colId="1" hiddenButton="1"/>
    <filterColumn colId="2" hiddenButton="1"/>
    <filterColumn colId="3" hiddenButton="1"/>
    <filterColumn colId="4" hiddenButton="1"/>
  </autoFilter>
  <tableColumns count="7">
    <tableColumn id="1" name="Codigo" dataDxfId="34"/>
    <tableColumn id="2" name="TipoDeEquipamento" dataDxfId="33"/>
    <tableColumn id="3" name="Cliente" dataDxfId="32"/>
    <tableColumn id="4" name="Identificacao" dataDxfId="31"/>
    <tableColumn id="5" name="DataCadastro" dataDxfId="30"/>
    <tableColumn id="11" name="Coluna1" dataDxfId="29">
      <calculatedColumnFormula>CONCATENATE(Tabela2[[#This Row],[Codigo]],Tabela2[[#This Row],[TipoDeEquipamento]],Tabela2[[#This Row],[Cliente]],Tabela2[[#This Row],[Identificacao]])</calculatedColumnFormula>
    </tableColumn>
    <tableColumn id="12" name="Coluna2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id="1" name="Tabela1" displayName="Tabela1" ref="A1:R2" totalsRowShown="0" headerRowDxfId="27">
  <autoFilter ref="A1:R2"/>
  <tableColumns count="18">
    <tableColumn id="1" name="Codigo" dataDxfId="26"/>
    <tableColumn id="2" name="Cliente" dataDxfId="25"/>
    <tableColumn id="3" name="Identificacao" dataDxfId="24"/>
    <tableColumn id="4" name="Fabricante" dataDxfId="23"/>
    <tableColumn id="5" name="Tipo" dataDxfId="22"/>
    <tableColumn id="6" name="AnoDeFabricacao" dataDxfId="21"/>
    <tableColumn id="7" name="NBI" dataDxfId="20"/>
    <tableColumn id="8" name="FatorTermico" dataDxfId="19"/>
    <tableColumn id="9" name="ClasseTensao" dataDxfId="18"/>
    <tableColumn id="10" name="PesoTotal" dataDxfId="17"/>
    <tableColumn id="11" name="Exatidao" dataDxfId="16"/>
    <tableColumn id="12" name="Relacao" dataDxfId="15"/>
    <tableColumn id="13" name="Isolante" dataDxfId="14"/>
    <tableColumn id="14" name="SerieFaseR" dataDxfId="13"/>
    <tableColumn id="15" name="SerieFaseS" dataDxfId="12"/>
    <tableColumn id="16" name="SerieFaseT" dataDxfId="11"/>
    <tableColumn id="17" name="CaminhoImagem" dataDxfId="10"/>
    <tableColumn id="18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1:K6" totalsRowShown="0">
  <autoFilter ref="A1:K6"/>
  <tableColumns count="11">
    <tableColumn id="1" name="Codigo"/>
    <tableColumn id="2" name="Cliente"/>
    <tableColumn id="3" name="Identificacao"/>
    <tableColumn id="4" name="Fabricante"/>
    <tableColumn id="5" name="Tipo"/>
    <tableColumn id="6" name="Serie"/>
    <tableColumn id="7" name="TipoDeMecanismo"/>
    <tableColumn id="8" name="CorrenteNominal" dataDxfId="8"/>
    <tableColumn id="9" name="TensaoNominal" dataDxfId="7"/>
    <tableColumn id="10" name="CaminhoImagem"/>
    <tableColumn id="11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a4" displayName="Tabela4" ref="A1:O2" totalsRowShown="0">
  <autoFilter ref="A1:O2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NumSerie"/>
    <tableColumn id="8" name="CorrenteNominal"/>
    <tableColumn id="9" name="TensaoNominal"/>
    <tableColumn id="10" name="CapInterrup"/>
    <tableColumn id="11" name="TipoMec"/>
    <tableColumn id="12" name="TipoRele"/>
    <tableColumn id="13" name="AjusteRele"/>
    <tableColumn id="14" name="CaminhoImagem"/>
    <tableColumn id="15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5" displayName="Tabela5" ref="A1:O3" totalsRowShown="0" headerRowDxfId="4">
  <autoFilter ref="A1:O3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Frequencia"/>
    <tableColumn id="8" name="TensaoNominal"/>
    <tableColumn id="9" name="CorrenteNominalDescarga"/>
    <tableColumn id="10" name="Isolante"/>
    <tableColumn id="11" name="SerieFaseR"/>
    <tableColumn id="12" name="SerieFaseS"/>
    <tableColumn id="13" name="SerieFaseT"/>
    <tableColumn id="14" name="CaminhoImagem"/>
    <tableColumn id="15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ela6" displayName="Tabela6" ref="A1:R3" totalsRowShown="0">
  <autoFilter ref="A1:R3"/>
  <tableColumns count="18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TensaoMaxima"/>
    <tableColumn id="8" name="TensaoPrimaria"/>
    <tableColumn id="9" name="Tensao Secundaria"/>
    <tableColumn id="10" name="PesoTotal"/>
    <tableColumn id="11" name="Exatidao"/>
    <tableColumn id="12" name="Potencia"/>
    <tableColumn id="13" name="Isolante"/>
    <tableColumn id="14" name="SerieFaseR"/>
    <tableColumn id="15" name="SerieFaseS"/>
    <tableColumn id="16" name="SerieFaseT"/>
    <tableColumn id="17" name="CaminhoImagem"/>
    <tableColumn id="18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ela7" displayName="Tabela7" ref="A1:S3" totalsRowShown="0" headerRowDxfId="1">
  <autoFilter ref="A1:S3"/>
  <tableColumns count="19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PesoTotal"/>
    <tableColumn id="8" name="NumSerie"/>
    <tableColumn id="9" name="Potencia"/>
    <tableColumn id="10" name="Impedancia"/>
    <tableColumn id="11" name="Isolante"/>
    <tableColumn id="12" name="VolumeOleo"/>
    <tableColumn id="13" name="GrupoLigacao"/>
    <tableColumn id="14" name="TipoTAP"/>
    <tableColumn id="15" name="FabricanteTAP"/>
    <tableColumn id="16" name="TensoesPrim"/>
    <tableColumn id="17" name="TensoesSec"/>
    <tableColumn id="18" name="CaminhoImagem"/>
    <tableColumn id="19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S21"/>
  <sheetViews>
    <sheetView topLeftCell="B1" workbookViewId="0">
      <selection activeCell="P24" sqref="P24"/>
    </sheetView>
  </sheetViews>
  <sheetFormatPr defaultRowHeight="15" x14ac:dyDescent="0.25"/>
  <cols>
    <col min="2" max="2" width="21.5703125" bestFit="1" customWidth="1"/>
    <col min="4" max="4" width="21.5703125" bestFit="1" customWidth="1"/>
    <col min="5" max="5" width="10.42578125" bestFit="1" customWidth="1"/>
    <col min="11" max="11" width="10.42578125" customWidth="1"/>
    <col min="12" max="12" width="10.42578125" bestFit="1" customWidth="1"/>
    <col min="13" max="13" width="10.42578125" style="3" bestFit="1" customWidth="1"/>
    <col min="14" max="14" width="12.85546875" customWidth="1"/>
    <col min="15" max="15" width="10.42578125" bestFit="1" customWidth="1"/>
    <col min="18" max="19" width="10.42578125" bestFit="1" customWidth="1"/>
  </cols>
  <sheetData>
    <row r="1" spans="1:18" s="19" customFormat="1" ht="15.75" thickBot="1" x14ac:dyDescent="0.3">
      <c r="A1" s="29" t="s">
        <v>136</v>
      </c>
      <c r="B1" s="30"/>
      <c r="C1" s="30"/>
      <c r="D1" s="30"/>
      <c r="E1" s="30"/>
      <c r="F1" s="18"/>
      <c r="G1" s="18"/>
      <c r="H1" s="18"/>
      <c r="I1" s="18"/>
      <c r="J1" s="18"/>
      <c r="K1" s="18"/>
      <c r="M1" s="20"/>
    </row>
    <row r="2" spans="1:18" x14ac:dyDescent="0.25">
      <c r="A2" s="24" t="s">
        <v>3</v>
      </c>
      <c r="B2" s="7" t="s">
        <v>20</v>
      </c>
      <c r="C2" s="7" t="s">
        <v>0</v>
      </c>
      <c r="D2" s="7" t="s">
        <v>4</v>
      </c>
      <c r="E2" s="7" t="s">
        <v>14</v>
      </c>
      <c r="F2" s="14"/>
      <c r="G2" s="14"/>
      <c r="H2" s="15"/>
      <c r="I2" s="16"/>
      <c r="J2" s="14"/>
      <c r="K2" s="17"/>
    </row>
    <row r="3" spans="1:18" s="22" customFormat="1" ht="15.75" thickBot="1" x14ac:dyDescent="0.3">
      <c r="A3" s="21">
        <v>1</v>
      </c>
      <c r="B3" s="22" t="str">
        <f>IF(A3="","Sem Código",IFERROR(VLOOKUP($A3,CadastroEqGeral!$A:$K,2,0),"Produto não Encontrado"))</f>
        <v>Transformador de Potencial</v>
      </c>
      <c r="C3" s="22" t="str">
        <f>IFERROR(VLOOKUP($A3,CadastroEqGeral!$A:$K,3,0),"")</f>
        <v>Ultra Ventiladores</v>
      </c>
      <c r="D3" s="22" t="str">
        <f>IFERROR(VLOOKUP($A3,CadastroEqGeral!$A:$K,4,0),"")</f>
        <v>Cabine Primária</v>
      </c>
      <c r="E3" s="23">
        <f>IFERROR(VLOOKUP($A3,CadastroEqGeral!$A:$K,5,0),"")</f>
        <v>45003</v>
      </c>
      <c r="F3" s="22" t="str">
        <f>IFERROR(VLOOKUP($A3,CadastroEqCS!$A:$K,6,0),"")</f>
        <v/>
      </c>
      <c r="G3" s="22" t="str">
        <f>IFERROR(VLOOKUP($A3,CadastroEqCS!$A:$K,7,0),"")</f>
        <v/>
      </c>
      <c r="H3" s="22" t="str">
        <f>IFERROR(VLOOKUP($A3,CadastroEqCS!$A:$K,8,0),"")</f>
        <v/>
      </c>
      <c r="I3" s="22" t="str">
        <f>IFERROR(VLOOKUP($A3,CadastroEqCS!$A:$K,9,0),"")</f>
        <v/>
      </c>
      <c r="J3" s="22" t="str">
        <f>IFERROR(VLOOKUP($A3,CadastroEqCS!$A:$K,10,0),"")</f>
        <v/>
      </c>
      <c r="K3" s="23" t="str">
        <f>IFERROR(VLOOKUP($A3,CadastroEqCS!$A:$K,11,0),"")</f>
        <v/>
      </c>
      <c r="M3" s="23"/>
    </row>
    <row r="4" spans="1:18" s="19" customFormat="1" x14ac:dyDescent="0.25">
      <c r="A4" s="27" t="s">
        <v>137</v>
      </c>
      <c r="B4" s="28"/>
      <c r="C4" s="28"/>
      <c r="D4" s="28"/>
      <c r="E4" s="28"/>
      <c r="F4" s="28"/>
      <c r="G4" s="28"/>
      <c r="H4" s="28"/>
      <c r="I4" s="28"/>
      <c r="J4" s="28"/>
      <c r="K4" s="28"/>
      <c r="M4" s="20"/>
    </row>
    <row r="5" spans="1:18" x14ac:dyDescent="0.25">
      <c r="A5" s="24" t="s">
        <v>3</v>
      </c>
      <c r="B5" s="7" t="s">
        <v>0</v>
      </c>
      <c r="C5" s="7" t="s">
        <v>4</v>
      </c>
      <c r="D5" s="7" t="s">
        <v>1</v>
      </c>
      <c r="E5" s="7" t="s">
        <v>2</v>
      </c>
      <c r="F5" s="8" t="s">
        <v>5</v>
      </c>
      <c r="G5" s="7" t="s">
        <v>6</v>
      </c>
      <c r="H5" s="11" t="s">
        <v>7</v>
      </c>
      <c r="I5" s="9" t="s">
        <v>27</v>
      </c>
      <c r="J5" s="11" t="s">
        <v>28</v>
      </c>
      <c r="K5" s="11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  <c r="Q5" s="7" t="s">
        <v>15</v>
      </c>
      <c r="R5" s="10" t="s">
        <v>14</v>
      </c>
    </row>
    <row r="6" spans="1:18" s="22" customFormat="1" ht="15.75" thickBot="1" x14ac:dyDescent="0.3">
      <c r="A6" s="21">
        <v>3</v>
      </c>
      <c r="B6" s="22" t="str">
        <f>IF(A6="","Sem Código",IFERROR(VLOOKUP($A6,CadastroEqTC!$A:$R,2,0),"Produto não Encontrado"))</f>
        <v>Ultra Ventiladores</v>
      </c>
      <c r="C6" s="22" t="str">
        <f>IFERROR(VLOOKUP($A6,CadastroEqTC!$A:$R,3,0),"")</f>
        <v>Cabine Primária</v>
      </c>
      <c r="D6" s="22" t="str">
        <f>IFERROR(VLOOKUP($A6,CadastroEqTC!$A:$R,4,0),"")</f>
        <v>Instrumenti</v>
      </c>
      <c r="E6" s="22" t="str">
        <f>IFERROR(VLOOKUP($A6,CadastroEqTC!$A:$R,5,0),"")</f>
        <v>TC444</v>
      </c>
      <c r="F6" s="22">
        <f>IFERROR(VLOOKUP($A6,CadastroEqTC!$A:$R,6,0),"")</f>
        <v>1997</v>
      </c>
      <c r="G6" s="22" t="str">
        <f>IFERROR(VLOOKUP($A6,CadastroEqTC!$A:$R,7,0),"")</f>
        <v>45/-kV</v>
      </c>
      <c r="H6" s="22" t="str">
        <f>IFERROR(VLOOKUP($A6,CadastroEqTC!$A:$R,8,0),"")</f>
        <v>1,2xin</v>
      </c>
      <c r="I6" s="22">
        <f>IFERROR(VLOOKUP($A6,CadastroEqTC!$A:$R,9,0),"")</f>
        <v>15</v>
      </c>
      <c r="J6" s="22">
        <f>IFERROR(VLOOKUP($A6,CadastroEqTC!$A:$R,10,0),"")</f>
        <v>10</v>
      </c>
      <c r="K6" s="23" t="str">
        <f>IFERROR(VLOOKUP($A6,CadastroEqTC!$A:$R,11,0),"")</f>
        <v>10C28</v>
      </c>
      <c r="L6" s="23" t="str">
        <f>IFERROR(VLOOKUP($A6,CadastroEqTC!$A:$R,12,0),"")</f>
        <v>200-5A</v>
      </c>
      <c r="M6" s="23" t="str">
        <f>IFERROR(VLOOKUP($A6,CadastroEqTC!$A:$R,13,0),"")</f>
        <v>Epóxi</v>
      </c>
      <c r="N6" s="23" t="str">
        <f>IFERROR(VLOOKUP($A6,CadastroEqTC!$A:$R,14,0),"")</f>
        <v>555G</v>
      </c>
      <c r="O6" s="23" t="str">
        <f>IFERROR(VLOOKUP($A6,CadastroEqTC!$A:$R,15,0),"")</f>
        <v>555H</v>
      </c>
      <c r="P6" s="23" t="str">
        <f>IFERROR(VLOOKUP($A6,CadastroEqTC!$A:$R,16,0),"")</f>
        <v>555I</v>
      </c>
      <c r="Q6" s="25">
        <f>IFERROR(VLOOKUP($A6,CadastroEqTC!$A:$R,17,0),"")</f>
        <v>0</v>
      </c>
      <c r="R6" s="23">
        <f>IFERROR(VLOOKUP($A6,CadastroEqTC!$A:$R,18,0),"")</f>
        <v>45003</v>
      </c>
    </row>
    <row r="7" spans="1:18" x14ac:dyDescent="0.25">
      <c r="A7" s="31" t="s">
        <v>112</v>
      </c>
      <c r="B7" s="31"/>
      <c r="C7" s="31"/>
      <c r="D7" s="31"/>
      <c r="E7" s="31"/>
      <c r="F7" s="31"/>
      <c r="G7" s="31"/>
      <c r="H7" s="31"/>
      <c r="I7" s="31"/>
      <c r="J7" s="31"/>
      <c r="K7" s="31"/>
    </row>
    <row r="8" spans="1:18" x14ac:dyDescent="0.25">
      <c r="A8" s="6" t="s">
        <v>3</v>
      </c>
      <c r="B8" s="7" t="s">
        <v>0</v>
      </c>
      <c r="C8" s="7" t="s">
        <v>4</v>
      </c>
      <c r="D8" s="7" t="s">
        <v>1</v>
      </c>
      <c r="E8" s="7" t="s">
        <v>2</v>
      </c>
      <c r="F8" s="7" t="s">
        <v>16</v>
      </c>
      <c r="G8" s="7" t="s">
        <v>17</v>
      </c>
      <c r="H8" s="8" t="s">
        <v>18</v>
      </c>
      <c r="I8" s="9" t="s">
        <v>19</v>
      </c>
      <c r="J8" s="7" t="s">
        <v>15</v>
      </c>
      <c r="K8" s="10" t="s">
        <v>14</v>
      </c>
    </row>
    <row r="9" spans="1:18" ht="15.75" thickBot="1" x14ac:dyDescent="0.3">
      <c r="A9">
        <v>7</v>
      </c>
      <c r="B9" t="str">
        <f>IF(A9="","Sem Código",IFERROR(VLOOKUP($A9,CadastroEqCS!$A:$K,2,0),"Produto não Encontrado"))</f>
        <v>Asus Eletronics</v>
      </c>
      <c r="C9" t="str">
        <f>IFERROR(VLOOKUP($A9,CadastroEqCS!$A:$K,3,0),"")</f>
        <v>Cabine Primária</v>
      </c>
      <c r="D9" t="str">
        <f>IFERROR(VLOOKUP($A9,CadastroEqCS!$A:$K,4,0),"")</f>
        <v>A.Cabine</v>
      </c>
      <c r="E9" t="str">
        <f>IFERROR(VLOOKUP($A9,CadastroEqCS!$A:$K,5,0),"")</f>
        <v>GVL</v>
      </c>
      <c r="F9" t="str">
        <f>IFERROR(VLOOKUP($A9,CadastroEqCS!$A:$K,6,0),"")</f>
        <v>K593</v>
      </c>
      <c r="G9" t="str">
        <f>IFERROR(VLOOKUP($A9,CadastroEqCS!$A:$K,7,0),"")</f>
        <v>Manual com abertura por bastão de manobra</v>
      </c>
      <c r="H9">
        <f>IFERROR(VLOOKUP($A9,CadastroEqCS!$A:$K,8,0),"")</f>
        <v>400</v>
      </c>
      <c r="I9">
        <f>IFERROR(VLOOKUP($A9,CadastroEqCS!$A:$K,9,0),"")</f>
        <v>15</v>
      </c>
      <c r="J9">
        <f>IFERROR(VLOOKUP($A9,CadastroEqCS!$A:$K,10,0),"")</f>
        <v>0</v>
      </c>
      <c r="K9" s="3">
        <f>IFERROR(VLOOKUP($A9,CadastroEqCS!$A:$K,11,0),"")</f>
        <v>45003</v>
      </c>
    </row>
    <row r="10" spans="1:18" s="19" customFormat="1" x14ac:dyDescent="0.25">
      <c r="A10" s="27" t="s">
        <v>138</v>
      </c>
      <c r="B10" s="28"/>
      <c r="C10" s="28"/>
      <c r="D10" s="28"/>
      <c r="E10" s="28"/>
      <c r="F10" s="28"/>
      <c r="G10" s="28"/>
      <c r="H10" s="28"/>
      <c r="I10" s="28"/>
      <c r="J10" s="28"/>
      <c r="K10" s="28"/>
      <c r="M10" s="20"/>
    </row>
    <row r="11" spans="1:18" x14ac:dyDescent="0.25">
      <c r="A11" s="24" t="s">
        <v>3</v>
      </c>
      <c r="B11" s="7" t="s">
        <v>0</v>
      </c>
      <c r="C11" s="7" t="s">
        <v>4</v>
      </c>
      <c r="D11" s="7" t="s">
        <v>1</v>
      </c>
      <c r="E11" s="7" t="s">
        <v>2</v>
      </c>
      <c r="F11" s="7" t="s">
        <v>5</v>
      </c>
      <c r="G11" s="7" t="s">
        <v>21</v>
      </c>
      <c r="H11" s="8" t="s">
        <v>18</v>
      </c>
      <c r="I11" s="9" t="s">
        <v>19</v>
      </c>
      <c r="J11" s="7" t="s">
        <v>22</v>
      </c>
      <c r="K11" s="12" t="s">
        <v>23</v>
      </c>
      <c r="L11" s="13" t="s">
        <v>24</v>
      </c>
      <c r="M11" s="13" t="s">
        <v>25</v>
      </c>
      <c r="N11" s="7" t="s">
        <v>15</v>
      </c>
      <c r="O11" s="10" t="s">
        <v>14</v>
      </c>
    </row>
    <row r="12" spans="1:18" s="22" customFormat="1" ht="15.75" thickBot="1" x14ac:dyDescent="0.3">
      <c r="A12" s="21">
        <v>9</v>
      </c>
      <c r="B12" s="22" t="str">
        <f>IF(A12="","Sem Código",IFERROR(VLOOKUP($A12,CadastroEqDJ!$A:$O,2,0),"Produto não Encontrado"))</f>
        <v>Edifier Soluções Audiovisuais</v>
      </c>
      <c r="C12" s="22" t="str">
        <f>IFERROR(VLOOKUP($A12,CadastroEqDJ!$A:$O,3,0),"")</f>
        <v>Cabine Primária</v>
      </c>
      <c r="D12" s="22" t="str">
        <f>IFERROR(VLOOKUP($A12,CadastroEqDJ!$A:$O,4,0),"")</f>
        <v>Beghim</v>
      </c>
      <c r="E12" s="22" t="str">
        <f>IFERROR(VLOOKUP($A12,CadastroEqDJ!$A:$O,5,0),"")</f>
        <v>MAF15</v>
      </c>
      <c r="F12" s="22">
        <f>IFERROR(VLOOKUP($A12,CadastroEqDJ!$A:$O,6,0),"")</f>
        <v>2009</v>
      </c>
      <c r="G12" s="22" t="str">
        <f>IFERROR(VLOOKUP($A12,CadastroEqDJ!$A:$O,7,0),"")</f>
        <v>DX5S8H</v>
      </c>
      <c r="H12" s="22">
        <f>IFERROR(VLOOKUP($A12,CadastroEqDJ!$A:$O,8,0),"")</f>
        <v>630</v>
      </c>
      <c r="I12" s="22" t="str">
        <f>IFERROR(VLOOKUP($A12,CadastroEqDJ!$A:$O,9,0),"")</f>
        <v>17,5</v>
      </c>
      <c r="J12" s="22">
        <f>IFERROR(VLOOKUP($A12,CadastroEqDJ!$A:$O,10,0),"")</f>
        <v>45</v>
      </c>
      <c r="K12" s="23" t="str">
        <f>IFERROR(VLOOKUP($A12,CadastroEqDJ!$A:$O,11,0),"")</f>
        <v>Manual e Motorizado</v>
      </c>
      <c r="L12" s="23" t="str">
        <f>IFERROR(VLOOKUP($A12,CadastroEqDJ!$A:$O,12,0),"")</f>
        <v>Indireto</v>
      </c>
      <c r="M12" s="23" t="str">
        <f>IFERROR(VLOOKUP($A12,CadastroEqDJ!$A:$O,13,0),"")</f>
        <v>-</v>
      </c>
      <c r="N12" s="25">
        <f>IFERROR(VLOOKUP($A12,CadastroEqDJ!$A:$O,14,0),"")</f>
        <v>0</v>
      </c>
      <c r="O12" s="23">
        <f>IFERROR(VLOOKUP($A12,CadastroEqDJ!$A:$O,15,0),"")</f>
        <v>45003</v>
      </c>
    </row>
    <row r="13" spans="1:18" x14ac:dyDescent="0.25">
      <c r="A13" s="31" t="s">
        <v>139</v>
      </c>
      <c r="B13" s="31"/>
      <c r="C13" s="31"/>
      <c r="D13" s="31"/>
      <c r="E13" s="31"/>
      <c r="F13" s="31"/>
      <c r="G13" s="31"/>
      <c r="H13" s="31"/>
      <c r="I13" s="31"/>
      <c r="J13" s="31"/>
      <c r="K13" s="31"/>
    </row>
    <row r="14" spans="1:18" x14ac:dyDescent="0.25">
      <c r="A14" s="6" t="s">
        <v>3</v>
      </c>
      <c r="B14" s="7" t="s">
        <v>0</v>
      </c>
      <c r="C14" s="7" t="s">
        <v>4</v>
      </c>
      <c r="D14" s="7" t="s">
        <v>1</v>
      </c>
      <c r="E14" s="7" t="s">
        <v>2</v>
      </c>
      <c r="F14" s="7" t="s">
        <v>5</v>
      </c>
      <c r="G14" s="7" t="s">
        <v>26</v>
      </c>
      <c r="H14" s="9" t="s">
        <v>19</v>
      </c>
      <c r="I14" s="7" t="s">
        <v>29</v>
      </c>
      <c r="J14" s="7" t="s">
        <v>10</v>
      </c>
      <c r="K14" s="7" t="s">
        <v>11</v>
      </c>
      <c r="L14" s="7" t="s">
        <v>12</v>
      </c>
      <c r="M14" s="7" t="s">
        <v>13</v>
      </c>
      <c r="N14" s="7" t="s">
        <v>15</v>
      </c>
      <c r="O14" s="10" t="s">
        <v>14</v>
      </c>
    </row>
    <row r="15" spans="1:18" ht="15.75" thickBot="1" x14ac:dyDescent="0.3">
      <c r="A15">
        <v>5</v>
      </c>
      <c r="B15" t="str">
        <f>IF(A15="","Sem Código",IFERROR(VLOOKUP($A15,CadastroEqPR!$A:$O,2,0),"Produto não Encontrado"))</f>
        <v>Elgin Baterias</v>
      </c>
      <c r="C15" t="str">
        <f>IFERROR(VLOOKUP($A15,CadastroEqPR!$A:$O,3,0),"")</f>
        <v>Cabine Secundária</v>
      </c>
      <c r="D15" t="str">
        <f>IFERROR(VLOOKUP($A15,CadastroEqPR!$A:$O,4,0),"")</f>
        <v>Maurizio</v>
      </c>
      <c r="E15" t="str">
        <f>IFERROR(VLOOKUP($A15,CadastroEqPR!$A:$O,5,0),"")</f>
        <v>TTS</v>
      </c>
      <c r="F15">
        <f>IFERROR(VLOOKUP($A15,CadastroEqPR!$A:$O,6,0),"")</f>
        <v>1980</v>
      </c>
      <c r="G15">
        <f>IFERROR(VLOOKUP($A15,CadastroEqPR!$A:$O,7,0),"")</f>
        <v>60</v>
      </c>
      <c r="H15">
        <f>IFERROR(VLOOKUP($A15,CadastroEqPR!$A:$O,8,0),"")</f>
        <v>12</v>
      </c>
      <c r="I15">
        <f>IFERROR(VLOOKUP($A15,CadastroEqPR!$A:$O,9,0),"")</f>
        <v>10</v>
      </c>
      <c r="J15" t="str">
        <f>IFERROR(VLOOKUP($A15,CadastroEqPR!$A:$O,10,0),"")</f>
        <v>Porcelana</v>
      </c>
      <c r="K15" s="3" t="str">
        <f>IFERROR(VLOOKUP($A15,CadastroEqPR!$A:$O,11,0),"")</f>
        <v>YY1K</v>
      </c>
      <c r="L15" s="3" t="str">
        <f>IFERROR(VLOOKUP($A15,CadastroEqPR!$A:$O,12,0),"")</f>
        <v>YY1K</v>
      </c>
      <c r="M15" s="3" t="str">
        <f>IFERROR(VLOOKUP($A15,CadastroEqPR!$A:$O,13,0),"")</f>
        <v>YY1K</v>
      </c>
      <c r="N15" s="2">
        <f>IFERROR(VLOOKUP($A15,CadastroEqPR!$A:$O,14,0),"")</f>
        <v>0</v>
      </c>
      <c r="O15" s="3">
        <f>IFERROR(VLOOKUP($A15,CadastroEqPR!$A:$O,15,0),"")</f>
        <v>45003</v>
      </c>
    </row>
    <row r="16" spans="1:18" s="19" customFormat="1" x14ac:dyDescent="0.25">
      <c r="A16" s="27" t="s">
        <v>140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M16" s="20"/>
    </row>
    <row r="17" spans="1:19" x14ac:dyDescent="0.25">
      <c r="A17" s="24" t="s">
        <v>3</v>
      </c>
      <c r="B17" s="7" t="s">
        <v>0</v>
      </c>
      <c r="C17" s="7" t="s">
        <v>4</v>
      </c>
      <c r="D17" s="7" t="s">
        <v>1</v>
      </c>
      <c r="E17" s="7" t="s">
        <v>2</v>
      </c>
      <c r="F17" s="7" t="s">
        <v>5</v>
      </c>
      <c r="G17" s="7" t="s">
        <v>30</v>
      </c>
      <c r="H17" s="7" t="s">
        <v>31</v>
      </c>
      <c r="I17" s="7" t="s">
        <v>32</v>
      </c>
      <c r="J17" s="7" t="s">
        <v>28</v>
      </c>
      <c r="K17" s="7" t="s">
        <v>8</v>
      </c>
      <c r="L17" s="7" t="s">
        <v>33</v>
      </c>
      <c r="M17" s="7" t="s">
        <v>10</v>
      </c>
      <c r="N17" s="7" t="s">
        <v>11</v>
      </c>
      <c r="O17" s="13" t="s">
        <v>12</v>
      </c>
      <c r="P17" s="13" t="s">
        <v>13</v>
      </c>
      <c r="Q17" s="7" t="s">
        <v>15</v>
      </c>
      <c r="R17" s="10" t="s">
        <v>14</v>
      </c>
    </row>
    <row r="18" spans="1:19" s="22" customFormat="1" ht="15.75" thickBot="1" x14ac:dyDescent="0.3">
      <c r="A18" s="21">
        <v>2</v>
      </c>
      <c r="B18" s="22" t="str">
        <f>IF(A18="","Sem Código",IFERROR(VLOOKUP($A18,CadastroEqTP!$A:$R,2,0),"Produto não Encontrado"))</f>
        <v>Logitech Eletronics</v>
      </c>
      <c r="C18" s="22" t="str">
        <f>IFERROR(VLOOKUP($A18,CadastroEqTP!$A:$R,3,0),"")</f>
        <v>Cabine Primária</v>
      </c>
      <c r="D18" s="22" t="str">
        <f>IFERROR(VLOOKUP($A18,CadastroEqTP!$A:$R,4,0),"")</f>
        <v>Brasformer</v>
      </c>
      <c r="E18" s="22" t="str">
        <f>IFERROR(VLOOKUP($A18,CadastroEqTP!$A:$R,5,0),"")</f>
        <v>TP552</v>
      </c>
      <c r="F18" s="22">
        <f>IFERROR(VLOOKUP($A18,CadastroEqTP!$A:$R,6,0),"")</f>
        <v>2010</v>
      </c>
      <c r="G18" s="22">
        <f>IFERROR(VLOOKUP($A18,CadastroEqTP!$A:$R,7,0),"")</f>
        <v>15</v>
      </c>
      <c r="H18" s="22" t="str">
        <f>IFERROR(VLOOKUP($A18,CadastroEqTP!$A:$R,8,0),"")</f>
        <v>13,2</v>
      </c>
      <c r="I18" s="22">
        <f>IFERROR(VLOOKUP($A18,CadastroEqTP!$A:$R,9,0),"")</f>
        <v>220</v>
      </c>
      <c r="J18" s="22">
        <f>IFERROR(VLOOKUP($A18,CadastroEqTP!$A:$R,10,0),"")</f>
        <v>35</v>
      </c>
      <c r="K18" s="23" t="str">
        <f>IFERROR(VLOOKUP($A18,CadastroEqTP!$A:$R,11,0),"")</f>
        <v>10B5A</v>
      </c>
      <c r="L18" s="26">
        <f>IFERROR(VLOOKUP($A18,CadastroEqTP!$A:$R,12,0),"")</f>
        <v>1000</v>
      </c>
      <c r="M18" s="23" t="str">
        <f>IFERROR(VLOOKUP($A18,CadastroEqTP!$A:$R,13,0),"")</f>
        <v>Epóxi</v>
      </c>
      <c r="N18" s="23" t="str">
        <f>IFERROR(VLOOKUP($A18,CadastroEqTP!$A:$R,14,0),"")</f>
        <v>RT001</v>
      </c>
      <c r="O18" s="23" t="str">
        <f>IFERROR(VLOOKUP($A18,CadastroEqTP!$A:$R,15,0),"")</f>
        <v>RT002</v>
      </c>
      <c r="P18" s="23" t="str">
        <f>IFERROR(VLOOKUP($A18,CadastroEqTP!$A:$R,16,0),"")</f>
        <v>RT003</v>
      </c>
      <c r="Q18" s="25">
        <f>IFERROR(VLOOKUP($A18,CadastroEqTP!$A:$R,17,0),"")</f>
        <v>0</v>
      </c>
      <c r="R18" s="23">
        <f>IFERROR(VLOOKUP($A18,CadastroEqTP!$A:$R,18,0),"")</f>
        <v>45003</v>
      </c>
    </row>
    <row r="19" spans="1:19" s="19" customFormat="1" x14ac:dyDescent="0.25">
      <c r="A19" s="27" t="s">
        <v>141</v>
      </c>
      <c r="B19" s="28"/>
      <c r="C19" s="28"/>
      <c r="D19" s="28"/>
      <c r="E19" s="28"/>
      <c r="F19" s="28"/>
      <c r="G19" s="28"/>
      <c r="H19" s="28"/>
      <c r="I19" s="28"/>
      <c r="J19" s="28"/>
      <c r="K19" s="28"/>
      <c r="M19" s="20"/>
    </row>
    <row r="20" spans="1:19" x14ac:dyDescent="0.25">
      <c r="A20" s="24" t="s">
        <v>3</v>
      </c>
      <c r="B20" s="7" t="s">
        <v>0</v>
      </c>
      <c r="C20" s="7" t="s">
        <v>4</v>
      </c>
      <c r="D20" s="7" t="s">
        <v>1</v>
      </c>
      <c r="E20" s="7" t="s">
        <v>2</v>
      </c>
      <c r="F20" s="7" t="s">
        <v>5</v>
      </c>
      <c r="G20" s="7" t="s">
        <v>28</v>
      </c>
      <c r="H20" s="7" t="s">
        <v>21</v>
      </c>
      <c r="I20" s="7" t="s">
        <v>33</v>
      </c>
      <c r="J20" s="7" t="s">
        <v>34</v>
      </c>
      <c r="K20" s="7" t="s">
        <v>10</v>
      </c>
      <c r="L20" s="7" t="s">
        <v>35</v>
      </c>
      <c r="M20" s="7" t="s">
        <v>36</v>
      </c>
      <c r="N20" s="7" t="s">
        <v>37</v>
      </c>
      <c r="O20" s="7" t="s">
        <v>38</v>
      </c>
      <c r="P20" s="7" t="s">
        <v>39</v>
      </c>
      <c r="Q20" s="7" t="s">
        <v>40</v>
      </c>
      <c r="R20" s="7" t="s">
        <v>15</v>
      </c>
      <c r="S20" s="10" t="s">
        <v>14</v>
      </c>
    </row>
    <row r="21" spans="1:19" s="22" customFormat="1" ht="15.75" thickBot="1" x14ac:dyDescent="0.3">
      <c r="A21" s="21">
        <v>11</v>
      </c>
      <c r="B21" s="22" t="str">
        <f>IF(A21="","Sem Código",IFERROR(VLOOKUP($A21,CadastroEqTRAFO!$A:$S,2,0),"Produto não Encontrado"))</f>
        <v>Magazineluiza Vila Industrial</v>
      </c>
      <c r="C21" s="22" t="str">
        <f>IFERROR(VLOOKUP($A21,CadastroEqTRAFO!$A:$S,3,0),"")</f>
        <v>Cabine Secundária</v>
      </c>
      <c r="D21" s="22" t="str">
        <f>IFERROR(VLOOKUP($A21,CadastroEqTRAFO!$A:$S,4,0),"")</f>
        <v>União</v>
      </c>
      <c r="E21" s="22" t="str">
        <f>IFERROR(VLOOKUP($A21,CadastroEqTRAFO!$A:$S,5,0),"")</f>
        <v>SEG</v>
      </c>
      <c r="F21" s="22">
        <f>IFERROR(VLOOKUP($A21,CadastroEqTRAFO!$A:$S,6,0),"")</f>
        <v>2013</v>
      </c>
      <c r="G21" s="22">
        <f>IFERROR(VLOOKUP($A21,CadastroEqTRAFO!$A:$S,7,0),"")</f>
        <v>4000</v>
      </c>
      <c r="H21" s="22">
        <f>IFERROR(VLOOKUP($A21,CadastroEqTRAFO!$A:$S,8,0),"")</f>
        <v>259</v>
      </c>
      <c r="I21" s="22">
        <f>IFERROR(VLOOKUP($A21,CadastroEqTRAFO!$A:$S,9,0),"")</f>
        <v>2000</v>
      </c>
      <c r="J21" s="22" t="str">
        <f>IFERROR(VLOOKUP($A21,CadastroEqTRAFO!$A:$S,10,0),"")</f>
        <v>1,52</v>
      </c>
      <c r="K21" s="23" t="str">
        <f>IFERROR(VLOOKUP($A21,CadastroEqTRAFO!$A:$S,11,0),"")</f>
        <v>Epóxi</v>
      </c>
      <c r="L21" s="26" t="str">
        <f>IFERROR(VLOOKUP($A21,CadastroEqTRAFO!$A:$S,12,0),"")</f>
        <v>-</v>
      </c>
      <c r="M21" s="23" t="str">
        <f>IFERROR(VLOOKUP($A21,CadastroEqTRAFO!$A:$S,13,0),"")</f>
        <v>DYN1</v>
      </c>
      <c r="N21" s="23" t="str">
        <f>IFERROR(VLOOKUP($A21,CadastroEqTRAFO!$A:$S,14,0),"")</f>
        <v>Chapas Externas</v>
      </c>
      <c r="O21" s="23" t="str">
        <f>IFERROR(VLOOKUP($A21,CadastroEqTRAFO!$A:$S,15,0),"")</f>
        <v>União</v>
      </c>
      <c r="P21" s="23" t="str">
        <f>IFERROR(VLOOKUP($A21,CadastroEqTRAFO!$A:$S,16,0),"")</f>
        <v>13,8</v>
      </c>
      <c r="Q21" s="25">
        <f>IFERROR(VLOOKUP($A21,CadastroEqTRAFO!$A:$S,17,0),"")</f>
        <v>220</v>
      </c>
      <c r="R21" s="25">
        <f>IFERROR(VLOOKUP($A21,CadastroEqTRAFO!$A:$S,18,0),"")</f>
        <v>0</v>
      </c>
      <c r="S21" s="23">
        <f>IFERROR(VLOOKUP($A21,CadastroEqTRAFO!$A:$S,19,0),"")</f>
        <v>45007</v>
      </c>
    </row>
  </sheetData>
  <mergeCells count="7">
    <mergeCell ref="A16:K16"/>
    <mergeCell ref="A19:K19"/>
    <mergeCell ref="A1:E1"/>
    <mergeCell ref="A4:K4"/>
    <mergeCell ref="A7:K7"/>
    <mergeCell ref="A10:K10"/>
    <mergeCell ref="A13:K1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G14"/>
  <sheetViews>
    <sheetView tabSelected="1" workbookViewId="0">
      <selection activeCell="D18" sqref="D18"/>
    </sheetView>
  </sheetViews>
  <sheetFormatPr defaultRowHeight="15" x14ac:dyDescent="0.25"/>
  <cols>
    <col min="1" max="1" width="9.28515625" style="4" customWidth="1"/>
    <col min="2" max="2" width="26" style="2" bestFit="1" customWidth="1"/>
    <col min="3" max="3" width="27.42578125" style="2" bestFit="1" customWidth="1"/>
    <col min="4" max="4" width="17.5703125" style="2" bestFit="1" customWidth="1"/>
    <col min="5" max="5" width="14.85546875" style="3" customWidth="1"/>
    <col min="6" max="6" width="65.7109375" bestFit="1" customWidth="1"/>
  </cols>
  <sheetData>
    <row r="1" spans="1:7" x14ac:dyDescent="0.25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119</v>
      </c>
      <c r="G1" s="2" t="s">
        <v>120</v>
      </c>
    </row>
    <row r="2" spans="1:7" x14ac:dyDescent="0.25">
      <c r="A2" s="4">
        <v>1</v>
      </c>
      <c r="B2" s="2" t="s">
        <v>50</v>
      </c>
      <c r="C2" s="2" t="s">
        <v>46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VentiladoresCabine Primária</v>
      </c>
      <c r="G2" s="2" t="s">
        <v>121</v>
      </c>
    </row>
    <row r="3" spans="1:7" x14ac:dyDescent="0.25">
      <c r="A3" s="4">
        <v>2</v>
      </c>
      <c r="B3" s="2" t="s">
        <v>50</v>
      </c>
      <c r="C3" s="2" t="s">
        <v>81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122</v>
      </c>
    </row>
    <row r="4" spans="1:7" x14ac:dyDescent="0.25">
      <c r="A4" s="4">
        <v>3</v>
      </c>
      <c r="B4" s="2" t="s">
        <v>54</v>
      </c>
      <c r="C4" s="2" t="s">
        <v>46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VentiladoresCabine Primária</v>
      </c>
      <c r="G4" s="2" t="s">
        <v>123</v>
      </c>
    </row>
    <row r="5" spans="1:7" x14ac:dyDescent="0.25">
      <c r="A5" s="4">
        <v>4</v>
      </c>
      <c r="B5" s="2" t="s">
        <v>59</v>
      </c>
      <c r="C5" s="2" t="s">
        <v>46</v>
      </c>
      <c r="D5" s="2" t="s">
        <v>64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124</v>
      </c>
    </row>
    <row r="6" spans="1:7" x14ac:dyDescent="0.25">
      <c r="A6" s="4">
        <v>5</v>
      </c>
      <c r="B6" s="2" t="s">
        <v>59</v>
      </c>
      <c r="C6" s="2" t="s">
        <v>96</v>
      </c>
      <c r="D6" s="2" t="s">
        <v>64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BateriasCabine Secundária</v>
      </c>
      <c r="G6" s="2" t="s">
        <v>125</v>
      </c>
    </row>
    <row r="7" spans="1:7" x14ac:dyDescent="0.25">
      <c r="A7" s="4">
        <v>6</v>
      </c>
      <c r="B7" s="2" t="s">
        <v>63</v>
      </c>
      <c r="C7" s="2" t="s">
        <v>101</v>
      </c>
      <c r="D7" s="2" t="s">
        <v>64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6Transformador de PotênciaMultilaser SACabine Secundária</v>
      </c>
      <c r="G7" s="2" t="s">
        <v>126</v>
      </c>
    </row>
    <row r="8" spans="1:7" x14ac:dyDescent="0.25">
      <c r="A8" s="4">
        <v>7</v>
      </c>
      <c r="B8" s="2" t="s">
        <v>41</v>
      </c>
      <c r="C8" s="2" t="s">
        <v>105</v>
      </c>
      <c r="D8" s="2" t="s">
        <v>42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7Chave SeccionadoraAsus EletronicsCabine Primária</v>
      </c>
      <c r="G8" s="2" t="s">
        <v>127</v>
      </c>
    </row>
    <row r="9" spans="1:7" x14ac:dyDescent="0.25">
      <c r="A9" s="4">
        <v>8</v>
      </c>
      <c r="B9" s="2" t="s">
        <v>41</v>
      </c>
      <c r="C9" s="2" t="s">
        <v>81</v>
      </c>
      <c r="D9" s="2" t="s">
        <v>64</v>
      </c>
      <c r="E9" s="3">
        <v>45003</v>
      </c>
      <c r="F9" s="2" t="str">
        <f>CONCATENATE(Tabela2[[#This Row],[Codigo]],Tabela2[[#This Row],[TipoDeEquipamento]],Tabela2[[#This Row],[Cliente]],Tabela2[[#This Row],[Identificacao]])</f>
        <v>8Chave SeccionadoraLogitech EletronicsCabine Secundária</v>
      </c>
      <c r="G9" s="2" t="s">
        <v>128</v>
      </c>
    </row>
    <row r="10" spans="1:7" x14ac:dyDescent="0.25">
      <c r="A10" s="4">
        <v>9</v>
      </c>
      <c r="B10" s="2" t="s">
        <v>71</v>
      </c>
      <c r="C10" s="2" t="s">
        <v>109</v>
      </c>
      <c r="D10" s="2" t="s">
        <v>42</v>
      </c>
      <c r="E10" s="3">
        <v>45003</v>
      </c>
      <c r="F10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10" s="2" t="s">
        <v>129</v>
      </c>
    </row>
    <row r="11" spans="1:7" x14ac:dyDescent="0.25">
      <c r="A11" s="4">
        <v>10</v>
      </c>
      <c r="B11" s="2" t="s">
        <v>41</v>
      </c>
      <c r="C11" s="2" t="s">
        <v>111</v>
      </c>
      <c r="D11" s="2" t="s">
        <v>64</v>
      </c>
      <c r="E11" s="3">
        <v>45003</v>
      </c>
      <c r="F11" s="2" t="str">
        <f>CONCATENATE(Tabela2[[#This Row],[Codigo]],Tabela2[[#This Row],[TipoDeEquipamento]],Tabela2[[#This Row],[Cliente]],Tabela2[[#This Row],[Identificacao]])</f>
        <v>10Chave SeccionadoraFastPlasCabine Secundária</v>
      </c>
      <c r="G11" s="2" t="s">
        <v>130</v>
      </c>
    </row>
    <row r="12" spans="1:7" x14ac:dyDescent="0.25">
      <c r="A12" s="4">
        <v>11</v>
      </c>
      <c r="B12" s="2" t="s">
        <v>63</v>
      </c>
      <c r="C12" s="2" t="s">
        <v>113</v>
      </c>
      <c r="D12" s="2" t="s">
        <v>64</v>
      </c>
      <c r="E12" s="3">
        <v>45007</v>
      </c>
      <c r="F12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12" s="2" t="s">
        <v>131</v>
      </c>
    </row>
    <row r="13" spans="1:7" x14ac:dyDescent="0.25">
      <c r="A13" s="4">
        <v>12</v>
      </c>
      <c r="B13" s="2" t="s">
        <v>41</v>
      </c>
      <c r="C13" s="2" t="s">
        <v>118</v>
      </c>
      <c r="D13" s="2" t="s">
        <v>64</v>
      </c>
      <c r="E13" s="3">
        <v>45007</v>
      </c>
      <c r="F13" s="2" t="str">
        <f>CONCATENATE(Tabela2[[#This Row],[Codigo]],Tabela2[[#This Row],[TipoDeEquipamento]],Tabela2[[#This Row],[Cliente]],Tabela2[[#This Row],[Identificacao]])</f>
        <v>12Chave SeccionadoraWill GeradoresCabine Secundária</v>
      </c>
      <c r="G13" s="2" t="s">
        <v>132</v>
      </c>
    </row>
    <row r="14" spans="1:7" x14ac:dyDescent="0.25">
      <c r="A14" s="4">
        <v>13</v>
      </c>
      <c r="B14" s="2" t="s">
        <v>41</v>
      </c>
      <c r="C14" s="2" t="s">
        <v>133</v>
      </c>
      <c r="D14" s="2" t="s">
        <v>42</v>
      </c>
      <c r="E14" s="3">
        <v>45013</v>
      </c>
      <c r="F14" s="2" t="str">
        <f>CONCATENATE(Tabela2[[#This Row],[Codigo]],Tabela2[[#This Row],[TipoDeEquipamento]],Tabela2[[#This Row],[Cliente]],Tabela2[[#This Row],[Identificacao]])</f>
        <v>13Chave SeccionadoraDelta PCabine Primária</v>
      </c>
      <c r="G14" s="2" t="s">
        <v>142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R2"/>
  <sheetViews>
    <sheetView topLeftCell="J1" workbookViewId="0">
      <selection activeCell="Q1" sqref="Q1:Q1048576"/>
    </sheetView>
  </sheetViews>
  <sheetFormatPr defaultRowHeight="15" x14ac:dyDescent="0.25"/>
  <cols>
    <col min="1" max="1" width="8.5703125" style="4" customWidth="1"/>
    <col min="2" max="2" width="11" style="2" bestFit="1" customWidth="1"/>
    <col min="3" max="3" width="19" style="2" bestFit="1" customWidth="1"/>
    <col min="4" max="4" width="11.5703125" style="2" customWidth="1"/>
    <col min="5" max="5" width="6.42578125" style="2" customWidth="1"/>
    <col min="6" max="6" width="17.42578125" style="4" customWidth="1"/>
    <col min="7" max="7" width="6.85546875" style="2" bestFit="1" customWidth="1"/>
    <col min="8" max="8" width="14" style="1" customWidth="1"/>
    <col min="9" max="9" width="16.7109375" style="5" bestFit="1" customWidth="1"/>
    <col min="10" max="10" width="13.28515625" style="1" bestFit="1" customWidth="1"/>
    <col min="11" max="11" width="10.140625" style="1" customWidth="1"/>
    <col min="12" max="12" width="9.28515625" style="2" customWidth="1"/>
    <col min="13" max="13" width="20.42578125" style="2" bestFit="1" customWidth="1"/>
    <col min="14" max="14" width="11.7109375" style="2" customWidth="1"/>
    <col min="15" max="16" width="11.5703125" style="2" customWidth="1"/>
    <col min="17" max="17" width="121.85546875" style="2" bestFit="1" customWidth="1"/>
    <col min="18" max="18" width="14.42578125" style="3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25">
      <c r="A2" s="4">
        <v>3</v>
      </c>
      <c r="B2" s="2" t="s">
        <v>46</v>
      </c>
      <c r="C2" s="2" t="s">
        <v>42</v>
      </c>
      <c r="D2" s="2" t="s">
        <v>55</v>
      </c>
      <c r="E2" s="2" t="s">
        <v>88</v>
      </c>
      <c r="F2" s="4">
        <v>1997</v>
      </c>
      <c r="G2" s="2" t="s">
        <v>56</v>
      </c>
      <c r="H2" s="1" t="s">
        <v>57</v>
      </c>
      <c r="I2" s="5">
        <v>15</v>
      </c>
      <c r="J2" s="1">
        <v>10</v>
      </c>
      <c r="K2" s="1" t="s">
        <v>89</v>
      </c>
      <c r="L2" s="2" t="s">
        <v>58</v>
      </c>
      <c r="M2" s="2" t="s">
        <v>53</v>
      </c>
      <c r="N2" s="2" t="s">
        <v>90</v>
      </c>
      <c r="O2" s="2" t="s">
        <v>91</v>
      </c>
      <c r="P2" s="2" t="s">
        <v>92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K6"/>
  <sheetViews>
    <sheetView workbookViewId="0">
      <selection activeCell="J1" sqref="J1:J1048576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6.85546875" customWidth="1"/>
    <col min="7" max="7" width="41.28515625" bestFit="1" customWidth="1"/>
    <col min="8" max="8" width="17.28515625" style="4" customWidth="1"/>
    <col min="9" max="9" width="15.85546875" style="5" customWidth="1"/>
    <col min="10" max="10" width="17" customWidth="1"/>
    <col min="11" max="11" width="14.42578125" customWidth="1"/>
  </cols>
  <sheetData>
    <row r="1" spans="1:11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25">
      <c r="A2">
        <v>7</v>
      </c>
      <c r="B2" t="s">
        <v>105</v>
      </c>
      <c r="C2" t="s">
        <v>42</v>
      </c>
      <c r="D2" t="s">
        <v>43</v>
      </c>
      <c r="E2" t="s">
        <v>44</v>
      </c>
      <c r="F2" t="s">
        <v>106</v>
      </c>
      <c r="G2" t="s">
        <v>45</v>
      </c>
      <c r="H2" s="4">
        <v>400</v>
      </c>
      <c r="I2" s="5">
        <v>15</v>
      </c>
      <c r="K2" s="3">
        <v>45003</v>
      </c>
    </row>
    <row r="3" spans="1:11" x14ac:dyDescent="0.25">
      <c r="A3">
        <v>8</v>
      </c>
      <c r="B3" t="s">
        <v>81</v>
      </c>
      <c r="C3" t="s">
        <v>64</v>
      </c>
      <c r="D3" t="s">
        <v>47</v>
      </c>
      <c r="E3" t="s">
        <v>48</v>
      </c>
      <c r="F3" t="s">
        <v>107</v>
      </c>
      <c r="G3" t="s">
        <v>49</v>
      </c>
      <c r="H3" s="4">
        <v>630</v>
      </c>
      <c r="I3" s="5">
        <v>17.5</v>
      </c>
      <c r="K3" s="3">
        <v>45003</v>
      </c>
    </row>
    <row r="4" spans="1:11" x14ac:dyDescent="0.25">
      <c r="A4">
        <v>10</v>
      </c>
      <c r="B4" t="s">
        <v>111</v>
      </c>
      <c r="C4" t="s">
        <v>64</v>
      </c>
      <c r="D4" t="s">
        <v>47</v>
      </c>
      <c r="E4" t="s">
        <v>48</v>
      </c>
      <c r="F4">
        <v>25677</v>
      </c>
      <c r="G4" t="s">
        <v>49</v>
      </c>
      <c r="H4" s="4">
        <v>400</v>
      </c>
      <c r="I4" s="5">
        <v>15</v>
      </c>
      <c r="K4" s="3">
        <v>45003</v>
      </c>
    </row>
    <row r="5" spans="1:11" x14ac:dyDescent="0.25">
      <c r="A5">
        <v>12</v>
      </c>
      <c r="B5" t="s">
        <v>118</v>
      </c>
      <c r="C5" t="s">
        <v>64</v>
      </c>
      <c r="D5" t="s">
        <v>47</v>
      </c>
      <c r="E5" t="s">
        <v>48</v>
      </c>
      <c r="F5" t="s">
        <v>75</v>
      </c>
      <c r="G5" t="s">
        <v>45</v>
      </c>
      <c r="H5" s="4">
        <v>400</v>
      </c>
      <c r="I5" s="5">
        <v>15</v>
      </c>
      <c r="K5" s="3">
        <v>45007</v>
      </c>
    </row>
    <row r="6" spans="1:11" x14ac:dyDescent="0.25">
      <c r="A6">
        <v>13</v>
      </c>
      <c r="B6" t="s">
        <v>133</v>
      </c>
      <c r="C6" t="s">
        <v>42</v>
      </c>
      <c r="D6" t="s">
        <v>97</v>
      </c>
      <c r="E6" t="s">
        <v>134</v>
      </c>
      <c r="F6" t="s">
        <v>135</v>
      </c>
      <c r="G6" t="s">
        <v>45</v>
      </c>
      <c r="H6" s="4">
        <v>400</v>
      </c>
      <c r="I6" s="5">
        <v>15</v>
      </c>
      <c r="K6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O2"/>
  <sheetViews>
    <sheetView workbookViewId="0">
      <selection activeCell="J12" sqref="J1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0.85546875" customWidth="1"/>
    <col min="8" max="8" width="17.28515625" customWidth="1"/>
    <col min="9" max="9" width="15.85546875" customWidth="1"/>
    <col min="10" max="10" width="13" customWidth="1"/>
    <col min="11" max="12" width="10" customWidth="1"/>
    <col min="13" max="13" width="11.7109375" customWidth="1"/>
    <col min="14" max="14" width="17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25">
      <c r="A2">
        <v>9</v>
      </c>
      <c r="B2" t="s">
        <v>109</v>
      </c>
      <c r="C2" t="s">
        <v>42</v>
      </c>
      <c r="D2" t="s">
        <v>47</v>
      </c>
      <c r="E2" t="s">
        <v>72</v>
      </c>
      <c r="F2">
        <v>2009</v>
      </c>
      <c r="G2" t="s">
        <v>110</v>
      </c>
      <c r="H2">
        <v>630</v>
      </c>
      <c r="I2" t="s">
        <v>108</v>
      </c>
      <c r="J2">
        <v>45</v>
      </c>
      <c r="K2" t="s">
        <v>73</v>
      </c>
      <c r="L2" t="s">
        <v>74</v>
      </c>
      <c r="M2" t="s">
        <v>75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O3"/>
  <sheetViews>
    <sheetView topLeftCell="H1" workbookViewId="0">
      <selection activeCell="N1" sqref="N1:N1048576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2" customWidth="1"/>
    <col min="8" max="8" width="15.85546875" customWidth="1"/>
    <col min="9" max="9" width="24.85546875" customWidth="1"/>
    <col min="10" max="10" width="9.5703125" customWidth="1"/>
    <col min="11" max="11" width="11.7109375" customWidth="1"/>
    <col min="12" max="13" width="11.5703125" customWidth="1"/>
    <col min="14" max="14" width="86.28515625" bestFit="1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25">
      <c r="A2">
        <v>4</v>
      </c>
      <c r="B2" t="s">
        <v>46</v>
      </c>
      <c r="C2" t="s">
        <v>64</v>
      </c>
      <c r="D2" t="s">
        <v>60</v>
      </c>
      <c r="E2" t="s">
        <v>61</v>
      </c>
      <c r="F2">
        <v>2009</v>
      </c>
      <c r="G2">
        <v>60</v>
      </c>
      <c r="H2">
        <v>12</v>
      </c>
      <c r="I2">
        <v>10</v>
      </c>
      <c r="J2" t="s">
        <v>62</v>
      </c>
      <c r="K2" t="s">
        <v>93</v>
      </c>
      <c r="L2" t="s">
        <v>94</v>
      </c>
      <c r="M2" t="s">
        <v>95</v>
      </c>
      <c r="O2" s="3">
        <v>45003</v>
      </c>
    </row>
    <row r="3" spans="1:15" x14ac:dyDescent="0.25">
      <c r="A3">
        <v>5</v>
      </c>
      <c r="B3" t="s">
        <v>96</v>
      </c>
      <c r="C3" t="s">
        <v>64</v>
      </c>
      <c r="D3" t="s">
        <v>97</v>
      </c>
      <c r="E3" t="s">
        <v>98</v>
      </c>
      <c r="F3">
        <v>1980</v>
      </c>
      <c r="G3">
        <v>60</v>
      </c>
      <c r="H3">
        <v>12</v>
      </c>
      <c r="I3">
        <v>10</v>
      </c>
      <c r="J3" t="s">
        <v>99</v>
      </c>
      <c r="K3" t="s">
        <v>100</v>
      </c>
      <c r="L3" t="s">
        <v>100</v>
      </c>
      <c r="M3" t="s">
        <v>100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R3"/>
  <sheetViews>
    <sheetView topLeftCell="E1" workbookViewId="0">
      <selection activeCell="L3" sqref="L3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5.5703125" customWidth="1"/>
    <col min="8" max="8" width="15.85546875" customWidth="1"/>
    <col min="9" max="9" width="18.42578125" customWidth="1"/>
    <col min="10" max="10" width="11.140625" customWidth="1"/>
    <col min="11" max="12" width="10.140625" customWidth="1"/>
    <col min="13" max="13" width="9.5703125" customWidth="1"/>
    <col min="14" max="14" width="11.7109375" customWidth="1"/>
    <col min="15" max="16" width="11.5703125" customWidth="1"/>
    <col min="17" max="17" width="17" customWidth="1"/>
    <col min="18" max="18" width="14.42578125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25">
      <c r="A2">
        <v>1</v>
      </c>
      <c r="B2" t="s">
        <v>46</v>
      </c>
      <c r="C2" t="s">
        <v>42</v>
      </c>
      <c r="D2" t="s">
        <v>55</v>
      </c>
      <c r="E2" t="s">
        <v>76</v>
      </c>
      <c r="F2">
        <v>2000</v>
      </c>
      <c r="G2">
        <v>15</v>
      </c>
      <c r="H2" t="s">
        <v>52</v>
      </c>
      <c r="I2">
        <v>220</v>
      </c>
      <c r="J2">
        <v>20</v>
      </c>
      <c r="K2" t="s">
        <v>77</v>
      </c>
      <c r="L2">
        <v>500</v>
      </c>
      <c r="M2" t="s">
        <v>53</v>
      </c>
      <c r="N2" t="s">
        <v>78</v>
      </c>
      <c r="O2" t="s">
        <v>79</v>
      </c>
      <c r="P2" t="s">
        <v>80</v>
      </c>
      <c r="R2" s="3">
        <v>45003</v>
      </c>
    </row>
    <row r="3" spans="1:18" x14ac:dyDescent="0.25">
      <c r="A3">
        <v>2</v>
      </c>
      <c r="B3" t="s">
        <v>81</v>
      </c>
      <c r="C3" t="s">
        <v>42</v>
      </c>
      <c r="D3" t="s">
        <v>51</v>
      </c>
      <c r="E3" t="s">
        <v>82</v>
      </c>
      <c r="F3">
        <v>2010</v>
      </c>
      <c r="G3">
        <v>15</v>
      </c>
      <c r="H3" t="s">
        <v>83</v>
      </c>
      <c r="I3">
        <v>220</v>
      </c>
      <c r="J3">
        <v>35</v>
      </c>
      <c r="K3" t="s">
        <v>84</v>
      </c>
      <c r="L3">
        <v>1000</v>
      </c>
      <c r="M3" t="s">
        <v>53</v>
      </c>
      <c r="N3" t="s">
        <v>85</v>
      </c>
      <c r="O3" t="s">
        <v>86</v>
      </c>
      <c r="P3" t="s">
        <v>87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S3"/>
  <sheetViews>
    <sheetView topLeftCell="J1" workbookViewId="0">
      <selection activeCell="P13" sqref="P13"/>
    </sheetView>
  </sheetViews>
  <sheetFormatPr defaultRowHeight="15" x14ac:dyDescent="0.25"/>
  <cols>
    <col min="1" max="1" width="8.5703125" customWidth="1"/>
    <col min="2" max="2" width="12.140625" bestFit="1" customWidth="1"/>
    <col min="3" max="3" width="36" bestFit="1" customWidth="1"/>
    <col min="4" max="4" width="11.5703125" customWidth="1"/>
    <col min="5" max="5" width="7.42578125" bestFit="1" customWidth="1"/>
    <col min="6" max="6" width="17.42578125" customWidth="1"/>
    <col min="7" max="7" width="11.140625" customWidth="1"/>
    <col min="8" max="8" width="10.85546875" customWidth="1"/>
    <col min="9" max="9" width="10.140625" customWidth="1"/>
    <col min="10" max="10" width="12.5703125" customWidth="1"/>
    <col min="11" max="11" width="12.5703125" bestFit="1" customWidth="1"/>
    <col min="12" max="12" width="13.140625" customWidth="1"/>
    <col min="13" max="13" width="14.140625" customWidth="1"/>
    <col min="14" max="14" width="15.5703125" bestFit="1" customWidth="1"/>
    <col min="15" max="15" width="14.85546875" customWidth="1"/>
    <col min="16" max="16" width="22.7109375" bestFit="1" customWidth="1"/>
    <col min="17" max="17" width="12.42578125" customWidth="1"/>
    <col min="18" max="18" width="98.5703125" bestFit="1" customWidth="1"/>
    <col min="19" max="19" width="14.42578125" customWidth="1"/>
  </cols>
  <sheetData>
    <row r="1" spans="1:19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25">
      <c r="A2">
        <v>6</v>
      </c>
      <c r="B2" t="s">
        <v>101</v>
      </c>
      <c r="C2" t="s">
        <v>64</v>
      </c>
      <c r="D2" t="s">
        <v>65</v>
      </c>
      <c r="E2" t="s">
        <v>102</v>
      </c>
      <c r="F2">
        <v>1999</v>
      </c>
      <c r="G2">
        <v>2000</v>
      </c>
      <c r="H2" t="s">
        <v>103</v>
      </c>
      <c r="I2">
        <v>500</v>
      </c>
      <c r="J2" t="s">
        <v>66</v>
      </c>
      <c r="K2" t="s">
        <v>67</v>
      </c>
      <c r="L2">
        <v>700</v>
      </c>
      <c r="M2" t="s">
        <v>68</v>
      </c>
      <c r="N2" t="s">
        <v>69</v>
      </c>
      <c r="O2" t="s">
        <v>65</v>
      </c>
      <c r="P2" t="s">
        <v>104</v>
      </c>
      <c r="Q2" t="s">
        <v>70</v>
      </c>
      <c r="S2" s="3">
        <v>45003</v>
      </c>
    </row>
    <row r="3" spans="1:19" x14ac:dyDescent="0.25">
      <c r="A3">
        <v>11</v>
      </c>
      <c r="B3" t="s">
        <v>113</v>
      </c>
      <c r="C3" t="s">
        <v>64</v>
      </c>
      <c r="D3" t="s">
        <v>114</v>
      </c>
      <c r="E3" t="s">
        <v>115</v>
      </c>
      <c r="F3">
        <v>2013</v>
      </c>
      <c r="G3">
        <v>4000</v>
      </c>
      <c r="H3">
        <v>259</v>
      </c>
      <c r="I3">
        <v>2000</v>
      </c>
      <c r="J3" t="s">
        <v>116</v>
      </c>
      <c r="K3" t="s">
        <v>53</v>
      </c>
      <c r="L3" t="s">
        <v>75</v>
      </c>
      <c r="M3" t="s">
        <v>68</v>
      </c>
      <c r="N3" t="s">
        <v>117</v>
      </c>
      <c r="O3" t="s">
        <v>114</v>
      </c>
      <c r="P3" t="s">
        <v>52</v>
      </c>
      <c r="Q3">
        <v>220</v>
      </c>
      <c r="S3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PROCV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Delta P - Almoxarifado</cp:lastModifiedBy>
  <dcterms:created xsi:type="dcterms:W3CDTF">2015-06-05T18:19:34Z</dcterms:created>
  <dcterms:modified xsi:type="dcterms:W3CDTF">2023-04-04T16:07:53Z</dcterms:modified>
</cp:coreProperties>
</file>