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eale\Desktop\OBRAS\marcela alegre\"/>
    </mc:Choice>
  </mc:AlternateContent>
  <xr:revisionPtr revIDLastSave="0" documentId="8_{F3960D21-E919-4547-AA9B-E47C8592E898}" xr6:coauthVersionLast="47" xr6:coauthVersionMax="47" xr10:uidLastSave="{00000000-0000-0000-0000-000000000000}"/>
  <bookViews>
    <workbookView xWindow="-108" yWindow="-108" windowWidth="23256" windowHeight="12456" tabRatio="744" xr2:uid="{1463E7F3-ED10-4925-87A1-7A8169A1CF22}"/>
  </bookViews>
  <sheets>
    <sheet name="COSTO+COMPUTO" sheetId="4" r:id="rId1"/>
    <sheet name="ANALISIS DE PRECIOS " sheetId="5" r:id="rId2"/>
    <sheet name="COSTOS INDIVIDUALES" sheetId="9" r:id="rId3"/>
    <sheet name="LISTA DE MATERIALES" sheetId="12" r:id="rId4"/>
    <sheet name="Plan trabajar " sheetId="13" r:id="rId5"/>
  </sheets>
  <externalReferences>
    <externalReference r:id="rId6"/>
  </externalReferences>
  <definedNames>
    <definedName name="_xlnm.Print_Area" localSheetId="1">'ANALISIS DE PRECIOS '!$A$1:$G$243</definedName>
    <definedName name="_xlnm.Print_Area" localSheetId="0">'COSTO+COMPUTO'!$A$1:$S$203</definedName>
  </definedNames>
  <calcPr calcId="181029"/>
</workbook>
</file>

<file path=xl/calcChain.xml><?xml version="1.0" encoding="utf-8"?>
<calcChain xmlns="http://schemas.openxmlformats.org/spreadsheetml/2006/main">
  <c r="Q67" i="4" l="1"/>
  <c r="Q180" i="4"/>
  <c r="Q171" i="4"/>
  <c r="P171" i="4"/>
  <c r="R171" i="4"/>
  <c r="M171" i="4"/>
  <c r="O171" i="4"/>
  <c r="Q170" i="4"/>
  <c r="P170" i="4"/>
  <c r="M170" i="4"/>
  <c r="O170" i="4"/>
  <c r="Q169" i="4"/>
  <c r="P169" i="4"/>
  <c r="M169" i="4"/>
  <c r="O169" i="4"/>
  <c r="Q47" i="4"/>
  <c r="Q45" i="4"/>
  <c r="J180" i="4"/>
  <c r="M180" i="4"/>
  <c r="O180" i="4"/>
  <c r="J166" i="4"/>
  <c r="Q166" i="4"/>
  <c r="F163" i="4"/>
  <c r="I163" i="4"/>
  <c r="I161" i="4"/>
  <c r="I160" i="4"/>
  <c r="I124" i="4"/>
  <c r="I123" i="4"/>
  <c r="I121" i="4"/>
  <c r="G120" i="4"/>
  <c r="I120" i="4"/>
  <c r="J107" i="4"/>
  <c r="Q107" i="4"/>
  <c r="I106" i="4"/>
  <c r="J105" i="4"/>
  <c r="M105" i="4"/>
  <c r="I98" i="4"/>
  <c r="J97" i="4"/>
  <c r="Q97" i="4"/>
  <c r="I96" i="4"/>
  <c r="J95" i="4"/>
  <c r="Q95" i="4"/>
  <c r="I104" i="4"/>
  <c r="J103" i="4"/>
  <c r="Q103" i="4"/>
  <c r="I102" i="4"/>
  <c r="J101" i="4"/>
  <c r="Q101" i="4"/>
  <c r="I100" i="4"/>
  <c r="J99" i="4"/>
  <c r="I165" i="4"/>
  <c r="J165" i="4"/>
  <c r="Q165" i="4"/>
  <c r="I94" i="4"/>
  <c r="I93" i="4"/>
  <c r="I92" i="4"/>
  <c r="J89" i="4"/>
  <c r="Q89" i="4"/>
  <c r="J87" i="4"/>
  <c r="Q87" i="4"/>
  <c r="J84" i="4"/>
  <c r="P84" i="4"/>
  <c r="I81" i="4"/>
  <c r="I80" i="4"/>
  <c r="I79" i="4"/>
  <c r="I82" i="4"/>
  <c r="I78" i="4"/>
  <c r="I76" i="4"/>
  <c r="I75" i="4"/>
  <c r="I74" i="4"/>
  <c r="I71" i="4"/>
  <c r="I62" i="4"/>
  <c r="I63" i="4"/>
  <c r="I48" i="4"/>
  <c r="J47" i="4"/>
  <c r="M47" i="4"/>
  <c r="N47" i="4"/>
  <c r="I46" i="4"/>
  <c r="J45" i="4"/>
  <c r="P45" i="4"/>
  <c r="I70" i="4"/>
  <c r="I69" i="4"/>
  <c r="F66" i="4"/>
  <c r="I66" i="4"/>
  <c r="I65" i="4"/>
  <c r="I61" i="4"/>
  <c r="I60" i="4"/>
  <c r="I58" i="4"/>
  <c r="I57" i="4"/>
  <c r="I56" i="4"/>
  <c r="I55" i="4"/>
  <c r="F41" i="4"/>
  <c r="I41" i="4"/>
  <c r="F40" i="4"/>
  <c r="I40" i="4"/>
  <c r="D37" i="4"/>
  <c r="I37" i="4"/>
  <c r="J36" i="4"/>
  <c r="M36" i="4"/>
  <c r="J8" i="9"/>
  <c r="J10" i="9"/>
  <c r="L26" i="4"/>
  <c r="K26" i="4"/>
  <c r="L21" i="4"/>
  <c r="K21" i="4"/>
  <c r="L18" i="4"/>
  <c r="K18" i="4"/>
  <c r="F215" i="5"/>
  <c r="F214" i="5"/>
  <c r="G214" i="5"/>
  <c r="F213" i="5"/>
  <c r="F212" i="5"/>
  <c r="G215" i="5"/>
  <c r="G213" i="5"/>
  <c r="G212" i="5"/>
  <c r="G209" i="5"/>
  <c r="G208" i="5"/>
  <c r="G207" i="5"/>
  <c r="G206" i="5"/>
  <c r="G205" i="5"/>
  <c r="G204" i="5"/>
  <c r="G203" i="5"/>
  <c r="G202" i="5"/>
  <c r="G201" i="5"/>
  <c r="G198" i="5"/>
  <c r="G197" i="5"/>
  <c r="G196" i="5"/>
  <c r="G195" i="5"/>
  <c r="G194" i="5"/>
  <c r="G193" i="5"/>
  <c r="G192" i="5"/>
  <c r="F24" i="4"/>
  <c r="I24" i="4"/>
  <c r="F23" i="4"/>
  <c r="I23" i="4"/>
  <c r="I25" i="4"/>
  <c r="I30" i="4"/>
  <c r="I29" i="4"/>
  <c r="I28" i="4"/>
  <c r="I27" i="4"/>
  <c r="I20" i="4"/>
  <c r="I19" i="4"/>
  <c r="G11" i="9"/>
  <c r="F162" i="5"/>
  <c r="G162" i="5"/>
  <c r="F161" i="5"/>
  <c r="F160" i="5"/>
  <c r="G160" i="5"/>
  <c r="F159" i="5"/>
  <c r="G159" i="5"/>
  <c r="F158" i="5"/>
  <c r="G158" i="5"/>
  <c r="F121" i="5"/>
  <c r="G121" i="5"/>
  <c r="F120" i="5"/>
  <c r="G120" i="5"/>
  <c r="F119" i="5"/>
  <c r="G119" i="5"/>
  <c r="F118" i="5"/>
  <c r="F117" i="5"/>
  <c r="F116" i="5"/>
  <c r="G116" i="5"/>
  <c r="F115" i="5"/>
  <c r="G115" i="5"/>
  <c r="F114" i="5"/>
  <c r="G114" i="5"/>
  <c r="F111" i="5"/>
  <c r="G111" i="5"/>
  <c r="F112" i="5"/>
  <c r="G112" i="5"/>
  <c r="F113" i="5"/>
  <c r="G113" i="5"/>
  <c r="F110" i="5"/>
  <c r="G110" i="5"/>
  <c r="G53" i="9"/>
  <c r="F73" i="5"/>
  <c r="G73" i="5"/>
  <c r="G52" i="9"/>
  <c r="F72" i="5"/>
  <c r="G72" i="5"/>
  <c r="G51" i="9"/>
  <c r="G50" i="9"/>
  <c r="F70" i="5"/>
  <c r="G70" i="5"/>
  <c r="G49" i="9"/>
  <c r="G48" i="9"/>
  <c r="G47" i="9"/>
  <c r="G46" i="9"/>
  <c r="F66" i="5"/>
  <c r="G66" i="5"/>
  <c r="G45" i="9"/>
  <c r="F65" i="5"/>
  <c r="G65" i="5"/>
  <c r="G44" i="9"/>
  <c r="F64" i="5"/>
  <c r="G64" i="5"/>
  <c r="G41" i="9"/>
  <c r="G40" i="9"/>
  <c r="G39" i="9"/>
  <c r="G38" i="9"/>
  <c r="G37" i="9"/>
  <c r="G36" i="9"/>
  <c r="G35" i="9"/>
  <c r="G34" i="9"/>
  <c r="F62" i="5"/>
  <c r="G62" i="5"/>
  <c r="G33" i="9"/>
  <c r="F71" i="5"/>
  <c r="G71" i="5"/>
  <c r="F69" i="5"/>
  <c r="G69" i="5"/>
  <c r="F68" i="5"/>
  <c r="G68" i="5"/>
  <c r="F67" i="5"/>
  <c r="G67" i="5"/>
  <c r="F63" i="5"/>
  <c r="G63" i="5"/>
  <c r="F61" i="5"/>
  <c r="G61" i="5"/>
  <c r="G16" i="9"/>
  <c r="G15" i="9"/>
  <c r="F56" i="5"/>
  <c r="G56" i="5"/>
  <c r="D29" i="9"/>
  <c r="G29" i="9"/>
  <c r="G28" i="9"/>
  <c r="G27" i="9"/>
  <c r="G26" i="9"/>
  <c r="G25" i="9"/>
  <c r="G24" i="9"/>
  <c r="F60" i="5"/>
  <c r="G60" i="5"/>
  <c r="G23" i="9"/>
  <c r="F59" i="5"/>
  <c r="G59" i="5"/>
  <c r="C162" i="5"/>
  <c r="C161" i="5"/>
  <c r="C160" i="5"/>
  <c r="C159" i="5"/>
  <c r="C158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3" i="5"/>
  <c r="C12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G21" i="9"/>
  <c r="F58" i="5"/>
  <c r="G58" i="5"/>
  <c r="G20" i="9"/>
  <c r="F57" i="5"/>
  <c r="G57" i="5"/>
  <c r="G9" i="9"/>
  <c r="F13" i="5"/>
  <c r="G13" i="5"/>
  <c r="G8" i="9"/>
  <c r="F12" i="5"/>
  <c r="G12" i="5"/>
  <c r="F182" i="5"/>
  <c r="G182" i="5"/>
  <c r="F181" i="5"/>
  <c r="G181" i="5"/>
  <c r="F180" i="5"/>
  <c r="G180" i="5"/>
  <c r="F179" i="5"/>
  <c r="G179" i="5"/>
  <c r="F128" i="5"/>
  <c r="G128" i="5"/>
  <c r="F127" i="5"/>
  <c r="G127" i="5"/>
  <c r="F126" i="5"/>
  <c r="G126" i="5"/>
  <c r="F125" i="5"/>
  <c r="G125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1" i="5"/>
  <c r="G155" i="5"/>
  <c r="G154" i="5"/>
  <c r="G153" i="5"/>
  <c r="G152" i="5"/>
  <c r="G151" i="5"/>
  <c r="G150" i="5"/>
  <c r="G149" i="5"/>
  <c r="G122" i="5"/>
  <c r="G118" i="5"/>
  <c r="G117" i="5"/>
  <c r="G107" i="5"/>
  <c r="G106" i="5"/>
  <c r="G105" i="5"/>
  <c r="G104" i="5"/>
  <c r="G103" i="5"/>
  <c r="G102" i="5"/>
  <c r="G101" i="5"/>
  <c r="F25" i="5"/>
  <c r="G25" i="5"/>
  <c r="F24" i="5"/>
  <c r="G24" i="5"/>
  <c r="F23" i="5"/>
  <c r="G23" i="5"/>
  <c r="F22" i="5"/>
  <c r="G22" i="5"/>
  <c r="G19" i="5"/>
  <c r="G18" i="5"/>
  <c r="G17" i="5"/>
  <c r="G14" i="5"/>
  <c r="F80" i="5"/>
  <c r="G80" i="5"/>
  <c r="F79" i="5"/>
  <c r="G79" i="5"/>
  <c r="F78" i="5"/>
  <c r="G78" i="5"/>
  <c r="F77" i="5"/>
  <c r="G77" i="5"/>
  <c r="G74" i="5"/>
  <c r="G53" i="5"/>
  <c r="G52" i="5"/>
  <c r="G51" i="5"/>
  <c r="G50" i="5"/>
  <c r="G49" i="5"/>
  <c r="G48" i="5"/>
  <c r="G47" i="5"/>
  <c r="A6" i="13"/>
  <c r="A5" i="13"/>
  <c r="A4" i="13"/>
  <c r="A3" i="13"/>
  <c r="A2" i="13"/>
  <c r="A1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A10" i="13"/>
  <c r="S193" i="4"/>
  <c r="C24" i="13"/>
  <c r="C21" i="13"/>
  <c r="S188" i="4"/>
  <c r="C23" i="13"/>
  <c r="I148" i="4"/>
  <c r="I149" i="4"/>
  <c r="I147" i="4"/>
  <c r="J142" i="4"/>
  <c r="P142" i="4"/>
  <c r="I140" i="4"/>
  <c r="I139" i="4"/>
  <c r="I135" i="4"/>
  <c r="I136" i="4"/>
  <c r="I131" i="4"/>
  <c r="I134" i="4"/>
  <c r="I133" i="4"/>
  <c r="I132" i="4"/>
  <c r="I128" i="4"/>
  <c r="I126" i="4"/>
  <c r="I127" i="4"/>
  <c r="I122" i="4"/>
  <c r="I117" i="4"/>
  <c r="I118" i="4"/>
  <c r="I115" i="4"/>
  <c r="I116" i="4"/>
  <c r="I112" i="4"/>
  <c r="I113" i="4"/>
  <c r="I53" i="4"/>
  <c r="I52" i="4"/>
  <c r="I51" i="4"/>
  <c r="I50" i="4"/>
  <c r="I44" i="4"/>
  <c r="J43" i="4"/>
  <c r="P43" i="4"/>
  <c r="I42" i="4"/>
  <c r="I39" i="4"/>
  <c r="I35" i="4"/>
  <c r="J34" i="4"/>
  <c r="M34" i="4"/>
  <c r="O34" i="4"/>
  <c r="I33" i="4"/>
  <c r="J32" i="4"/>
  <c r="M32" i="4"/>
  <c r="O32" i="4"/>
  <c r="I22" i="4"/>
  <c r="A1" i="12"/>
  <c r="A2" i="12"/>
  <c r="A3" i="12"/>
  <c r="A4" i="12"/>
  <c r="A5" i="12"/>
  <c r="A6" i="12"/>
  <c r="B12" i="12"/>
  <c r="F12" i="12"/>
  <c r="B13" i="12"/>
  <c r="B14" i="12"/>
  <c r="F14" i="12"/>
  <c r="B15" i="12"/>
  <c r="F15" i="12"/>
  <c r="B16" i="12"/>
  <c r="F16" i="12"/>
  <c r="I17" i="12"/>
  <c r="E17" i="12"/>
  <c r="F17" i="12"/>
  <c r="B18" i="12"/>
  <c r="F18" i="12"/>
  <c r="B19" i="12"/>
  <c r="D19" i="12"/>
  <c r="B20" i="12"/>
  <c r="D20" i="12"/>
  <c r="B21" i="12"/>
  <c r="B22" i="12"/>
  <c r="B23" i="12"/>
  <c r="F23" i="12"/>
  <c r="F24" i="12"/>
  <c r="H27" i="12"/>
  <c r="K28" i="12"/>
  <c r="K38" i="12"/>
  <c r="K39" i="12"/>
  <c r="J28" i="12"/>
  <c r="J29" i="12"/>
  <c r="K29" i="12"/>
  <c r="J30" i="12"/>
  <c r="K30" i="12"/>
  <c r="H31" i="12"/>
  <c r="J31" i="12"/>
  <c r="K31" i="12"/>
  <c r="F39" i="12"/>
  <c r="G43" i="12"/>
  <c r="G44" i="12"/>
  <c r="C45" i="12"/>
  <c r="D45" i="12"/>
  <c r="E45" i="12"/>
  <c r="F45" i="12"/>
  <c r="A1" i="5"/>
  <c r="A2" i="5"/>
  <c r="A3" i="5"/>
  <c r="A4" i="5"/>
  <c r="A5" i="5"/>
  <c r="A6" i="5"/>
  <c r="G34" i="13"/>
  <c r="F47" i="13"/>
  <c r="F49" i="13"/>
  <c r="M84" i="4"/>
  <c r="O84" i="4"/>
  <c r="Q84" i="4"/>
  <c r="R84" i="4"/>
  <c r="P99" i="4"/>
  <c r="R99" i="4"/>
  <c r="Q99" i="4"/>
  <c r="P101" i="4"/>
  <c r="P103" i="4"/>
  <c r="P105" i="4"/>
  <c r="M43" i="4"/>
  <c r="N43" i="4"/>
  <c r="Q105" i="4"/>
  <c r="P180" i="4"/>
  <c r="R180" i="4"/>
  <c r="M45" i="4"/>
  <c r="O45" i="4"/>
  <c r="M107" i="4"/>
  <c r="O107" i="4"/>
  <c r="P47" i="4"/>
  <c r="R47" i="4"/>
  <c r="P165" i="4"/>
  <c r="R165" i="4"/>
  <c r="M67" i="4"/>
  <c r="P67" i="4"/>
  <c r="R67" i="4"/>
  <c r="N36" i="4"/>
  <c r="O36" i="4"/>
  <c r="O105" i="4"/>
  <c r="N105" i="4"/>
  <c r="R43" i="4"/>
  <c r="R166" i="4"/>
  <c r="N45" i="4"/>
  <c r="Q43" i="4"/>
  <c r="M99" i="4"/>
  <c r="O99" i="4"/>
  <c r="O43" i="4"/>
  <c r="M101" i="4"/>
  <c r="O101" i="4"/>
  <c r="M142" i="4"/>
  <c r="N142" i="4"/>
  <c r="M165" i="4"/>
  <c r="O165" i="4"/>
  <c r="R45" i="4"/>
  <c r="M87" i="4"/>
  <c r="M95" i="4"/>
  <c r="O95" i="4"/>
  <c r="P107" i="4"/>
  <c r="R107" i="4"/>
  <c r="P95" i="4"/>
  <c r="R95" i="4"/>
  <c r="M103" i="4"/>
  <c r="M166" i="4"/>
  <c r="N166" i="4"/>
  <c r="P32" i="4"/>
  <c r="P87" i="4"/>
  <c r="R87" i="4"/>
  <c r="P166" i="4"/>
  <c r="P34" i="4"/>
  <c r="Q32" i="4"/>
  <c r="M97" i="4"/>
  <c r="P36" i="4"/>
  <c r="Q34" i="4"/>
  <c r="M89" i="4"/>
  <c r="O89" i="4"/>
  <c r="R103" i="4"/>
  <c r="Q36" i="4"/>
  <c r="P89" i="4"/>
  <c r="R89" i="4"/>
  <c r="P97" i="4"/>
  <c r="R97" i="4"/>
  <c r="R170" i="4"/>
  <c r="N170" i="4"/>
  <c r="R169" i="4"/>
  <c r="Q142" i="4"/>
  <c r="R142" i="4"/>
  <c r="N107" i="4"/>
  <c r="R101" i="4"/>
  <c r="N95" i="4"/>
  <c r="N89" i="4"/>
  <c r="N84" i="4"/>
  <c r="O47" i="4"/>
  <c r="N34" i="4"/>
  <c r="N32" i="4"/>
  <c r="N180" i="4"/>
  <c r="N169" i="4"/>
  <c r="N171" i="4"/>
  <c r="J159" i="4"/>
  <c r="I167" i="4"/>
  <c r="J167" i="4"/>
  <c r="J138" i="4"/>
  <c r="J125" i="4"/>
  <c r="I77" i="4"/>
  <c r="I73" i="4"/>
  <c r="J91" i="4"/>
  <c r="J64" i="4"/>
  <c r="J68" i="4"/>
  <c r="J54" i="4"/>
  <c r="J49" i="4"/>
  <c r="J59" i="4"/>
  <c r="G210" i="5"/>
  <c r="G199" i="5"/>
  <c r="G216" i="5"/>
  <c r="G218" i="5"/>
  <c r="G190" i="5"/>
  <c r="J26" i="4"/>
  <c r="M26" i="4"/>
  <c r="J21" i="4"/>
  <c r="P21" i="4"/>
  <c r="J18" i="4"/>
  <c r="M18" i="4"/>
  <c r="N18" i="4"/>
  <c r="G156" i="5"/>
  <c r="J111" i="4"/>
  <c r="J162" i="4"/>
  <c r="J38" i="4"/>
  <c r="S100" i="4"/>
  <c r="J119" i="4"/>
  <c r="J130" i="4"/>
  <c r="J114" i="4"/>
  <c r="J146" i="4"/>
  <c r="G183" i="5"/>
  <c r="L16" i="4"/>
  <c r="G177" i="5"/>
  <c r="K16" i="4"/>
  <c r="D22" i="12"/>
  <c r="F22" i="12"/>
  <c r="G108" i="5"/>
  <c r="G20" i="5"/>
  <c r="G129" i="5"/>
  <c r="L15" i="4"/>
  <c r="G123" i="5"/>
  <c r="K15" i="4"/>
  <c r="G54" i="5"/>
  <c r="G75" i="5"/>
  <c r="K14" i="4"/>
  <c r="D14" i="12"/>
  <c r="G26" i="5"/>
  <c r="L13" i="4"/>
  <c r="G15" i="5"/>
  <c r="K13" i="4"/>
  <c r="D13" i="12"/>
  <c r="F13" i="12"/>
  <c r="F25" i="12"/>
  <c r="H38" i="12"/>
  <c r="H39" i="12"/>
  <c r="G45" i="12"/>
  <c r="G81" i="5"/>
  <c r="L14" i="4"/>
  <c r="N99" i="4"/>
  <c r="N101" i="4"/>
  <c r="R36" i="4"/>
  <c r="R105" i="4"/>
  <c r="R32" i="4"/>
  <c r="O67" i="4"/>
  <c r="N67" i="4"/>
  <c r="M59" i="4"/>
  <c r="Q59" i="4"/>
  <c r="P59" i="4"/>
  <c r="R59" i="4"/>
  <c r="M54" i="4"/>
  <c r="Q54" i="4"/>
  <c r="P54" i="4"/>
  <c r="R54" i="4"/>
  <c r="P162" i="4"/>
  <c r="Q162" i="4"/>
  <c r="M162" i="4"/>
  <c r="M68" i="4"/>
  <c r="Q68" i="4"/>
  <c r="P68" i="4"/>
  <c r="Q111" i="4"/>
  <c r="P111" i="4"/>
  <c r="R111" i="4"/>
  <c r="M111" i="4"/>
  <c r="M64" i="4"/>
  <c r="Q64" i="4"/>
  <c r="P64" i="4"/>
  <c r="R64" i="4"/>
  <c r="O142" i="4"/>
  <c r="M119" i="4"/>
  <c r="Q119" i="4"/>
  <c r="P119" i="4"/>
  <c r="Q38" i="4"/>
  <c r="P38" i="4"/>
  <c r="M38" i="4"/>
  <c r="O103" i="4"/>
  <c r="N103" i="4"/>
  <c r="J178" i="4"/>
  <c r="Q159" i="4"/>
  <c r="P159" i="4"/>
  <c r="R159" i="4"/>
  <c r="M159" i="4"/>
  <c r="N87" i="4"/>
  <c r="O87" i="4"/>
  <c r="N97" i="4"/>
  <c r="O97" i="4"/>
  <c r="I158" i="4"/>
  <c r="Q125" i="4"/>
  <c r="P125" i="4"/>
  <c r="R125" i="4"/>
  <c r="M125" i="4"/>
  <c r="Q130" i="4"/>
  <c r="P130" i="4"/>
  <c r="M130" i="4"/>
  <c r="P49" i="4"/>
  <c r="M49" i="4"/>
  <c r="Q49" i="4"/>
  <c r="Q91" i="4"/>
  <c r="P91" i="4"/>
  <c r="M91" i="4"/>
  <c r="Q146" i="4"/>
  <c r="P146" i="4"/>
  <c r="R146" i="4"/>
  <c r="M146" i="4"/>
  <c r="Q138" i="4"/>
  <c r="P138" i="4"/>
  <c r="M138" i="4"/>
  <c r="N165" i="4"/>
  <c r="S164" i="4"/>
  <c r="C17" i="13"/>
  <c r="P114" i="4"/>
  <c r="R114" i="4"/>
  <c r="M114" i="4"/>
  <c r="Q114" i="4"/>
  <c r="Q167" i="4"/>
  <c r="P167" i="4"/>
  <c r="R167" i="4"/>
  <c r="M167" i="4"/>
  <c r="O166" i="4"/>
  <c r="R34" i="4"/>
  <c r="S168" i="4"/>
  <c r="C18" i="13"/>
  <c r="J179" i="4"/>
  <c r="J157" i="4"/>
  <c r="I154" i="4"/>
  <c r="I156" i="4"/>
  <c r="J155" i="4"/>
  <c r="I152" i="4"/>
  <c r="J151" i="4"/>
  <c r="J72" i="4"/>
  <c r="Q26" i="4"/>
  <c r="P26" i="4"/>
  <c r="R26" i="4"/>
  <c r="Q18" i="4"/>
  <c r="O18" i="4"/>
  <c r="N26" i="4"/>
  <c r="O26" i="4"/>
  <c r="C19" i="13"/>
  <c r="P18" i="4"/>
  <c r="R18" i="4"/>
  <c r="S17" i="4"/>
  <c r="Q21" i="4"/>
  <c r="R21" i="4"/>
  <c r="M21" i="4"/>
  <c r="M13" i="4"/>
  <c r="M14" i="4"/>
  <c r="M16" i="4"/>
  <c r="M15" i="4"/>
  <c r="G83" i="5"/>
  <c r="G85" i="5"/>
  <c r="G86" i="5"/>
  <c r="G87" i="5"/>
  <c r="G185" i="5"/>
  <c r="G131" i="5"/>
  <c r="G133" i="5"/>
  <c r="G28" i="5"/>
  <c r="G30" i="5"/>
  <c r="R138" i="4"/>
  <c r="S137" i="4"/>
  <c r="C15" i="13"/>
  <c r="R130" i="4"/>
  <c r="S129" i="4"/>
  <c r="C14" i="13"/>
  <c r="R49" i="4"/>
  <c r="Q157" i="4"/>
  <c r="P157" i="4"/>
  <c r="M157" i="4"/>
  <c r="N49" i="4"/>
  <c r="O49" i="4"/>
  <c r="O162" i="4"/>
  <c r="N162" i="4"/>
  <c r="O119" i="4"/>
  <c r="N119" i="4"/>
  <c r="O130" i="4"/>
  <c r="N130" i="4"/>
  <c r="R162" i="4"/>
  <c r="O146" i="4"/>
  <c r="N146" i="4"/>
  <c r="Q178" i="4"/>
  <c r="P178" i="4"/>
  <c r="R178" i="4"/>
  <c r="M178" i="4"/>
  <c r="N64" i="4"/>
  <c r="O64" i="4"/>
  <c r="O54" i="4"/>
  <c r="N54" i="4"/>
  <c r="O125" i="4"/>
  <c r="N125" i="4"/>
  <c r="N111" i="4"/>
  <c r="O111" i="4"/>
  <c r="O159" i="4"/>
  <c r="N159" i="4"/>
  <c r="O167" i="4"/>
  <c r="N167" i="4"/>
  <c r="M72" i="4"/>
  <c r="Q72" i="4"/>
  <c r="P72" i="4"/>
  <c r="R72" i="4"/>
  <c r="O91" i="4"/>
  <c r="N91" i="4"/>
  <c r="O38" i="4"/>
  <c r="N38" i="4"/>
  <c r="N59" i="4"/>
  <c r="O59" i="4"/>
  <c r="Q179" i="4"/>
  <c r="P179" i="4"/>
  <c r="M179" i="4"/>
  <c r="Q151" i="4"/>
  <c r="P151" i="4"/>
  <c r="R151" i="4"/>
  <c r="M151" i="4"/>
  <c r="R91" i="4"/>
  <c r="S83" i="4"/>
  <c r="C12" i="13"/>
  <c r="R38" i="4"/>
  <c r="R68" i="4"/>
  <c r="O138" i="4"/>
  <c r="N138" i="4"/>
  <c r="M155" i="4"/>
  <c r="Q155" i="4"/>
  <c r="P155" i="4"/>
  <c r="O114" i="4"/>
  <c r="N114" i="4"/>
  <c r="R119" i="4"/>
  <c r="S110" i="4"/>
  <c r="C13" i="13"/>
  <c r="O68" i="4"/>
  <c r="N68" i="4"/>
  <c r="J187" i="4"/>
  <c r="J153" i="4"/>
  <c r="O21" i="4"/>
  <c r="N21" i="4"/>
  <c r="G31" i="5"/>
  <c r="G32" i="5"/>
  <c r="G33" i="5"/>
  <c r="G34" i="5"/>
  <c r="G134" i="5"/>
  <c r="G135" i="5"/>
  <c r="G88" i="5"/>
  <c r="G89" i="5"/>
  <c r="S31" i="4"/>
  <c r="C11" i="13"/>
  <c r="Q187" i="4"/>
  <c r="P187" i="4"/>
  <c r="R187" i="4"/>
  <c r="M187" i="4"/>
  <c r="O151" i="4"/>
  <c r="N151" i="4"/>
  <c r="N72" i="4"/>
  <c r="O72" i="4"/>
  <c r="R155" i="4"/>
  <c r="R179" i="4"/>
  <c r="S177" i="4"/>
  <c r="C20" i="13"/>
  <c r="O178" i="4"/>
  <c r="N178" i="4"/>
  <c r="O179" i="4"/>
  <c r="N179" i="4"/>
  <c r="O157" i="4"/>
  <c r="N157" i="4"/>
  <c r="O155" i="4"/>
  <c r="N155" i="4"/>
  <c r="R157" i="4"/>
  <c r="J186" i="4"/>
  <c r="P153" i="4"/>
  <c r="M153" i="4"/>
  <c r="Q153" i="4"/>
  <c r="G136" i="5"/>
  <c r="G137" i="5"/>
  <c r="G35" i="5"/>
  <c r="G36" i="5"/>
  <c r="G90" i="5"/>
  <c r="G91" i="5"/>
  <c r="O153" i="4"/>
  <c r="N153" i="4"/>
  <c r="Q186" i="4"/>
  <c r="P186" i="4"/>
  <c r="M186" i="4"/>
  <c r="O187" i="4"/>
  <c r="N187" i="4"/>
  <c r="R153" i="4"/>
  <c r="S150" i="4"/>
  <c r="C16" i="13"/>
  <c r="H36" i="5"/>
  <c r="H34" i="5"/>
  <c r="G138" i="5"/>
  <c r="G139" i="5"/>
  <c r="G39" i="5"/>
  <c r="G38" i="5"/>
  <c r="G37" i="5"/>
  <c r="G94" i="5"/>
  <c r="G93" i="5"/>
  <c r="G92" i="5"/>
  <c r="R186" i="4"/>
  <c r="S185" i="4"/>
  <c r="C22" i="13"/>
  <c r="O186" i="4"/>
  <c r="N186" i="4"/>
  <c r="I36" i="5"/>
  <c r="J9" i="9"/>
  <c r="G142" i="5"/>
  <c r="G141" i="5"/>
  <c r="G140" i="5"/>
  <c r="G40" i="5"/>
  <c r="H37" i="5"/>
  <c r="G95" i="5"/>
  <c r="G45" i="5"/>
  <c r="I37" i="5"/>
  <c r="O13" i="4"/>
  <c r="O14" i="4"/>
  <c r="O15" i="4"/>
  <c r="O16" i="4"/>
  <c r="G10" i="5"/>
  <c r="G143" i="5"/>
  <c r="G99" i="5"/>
  <c r="G147" i="5"/>
  <c r="P13" i="4"/>
  <c r="Q13" i="4"/>
  <c r="Q15" i="4"/>
  <c r="P15" i="4"/>
  <c r="P14" i="4"/>
  <c r="Q14" i="4"/>
  <c r="Q16" i="4"/>
  <c r="P16" i="4"/>
  <c r="N14" i="4"/>
  <c r="N13" i="4"/>
  <c r="N15" i="4"/>
  <c r="N16" i="4"/>
  <c r="R16" i="4"/>
  <c r="R15" i="4"/>
  <c r="R14" i="4"/>
  <c r="R13" i="4"/>
  <c r="S12" i="4"/>
  <c r="C9" i="13"/>
  <c r="S197" i="4"/>
  <c r="C10" i="13"/>
  <c r="C25" i="13"/>
  <c r="D10" i="13"/>
  <c r="G10" i="13"/>
  <c r="I10" i="13"/>
  <c r="K10" i="13"/>
  <c r="E10" i="13"/>
  <c r="D22" i="13"/>
  <c r="D20" i="13"/>
  <c r="D17" i="13"/>
  <c r="D9" i="13"/>
  <c r="D15" i="13"/>
  <c r="D16" i="13"/>
  <c r="D21" i="13"/>
  <c r="G38" i="13"/>
  <c r="D11" i="13"/>
  <c r="D24" i="13"/>
  <c r="D13" i="13"/>
  <c r="D23" i="13"/>
  <c r="D14" i="13"/>
  <c r="D19" i="13"/>
  <c r="D18" i="13"/>
  <c r="D12" i="13"/>
  <c r="G16" i="13"/>
  <c r="I16" i="13"/>
  <c r="E16" i="13"/>
  <c r="K16" i="13"/>
  <c r="D25" i="13"/>
  <c r="K9" i="13"/>
  <c r="I9" i="13"/>
  <c r="E9" i="13"/>
  <c r="G9" i="13"/>
  <c r="E18" i="13"/>
  <c r="G18" i="13"/>
  <c r="I18" i="13"/>
  <c r="K18" i="13"/>
  <c r="G17" i="13"/>
  <c r="I17" i="13"/>
  <c r="K17" i="13"/>
  <c r="E17" i="13"/>
  <c r="K21" i="13"/>
  <c r="I21" i="13"/>
  <c r="E21" i="13"/>
  <c r="G21" i="13"/>
  <c r="K15" i="13"/>
  <c r="E15" i="13"/>
  <c r="I15" i="13"/>
  <c r="G15" i="13"/>
  <c r="K12" i="13"/>
  <c r="I12" i="13"/>
  <c r="G12" i="13"/>
  <c r="E12" i="13"/>
  <c r="G19" i="13"/>
  <c r="I19" i="13"/>
  <c r="E19" i="13"/>
  <c r="K19" i="13"/>
  <c r="I20" i="13"/>
  <c r="K20" i="13"/>
  <c r="G20" i="13"/>
  <c r="E20" i="13"/>
  <c r="E14" i="13"/>
  <c r="K14" i="13"/>
  <c r="I14" i="13"/>
  <c r="G14" i="13"/>
  <c r="I22" i="13"/>
  <c r="G22" i="13"/>
  <c r="E22" i="13"/>
  <c r="K22" i="13"/>
  <c r="G23" i="13"/>
  <c r="E23" i="13"/>
  <c r="K23" i="13"/>
  <c r="I23" i="13"/>
  <c r="G13" i="13"/>
  <c r="I13" i="13"/>
  <c r="E13" i="13"/>
  <c r="K13" i="13"/>
  <c r="E24" i="13"/>
  <c r="K24" i="13"/>
  <c r="G24" i="13"/>
  <c r="I24" i="13"/>
  <c r="K11" i="13"/>
  <c r="I11" i="13"/>
  <c r="E11" i="13"/>
  <c r="G11" i="13"/>
  <c r="E25" i="13"/>
  <c r="F25" i="13"/>
  <c r="F28" i="13"/>
  <c r="E27" i="13"/>
  <c r="C32" i="13"/>
  <c r="G25" i="13"/>
  <c r="I25" i="13"/>
  <c r="K25" i="13"/>
  <c r="K27" i="13"/>
  <c r="F32" i="13"/>
  <c r="I27" i="13"/>
  <c r="H25" i="13"/>
  <c r="J25" i="13"/>
  <c r="L25" i="13"/>
  <c r="G27" i="13"/>
  <c r="C33" i="13"/>
  <c r="C34" i="13"/>
  <c r="C35" i="13"/>
  <c r="E32" i="13"/>
  <c r="F33" i="13"/>
  <c r="F34" i="13"/>
  <c r="F35" i="13"/>
  <c r="F43" i="13"/>
  <c r="H28" i="13"/>
  <c r="J28" i="13"/>
  <c r="L28" i="13"/>
  <c r="D32" i="13"/>
  <c r="D33" i="13"/>
  <c r="F46" i="13"/>
  <c r="E33" i="13"/>
  <c r="E34" i="13"/>
  <c r="E35" i="13"/>
  <c r="F45" i="13"/>
  <c r="G37" i="13"/>
  <c r="D34" i="13"/>
  <c r="D35" i="13"/>
  <c r="F44" i="13"/>
  <c r="F50" i="13"/>
  <c r="G39" i="13"/>
  <c r="G40" i="13"/>
  <c r="G41" i="13"/>
  <c r="G36" i="13"/>
  <c r="H36" i="13"/>
  <c r="C36" i="13"/>
  <c r="F36" i="13"/>
  <c r="E36" i="13"/>
  <c r="D36" i="13"/>
</calcChain>
</file>

<file path=xl/sharedStrings.xml><?xml version="1.0" encoding="utf-8"?>
<sst xmlns="http://schemas.openxmlformats.org/spreadsheetml/2006/main" count="895" uniqueCount="447">
  <si>
    <t>R/I</t>
  </si>
  <si>
    <t>Designación</t>
  </si>
  <si>
    <t>Dimensiones</t>
  </si>
  <si>
    <t>Unidad</t>
  </si>
  <si>
    <t>Cantidad</t>
  </si>
  <si>
    <t>Ancho</t>
  </si>
  <si>
    <t>Largo</t>
  </si>
  <si>
    <t>Alto</t>
  </si>
  <si>
    <t>1.1</t>
  </si>
  <si>
    <t>1.2</t>
  </si>
  <si>
    <t>1.3</t>
  </si>
  <si>
    <t>2.1</t>
  </si>
  <si>
    <t>3.1</t>
  </si>
  <si>
    <t>4.1</t>
  </si>
  <si>
    <t>m2</t>
  </si>
  <si>
    <t>6.1</t>
  </si>
  <si>
    <t>7.1</t>
  </si>
  <si>
    <t>5.1</t>
  </si>
  <si>
    <t>gl</t>
  </si>
  <si>
    <t>MAMPOSTERIA</t>
  </si>
  <si>
    <t>$Total</t>
  </si>
  <si>
    <t>$Parcial</t>
  </si>
  <si>
    <t>Costo</t>
  </si>
  <si>
    <t>INSTALACIONES</t>
  </si>
  <si>
    <t>PLANILLA DE PRECIOS  DE MANO DE OBRA</t>
  </si>
  <si>
    <t>2.2</t>
  </si>
  <si>
    <t>2.3</t>
  </si>
  <si>
    <t>MATERIALES</t>
  </si>
  <si>
    <t>MANO DE OBRA</t>
  </si>
  <si>
    <t>3.2</t>
  </si>
  <si>
    <t>3.3</t>
  </si>
  <si>
    <t>m3</t>
  </si>
  <si>
    <t>8.1</t>
  </si>
  <si>
    <t>10.1</t>
  </si>
  <si>
    <t>11.1</t>
  </si>
  <si>
    <t>Ayudante</t>
  </si>
  <si>
    <t>EQUIPOS</t>
  </si>
  <si>
    <t>AYUDANTE</t>
  </si>
  <si>
    <t>s1</t>
  </si>
  <si>
    <t>s2</t>
  </si>
  <si>
    <t>m1</t>
  </si>
  <si>
    <t>m4</t>
  </si>
  <si>
    <t>m6</t>
  </si>
  <si>
    <t>m7</t>
  </si>
  <si>
    <t>s13</t>
  </si>
  <si>
    <t>9.1</t>
  </si>
  <si>
    <t>kg</t>
  </si>
  <si>
    <t>Alambre negro recocido BWG 16</t>
  </si>
  <si>
    <t>m</t>
  </si>
  <si>
    <t>HORMIGON ARMADO</t>
  </si>
  <si>
    <t>u</t>
  </si>
  <si>
    <t>ml</t>
  </si>
  <si>
    <t>un</t>
  </si>
  <si>
    <t>GL</t>
  </si>
  <si>
    <t>IVA</t>
  </si>
  <si>
    <t>K</t>
  </si>
  <si>
    <t>PLANILLA DE MATERIALES</t>
  </si>
  <si>
    <t>N°</t>
  </si>
  <si>
    <t>Hierro torsionado Ø 6</t>
  </si>
  <si>
    <t>bolsa</t>
  </si>
  <si>
    <t>barra</t>
  </si>
  <si>
    <t>TOTAL</t>
  </si>
  <si>
    <t>SUBTOTAL</t>
  </si>
  <si>
    <t>navarro</t>
  </si>
  <si>
    <t>el amigo</t>
  </si>
  <si>
    <t>ESTADO</t>
  </si>
  <si>
    <t>EMPRESA</t>
  </si>
  <si>
    <t>saldo</t>
  </si>
  <si>
    <t>gastos</t>
  </si>
  <si>
    <t>Ingreso</t>
  </si>
  <si>
    <t>mano de obra</t>
  </si>
  <si>
    <t>clavos y disco</t>
  </si>
  <si>
    <t>vico</t>
  </si>
  <si>
    <t>esteban</t>
  </si>
  <si>
    <t>SUEGRO</t>
  </si>
  <si>
    <t>ESTEBAN</t>
  </si>
  <si>
    <t>SEMANAS</t>
  </si>
  <si>
    <t>FLETE</t>
  </si>
  <si>
    <t>GANANCIA</t>
  </si>
  <si>
    <t>esteban feriado</t>
  </si>
  <si>
    <t>fecha</t>
  </si>
  <si>
    <t>esteban semana</t>
  </si>
  <si>
    <t>madera</t>
  </si>
  <si>
    <t>13.1</t>
  </si>
  <si>
    <t>13.2</t>
  </si>
  <si>
    <t>14.1</t>
  </si>
  <si>
    <t>15.1</t>
  </si>
  <si>
    <t>16.1</t>
  </si>
  <si>
    <t>CIELORRASO</t>
  </si>
  <si>
    <t>TRABAJOS  PRELIMINARES</t>
  </si>
  <si>
    <t>Limpieza del terreno (extraccion de arboles, malezas, residuos, etc.).</t>
  </si>
  <si>
    <t>Cerco de Obra y definitivo</t>
  </si>
  <si>
    <t>Replanteo</t>
  </si>
  <si>
    <t xml:space="preserve">Obrador </t>
  </si>
  <si>
    <t>MOVIMIENTO  DE  SUELOS</t>
  </si>
  <si>
    <t>Excavaciones manuales para bases</t>
  </si>
  <si>
    <t>Excavaciones manuales para viga de fundacion</t>
  </si>
  <si>
    <t>Bases Centricas H°A°</t>
  </si>
  <si>
    <t>Bases Excentricas H°A°</t>
  </si>
  <si>
    <t>Fustes de Columna</t>
  </si>
  <si>
    <t xml:space="preserve">Viga Fundacion </t>
  </si>
  <si>
    <t>Dinteles</t>
  </si>
  <si>
    <t>Contrapiso de H° P° S/TN e=8cm</t>
  </si>
  <si>
    <t>Contrapiso de H° P° S/TN e=10cm  para cochera</t>
  </si>
  <si>
    <t>Banquina de Cocina y placares e =8cm</t>
  </si>
  <si>
    <t>AISLACIONES</t>
  </si>
  <si>
    <t>Capa Aisladora Tipo Cajon al 10% hidrofugo</t>
  </si>
  <si>
    <t>CUBIERTAS DE TECHO</t>
  </si>
  <si>
    <t>Cubierta de Chapa Gal. N° 25 trapezoidal</t>
  </si>
  <si>
    <t>canaletas de Ch. Gal. N° 25</t>
  </si>
  <si>
    <t>Cenefa de ch. Gal. N° 25</t>
  </si>
  <si>
    <t>REVOQUES</t>
  </si>
  <si>
    <t>10.2</t>
  </si>
  <si>
    <t>10.3</t>
  </si>
  <si>
    <t>3.4</t>
  </si>
  <si>
    <t>3.5</t>
  </si>
  <si>
    <t>3.6</t>
  </si>
  <si>
    <t>3.7</t>
  </si>
  <si>
    <t>CONTRAPISOS. CARPETAS Y PISOS</t>
  </si>
  <si>
    <t>4.2</t>
  </si>
  <si>
    <t>4.3</t>
  </si>
  <si>
    <t>4.4</t>
  </si>
  <si>
    <t>4.5</t>
  </si>
  <si>
    <t>4.6</t>
  </si>
  <si>
    <t>4.7</t>
  </si>
  <si>
    <t>5.2</t>
  </si>
  <si>
    <t>5.3</t>
  </si>
  <si>
    <t>5.4</t>
  </si>
  <si>
    <t>7.2</t>
  </si>
  <si>
    <t>7.3</t>
  </si>
  <si>
    <t>8.2</t>
  </si>
  <si>
    <t>8.3</t>
  </si>
  <si>
    <t>9.2</t>
  </si>
  <si>
    <t>9.3</t>
  </si>
  <si>
    <t>Instalacion Sanitaria</t>
  </si>
  <si>
    <t>Instalacion Electrica</t>
  </si>
  <si>
    <t>Instalacion de Gas</t>
  </si>
  <si>
    <t>CARPINTERIAS</t>
  </si>
  <si>
    <t>11.2</t>
  </si>
  <si>
    <t>11.3</t>
  </si>
  <si>
    <t>11.4</t>
  </si>
  <si>
    <t>Puerta ventana  de aluminio anodizado</t>
  </si>
  <si>
    <t>Puertas de Acceso Principal</t>
  </si>
  <si>
    <t>Ventanas de Aluminio Anodizado</t>
  </si>
  <si>
    <t>Puertas placas interiores</t>
  </si>
  <si>
    <t>REVESTIMIENTOS</t>
  </si>
  <si>
    <t>12.1</t>
  </si>
  <si>
    <t>12.2</t>
  </si>
  <si>
    <t>12.3</t>
  </si>
  <si>
    <t>Marmoles para mesada</t>
  </si>
  <si>
    <t>HERRERIAS</t>
  </si>
  <si>
    <t>Portón vehicular</t>
  </si>
  <si>
    <t>PINTURAS</t>
  </si>
  <si>
    <t>14.2</t>
  </si>
  <si>
    <t>Látex int blanco línea Profesional</t>
  </si>
  <si>
    <t>VARIOS</t>
  </si>
  <si>
    <t>15.2</t>
  </si>
  <si>
    <t>15.3</t>
  </si>
  <si>
    <t>Espejos</t>
  </si>
  <si>
    <t>Bacha de acero inoxidable y anclaje para mesada</t>
  </si>
  <si>
    <t>Bacha lavadero</t>
  </si>
  <si>
    <t>Limipieza Periodica y Final</t>
  </si>
  <si>
    <t>Uni</t>
  </si>
  <si>
    <t>Partes</t>
  </si>
  <si>
    <t>m8</t>
  </si>
  <si>
    <t>m4=m7</t>
  </si>
  <si>
    <t>m5=m6</t>
  </si>
  <si>
    <t>PILETA DE NATACION</t>
  </si>
  <si>
    <t>Pileta de Materiales Armada In situ 3x6x1,5 terminada</t>
  </si>
  <si>
    <t>Columnas de Hormigon Armado medida promedio</t>
  </si>
  <si>
    <t>COSTO COSTO</t>
  </si>
  <si>
    <t>l1</t>
  </si>
  <si>
    <t>l2</t>
  </si>
  <si>
    <t>l3</t>
  </si>
  <si>
    <t>l4</t>
  </si>
  <si>
    <t>l2=l3</t>
  </si>
  <si>
    <t>Látex exterior blanco</t>
  </si>
  <si>
    <t>k</t>
  </si>
  <si>
    <t xml:space="preserve">Zocalo de ceramica esmaltada </t>
  </si>
  <si>
    <t>PLAN DE TRABAJO</t>
  </si>
  <si>
    <t>mes1</t>
  </si>
  <si>
    <t>mes2</t>
  </si>
  <si>
    <t>mes3</t>
  </si>
  <si>
    <t>mes4</t>
  </si>
  <si>
    <t>DESIGNACION</t>
  </si>
  <si>
    <t>Parc./totales</t>
  </si>
  <si>
    <t xml:space="preserve"> % en R/I</t>
  </si>
  <si>
    <t>%I</t>
  </si>
  <si>
    <t>%A</t>
  </si>
  <si>
    <t>EQUIPOS / M. DE OBRA Y MAT.</t>
  </si>
  <si>
    <t>MONTOS MENSUALES</t>
  </si>
  <si>
    <t>MONTOS ACUMULADOS</t>
  </si>
  <si>
    <t>COEF. DE REDETERMINACION</t>
  </si>
  <si>
    <t>FECHA DE INICIO OCTUBRE DE 2013</t>
  </si>
  <si>
    <t>MES 1</t>
  </si>
  <si>
    <t>MES 2</t>
  </si>
  <si>
    <t>MES 3</t>
  </si>
  <si>
    <t>MES 4</t>
  </si>
  <si>
    <t>MES 5</t>
  </si>
  <si>
    <t>REDET. F/R</t>
  </si>
  <si>
    <t>CENTIFICADO BRUTO</t>
  </si>
  <si>
    <t>FONDO DE REPARO 5,0000%</t>
  </si>
  <si>
    <t>CERTIFICADO NETO</t>
  </si>
  <si>
    <t>MONTOS REDETERMINADOS</t>
  </si>
  <si>
    <t>INCIDENCIA EN EL TOTAL</t>
  </si>
  <si>
    <t>TOTAL FONDO DE REPARO</t>
  </si>
  <si>
    <t>TOTAL TOTAL MONTO DE OBRA A LA FECHA DE OCTUBRE DE 2013</t>
  </si>
  <si>
    <t>TOTAL-TOTAL MONTO DE OBRA REDETERMINADA A SEPTIEMBRE DE 2014</t>
  </si>
  <si>
    <t>DIFERENCIA DE MONTOS</t>
  </si>
  <si>
    <t>INCREMENTO PORCENTUAL TOTAL</t>
  </si>
  <si>
    <t>MONTO A CERTIFICAR MES DE NOVIEMBRE DE 2013</t>
  </si>
  <si>
    <t>CERTIF Nº1</t>
  </si>
  <si>
    <t>MONTO A CERTIFICAR MES DE DICIEMBRE DE 2013</t>
  </si>
  <si>
    <t>CERTIF Nº2</t>
  </si>
  <si>
    <t>MONTO A CERTIFICAR MES DE ENERO DE 2014</t>
  </si>
  <si>
    <t>CERTIF Nº3</t>
  </si>
  <si>
    <t>MONTO A CERTIFICAR MES DE FEBRERO DE 2014</t>
  </si>
  <si>
    <t>CERTIF Nº4</t>
  </si>
  <si>
    <t>MONTO A CERTIFICAR MES DE MARZO DE 2014</t>
  </si>
  <si>
    <t>CERTIF Nº5</t>
  </si>
  <si>
    <t>GARANTIA POR FONDO DE REPARO (SEIS MES DESDE FINAL DE OBRA)</t>
  </si>
  <si>
    <t>MONTO A CERTIFICAR MES DE OCTUBRE DE 2014</t>
  </si>
  <si>
    <t>CERTIF Nº6</t>
  </si>
  <si>
    <t>TOTAL DE MONTO A CERTIFICAR</t>
  </si>
  <si>
    <t>REALE.arq</t>
  </si>
  <si>
    <t>Tel./Fax.: 376-154397658 / Email: reale.arq@gmail.com</t>
  </si>
  <si>
    <t>COMITENTE: Marcela Alegre</t>
  </si>
  <si>
    <t>OBRA: Vivienda Familiar tipo duplex</t>
  </si>
  <si>
    <t>DIRECCION: POSADAS</t>
  </si>
  <si>
    <t>FECHA: 13/12/2024</t>
  </si>
  <si>
    <t>RUBRO 1</t>
  </si>
  <si>
    <t>TRABAJOS PRELIMINARES</t>
  </si>
  <si>
    <r>
      <t>Unidad</t>
    </r>
    <r>
      <rPr>
        <sz val="10"/>
        <rFont val="Arial"/>
        <family val="2"/>
      </rPr>
      <t>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Gl</t>
    </r>
  </si>
  <si>
    <t>Nº</t>
  </si>
  <si>
    <t>$ Unitario</t>
  </si>
  <si>
    <t>$ TOTAL</t>
  </si>
  <si>
    <t>E</t>
  </si>
  <si>
    <t>Q</t>
  </si>
  <si>
    <t>U</t>
  </si>
  <si>
    <t>I</t>
  </si>
  <si>
    <t>P</t>
  </si>
  <si>
    <t>O</t>
  </si>
  <si>
    <t>S</t>
  </si>
  <si>
    <t>TOTAL " A "</t>
  </si>
  <si>
    <t>M</t>
  </si>
  <si>
    <t>A</t>
  </si>
  <si>
    <t>kg.</t>
  </si>
  <si>
    <t>T</t>
  </si>
  <si>
    <t>R</t>
  </si>
  <si>
    <t>Liston de pino Elliottis 2" x 3"</t>
  </si>
  <si>
    <t>L</t>
  </si>
  <si>
    <t>ud.</t>
  </si>
  <si>
    <t>ducha electrica</t>
  </si>
  <si>
    <t>caño P.V.C. 110mm</t>
  </si>
  <si>
    <t>caño P.V.C. 40mm</t>
  </si>
  <si>
    <t>codo 90° 110mm</t>
  </si>
  <si>
    <t>codo 90° 40mm</t>
  </si>
  <si>
    <t>codo 45° 110mm</t>
  </si>
  <si>
    <t>codo 45° 40mm</t>
  </si>
  <si>
    <t>ramal "Y" 110mm.</t>
  </si>
  <si>
    <t>TOTAL " B "</t>
  </si>
  <si>
    <t>Ud</t>
  </si>
  <si>
    <t>OFICIAL ESP</t>
  </si>
  <si>
    <t>Hs</t>
  </si>
  <si>
    <t xml:space="preserve">OFICIAL </t>
  </si>
  <si>
    <t xml:space="preserve">1/2OFICIAL </t>
  </si>
  <si>
    <t>TOTAL " C "</t>
  </si>
  <si>
    <t>COSTO COSTO ITEM</t>
  </si>
  <si>
    <t>TOTAL " D " = A + B + C</t>
  </si>
  <si>
    <t>COSTO - COSTO</t>
  </si>
  <si>
    <t>F L E T E</t>
  </si>
  <si>
    <t>SUBTOTAL 1</t>
  </si>
  <si>
    <t>G. GENERALES</t>
  </si>
  <si>
    <t>SUBTOTAL 2</t>
  </si>
  <si>
    <t>BENEFICIOS</t>
  </si>
  <si>
    <t>SUBTOTAL 3</t>
  </si>
  <si>
    <t>I.V.A.</t>
  </si>
  <si>
    <t>I.I.B.B.</t>
  </si>
  <si>
    <t>PADRON DE COMERCIO</t>
  </si>
  <si>
    <t>PRECIO ITEM</t>
  </si>
  <si>
    <t xml:space="preserve">Oficial </t>
  </si>
  <si>
    <t>Medio Oficial</t>
  </si>
  <si>
    <t>sereno</t>
  </si>
  <si>
    <t>especializado</t>
  </si>
  <si>
    <t>Servicio de desratizacion</t>
  </si>
  <si>
    <t>Contenedor</t>
  </si>
  <si>
    <t>dia</t>
  </si>
  <si>
    <t>Fenolico 1,20x2,60x0,018</t>
  </si>
  <si>
    <t>Bisagra tipo tranquera 50x5x200 mm</t>
  </si>
  <si>
    <t>Bulon hexagonal 1/4x1"</t>
  </si>
  <si>
    <t>Tuerca hexagonal 1/4" zincada</t>
  </si>
  <si>
    <t>Arandela plana 1/4" zincada</t>
  </si>
  <si>
    <t>Cadena</t>
  </si>
  <si>
    <t>Candado nº 5</t>
  </si>
  <si>
    <t>Hilo de nylon 0,90 mm. Rollo x 100 m</t>
  </si>
  <si>
    <t>designacion</t>
  </si>
  <si>
    <t>$/hora</t>
  </si>
  <si>
    <t>costos-costo</t>
  </si>
  <si>
    <t>Mat</t>
  </si>
  <si>
    <t>MO</t>
  </si>
  <si>
    <t>M. OBRA</t>
  </si>
  <si>
    <t>OBRADOR</t>
  </si>
  <si>
    <t>$/CON IVA</t>
  </si>
  <si>
    <t>$/SIN IVA</t>
  </si>
  <si>
    <t>CEMENTO DE ALBAÑILERIA</t>
  </si>
  <si>
    <t>ARENA MEDIANA</t>
  </si>
  <si>
    <t>Item Nº 1.1</t>
  </si>
  <si>
    <t>EQUIPOS (A)</t>
  </si>
  <si>
    <t>MATERIALES (B)</t>
  </si>
  <si>
    <t>MANO DE OBRA (C)</t>
  </si>
  <si>
    <t>Item Nº 1.2</t>
  </si>
  <si>
    <t>Item Nº 1.3</t>
  </si>
  <si>
    <t>Item Nº 1.4</t>
  </si>
  <si>
    <t>vol. Comercial</t>
  </si>
  <si>
    <t>un. Com</t>
  </si>
  <si>
    <t>unid unitaria</t>
  </si>
  <si>
    <t>METALES</t>
  </si>
  <si>
    <t>MADERAS</t>
  </si>
  <si>
    <t>ARIDOS</t>
  </si>
  <si>
    <t>CEMENTICIOS</t>
  </si>
  <si>
    <t>SANITARIOS</t>
  </si>
  <si>
    <t>PIEDRA PARTIDA 6-19</t>
  </si>
  <si>
    <t>SERVICIOS</t>
  </si>
  <si>
    <t>Clavo punta paris 2"</t>
  </si>
  <si>
    <t>Tirante de pino Elliottis 2"x4"</t>
  </si>
  <si>
    <t>Machimbre de pino Elliottis esp: 1/2"</t>
  </si>
  <si>
    <t>FERRETERIA</t>
  </si>
  <si>
    <t>placa</t>
  </si>
  <si>
    <t>unid</t>
  </si>
  <si>
    <t>Liston de pino 1"x4" Sin cepillar</t>
  </si>
  <si>
    <t>Puntal de Pino 2"x2" Sin cepillar</t>
  </si>
  <si>
    <t>Puntal de Pino 3"x3" sin Cepillar</t>
  </si>
  <si>
    <t>CEMENTO PORTLAND X50</t>
  </si>
  <si>
    <t>BOLSA</t>
  </si>
  <si>
    <t>beneficio gasto general</t>
  </si>
  <si>
    <t>factor K</t>
  </si>
  <si>
    <t>factor Ben+GG</t>
  </si>
  <si>
    <t>Inodoro corto con Mochila</t>
  </si>
  <si>
    <t>Lavatorio plastico completo</t>
  </si>
  <si>
    <t>BN+GG</t>
  </si>
  <si>
    <t>SUB1</t>
  </si>
  <si>
    <t>SUB TOTAL</t>
  </si>
  <si>
    <t>Tot</t>
  </si>
  <si>
    <t>par</t>
  </si>
  <si>
    <t xml:space="preserve">Cerco de Obra </t>
  </si>
  <si>
    <t>Chapa galv. sinusoidal n°27  3M</t>
  </si>
  <si>
    <t>Bases Excentricas H°A° 1,2 x 1,2</t>
  </si>
  <si>
    <t>Bases Centricas H°A°  1,2 x 1,2</t>
  </si>
  <si>
    <t>Excavaciones manuales para instalaciones</t>
  </si>
  <si>
    <t>Pozo absorvente</t>
  </si>
  <si>
    <t>camara septica</t>
  </si>
  <si>
    <t>camara de inspeccion</t>
  </si>
  <si>
    <t>Cañeria</t>
  </si>
  <si>
    <t>RUBRO 2</t>
  </si>
  <si>
    <t>MOVIMIENTO DE SUELOS</t>
  </si>
  <si>
    <t xml:space="preserve">Excavaciones manuales para bases </t>
  </si>
  <si>
    <r>
      <t>Unidad</t>
    </r>
    <r>
      <rPr>
        <sz val="10"/>
        <rFont val="Arial"/>
        <family val="2"/>
      </rPr>
      <t>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m3</t>
    </r>
  </si>
  <si>
    <t>Bases de H°A° in situ de 1,2 x 1,2</t>
  </si>
  <si>
    <t xml:space="preserve">Vigas H°A° para Losa </t>
  </si>
  <si>
    <t>v1=v2=v3</t>
  </si>
  <si>
    <t>v4</t>
  </si>
  <si>
    <t>v8</t>
  </si>
  <si>
    <t xml:space="preserve">Viga Encadenado H°A° nivel +3 </t>
  </si>
  <si>
    <t>E1</t>
  </si>
  <si>
    <t>E2=E3</t>
  </si>
  <si>
    <t>E4=E5</t>
  </si>
  <si>
    <t>E6</t>
  </si>
  <si>
    <t>Vigas Encadenado H°A° nivel +6</t>
  </si>
  <si>
    <t>Vigas Encadenado H°A° T.R.</t>
  </si>
  <si>
    <t>Escalera de H°A°</t>
  </si>
  <si>
    <t>Fustes de 45 x 25</t>
  </si>
  <si>
    <t>Columnas H°A° P.B.</t>
  </si>
  <si>
    <t>Columnas H°A° P.A. nivel +3</t>
  </si>
  <si>
    <t>Columnas H°A° T.R. nivel +6</t>
  </si>
  <si>
    <t>v5=v6=v7</t>
  </si>
  <si>
    <t>descanso</t>
  </si>
  <si>
    <t>peldaño</t>
  </si>
  <si>
    <t>T1=T2</t>
  </si>
  <si>
    <t>Planta Baja</t>
  </si>
  <si>
    <t>Planta Alta</t>
  </si>
  <si>
    <t>vn1</t>
  </si>
  <si>
    <t>PV1</t>
  </si>
  <si>
    <t>Puerta</t>
  </si>
  <si>
    <t>Vn4</t>
  </si>
  <si>
    <t>Vn5</t>
  </si>
  <si>
    <t>Vn6</t>
  </si>
  <si>
    <t>Vn7</t>
  </si>
  <si>
    <t>Puertas</t>
  </si>
  <si>
    <t xml:space="preserve">Contrapiso de H° P° S/losa e=5 cm  </t>
  </si>
  <si>
    <t>B1 PB</t>
  </si>
  <si>
    <t>B2 PB</t>
  </si>
  <si>
    <t>B3 PB</t>
  </si>
  <si>
    <t>Piso Interior de ceramica esmaltada 30x30 PB</t>
  </si>
  <si>
    <t>Piso Exterior de cemento Rodillado  PB</t>
  </si>
  <si>
    <t>Piso Interior de ceramica esmaltada 30x30 PA</t>
  </si>
  <si>
    <t>Carpeta hidrofuga de Nivelacion bajo ceramica e=2cm PB</t>
  </si>
  <si>
    <t>Carpeta hidrofuga de Nivelacion bajo ceramica e=2cm PA</t>
  </si>
  <si>
    <t>pb</t>
  </si>
  <si>
    <t>pa</t>
  </si>
  <si>
    <t>Piso Interior de ceramica esmaltada 30x30 en escalera</t>
  </si>
  <si>
    <t>Mamposteria de elevacion de ladrillos ceramicos  interior PB</t>
  </si>
  <si>
    <t>Mamposteria de elevacion de ladrillos ceramicos ext PA</t>
  </si>
  <si>
    <t>Mamposteria de elevacion de ladrillos ceramicos exterior PB</t>
  </si>
  <si>
    <t>m1=m3</t>
  </si>
  <si>
    <t>m4=m5</t>
  </si>
  <si>
    <t>Mamposteria de elevacion de ladrillos ceramicos int PA</t>
  </si>
  <si>
    <t>m1=m2</t>
  </si>
  <si>
    <t>s1pb</t>
  </si>
  <si>
    <t>s2 pb</t>
  </si>
  <si>
    <t>s3 pa</t>
  </si>
  <si>
    <t>Completo a la cal fino exterior PB</t>
  </si>
  <si>
    <t>Completo a la cal fino interior PB</t>
  </si>
  <si>
    <t>Completo a la cal fino exterior PA</t>
  </si>
  <si>
    <t>Completo a la cal fino interior PA</t>
  </si>
  <si>
    <t>8.4</t>
  </si>
  <si>
    <t>Grueso bajo revestimiento PB</t>
  </si>
  <si>
    <t>8.5</t>
  </si>
  <si>
    <t>Grueso bajo revestimiento PA</t>
  </si>
  <si>
    <t>8.6</t>
  </si>
  <si>
    <t>Suspendido de placas de yeso Interior PB</t>
  </si>
  <si>
    <t>Suspendido de placas de yeso exterior PB</t>
  </si>
  <si>
    <t>Suspendido de placas de yeso Interior PA</t>
  </si>
  <si>
    <t>ceramica esmaltadad en sanitarios PB</t>
  </si>
  <si>
    <t>ceramica esmaltadad en sanitarios PA</t>
  </si>
  <si>
    <t>Rejas para cerramientos</t>
  </si>
  <si>
    <t>16.2</t>
  </si>
  <si>
    <t>16.3</t>
  </si>
  <si>
    <t>Cerramiento de madera exterior lustrada</t>
  </si>
  <si>
    <t>Barnadas para balcones y escalera</t>
  </si>
  <si>
    <t>Parrilla y complementarios</t>
  </si>
  <si>
    <t>3.8</t>
  </si>
  <si>
    <t>3.9</t>
  </si>
  <si>
    <t>3.10</t>
  </si>
  <si>
    <t>3.11</t>
  </si>
  <si>
    <t>3.12</t>
  </si>
  <si>
    <t>3.13</t>
  </si>
  <si>
    <t>Costos</t>
  </si>
  <si>
    <t>2.4</t>
  </si>
  <si>
    <t>2.5</t>
  </si>
  <si>
    <t>1.4</t>
  </si>
  <si>
    <t>3.14</t>
  </si>
  <si>
    <t>4.8</t>
  </si>
  <si>
    <t>4.9</t>
  </si>
  <si>
    <t>4.10</t>
  </si>
  <si>
    <t>4.11</t>
  </si>
  <si>
    <t>13.3</t>
  </si>
  <si>
    <t>15.4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</si>
</sst>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\ * #,##0.00_-;\-&quot;$&quot;\ * #,##0.00_-;_-&quot;$&quot;\ * &quot;-&quot;??_-;_-@_-"/>
    <numFmt numFmtId="176" formatCode="_ &quot;$&quot;\ * #,##0.00_ ;_ &quot;$&quot;\ * \-#,##0.00_ ;_ &quot;$&quot;\ * &quot;-&quot;??_ ;_ @_ "/>
    <numFmt numFmtId="182" formatCode="0.0"/>
    <numFmt numFmtId="183" formatCode="_ &quot;$&quot;\ * #,##0.0000_ ;_ &quot;$&quot;\ * \-#,##0.0000_ ;_ &quot;$&quot;\ * &quot;-&quot;??_ ;_ @_ "/>
    <numFmt numFmtId="184" formatCode="0.000%"/>
    <numFmt numFmtId="185" formatCode="0.0000%"/>
    <numFmt numFmtId="186" formatCode="[$$-2C0A]\ #,##0.00"/>
    <numFmt numFmtId="187" formatCode="#,##0.00000"/>
    <numFmt numFmtId="189" formatCode="_-* #,##0.00\ &quot;€&quot;_-;\-* #,##0.00\ &quot;€&quot;_-;_-* &quot;-&quot;??\ &quot;€&quot;_-;_-@_-"/>
    <numFmt numFmtId="190" formatCode="[$$-2C0A]\ #,##0.0"/>
    <numFmt numFmtId="202" formatCode="_(&quot;$&quot;* #,##0.00_);_(&quot;$&quot;* \(#,##0.00\);_(&quot;$&quot;* &quot;-&quot;??_);_(@_)"/>
    <numFmt numFmtId="203" formatCode="_(* #,##0.00_);_(* \(#,##0.00\);_(* &quot;-&quot;??_);_(@_)"/>
    <numFmt numFmtId="206" formatCode="_-&quot;$&quot;\ * #,##0.000_-;\-&quot;$&quot;\ * #,##0.000_-;_-&quot;$&quot;\ * &quot;-&quot;??_-;_-@_-"/>
  </numFmts>
  <fonts count="4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2"/>
      <name val="Nexa-Light"/>
      <family val="3"/>
    </font>
    <font>
      <b/>
      <sz val="11"/>
      <name val="Nexa-Light"/>
      <family val="3"/>
    </font>
    <font>
      <sz val="12"/>
      <name val="Nexa-Light"/>
      <family val="3"/>
    </font>
    <font>
      <sz val="10"/>
      <name val="Nexa-Light"/>
      <family val="3"/>
    </font>
    <font>
      <b/>
      <sz val="10"/>
      <name val="Nexa-Light"/>
      <family val="3"/>
    </font>
    <font>
      <sz val="11"/>
      <name val="Nexa-Light"/>
      <family val="3"/>
    </font>
    <font>
      <b/>
      <sz val="12"/>
      <name val="Nexa-Bold"/>
      <family val="3"/>
    </font>
    <font>
      <sz val="10"/>
      <name val="Nexa-Bold"/>
      <family val="3"/>
    </font>
    <font>
      <b/>
      <sz val="10"/>
      <name val="Nexa-Bold"/>
      <family val="3"/>
    </font>
    <font>
      <sz val="12"/>
      <name val="Courier"/>
      <family val="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sz val="12"/>
      <color theme="0"/>
      <name val="Nexa-Light"/>
      <family val="3"/>
    </font>
    <font>
      <b/>
      <sz val="14"/>
      <color theme="0"/>
      <name val="Nexa-Light"/>
      <family val="3"/>
    </font>
    <font>
      <b/>
      <sz val="11"/>
      <color theme="0"/>
      <name val="Nexa-Light"/>
      <family val="3"/>
    </font>
    <font>
      <b/>
      <sz val="16"/>
      <color theme="0"/>
      <name val="Nexa-Light"/>
      <family val="3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17">
    <xf numFmtId="0" fontId="0" fillId="0" borderId="0"/>
    <xf numFmtId="0" fontId="32" fillId="2" borderId="50" applyNumberFormat="0" applyAlignment="0" applyProtection="0"/>
    <xf numFmtId="0" fontId="31" fillId="3" borderId="0" applyNumberFormat="0" applyBorder="0" applyAlignment="0" applyProtection="0"/>
    <xf numFmtId="203" fontId="3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3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0" fillId="4" borderId="51" applyNumberFormat="0" applyFon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0">
    <xf numFmtId="0" fontId="0" fillId="0" borderId="0" xfId="0"/>
    <xf numFmtId="0" fontId="3" fillId="0" borderId="0" xfId="0" applyFont="1"/>
    <xf numFmtId="14" fontId="33" fillId="5" borderId="1" xfId="0" applyNumberFormat="1" applyFont="1" applyFill="1" applyBorder="1"/>
    <xf numFmtId="14" fontId="34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 vertical="center"/>
    </xf>
    <xf numFmtId="176" fontId="3" fillId="0" borderId="1" xfId="4" applyFont="1" applyBorder="1"/>
    <xf numFmtId="176" fontId="3" fillId="0" borderId="0" xfId="4" applyFont="1"/>
    <xf numFmtId="16" fontId="3" fillId="0" borderId="0" xfId="0" applyNumberFormat="1" applyFont="1"/>
    <xf numFmtId="176" fontId="3" fillId="0" borderId="0" xfId="0" applyNumberFormat="1" applyFont="1"/>
    <xf numFmtId="176" fontId="3" fillId="0" borderId="2" xfId="0" applyNumberFormat="1" applyFont="1" applyBorder="1"/>
    <xf numFmtId="44" fontId="33" fillId="5" borderId="3" xfId="0" applyNumberFormat="1" applyFont="1" applyFill="1" applyBorder="1"/>
    <xf numFmtId="44" fontId="34" fillId="5" borderId="3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Fill="1" applyBorder="1"/>
    <xf numFmtId="4" fontId="35" fillId="2" borderId="52" xfId="1" applyNumberFormat="1" applyFont="1" applyBorder="1" applyAlignment="1">
      <alignment vertical="center"/>
    </xf>
    <xf numFmtId="4" fontId="35" fillId="2" borderId="53" xfId="1" applyNumberFormat="1" applyFont="1" applyBorder="1" applyAlignment="1">
      <alignment vertic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/>
    <xf numFmtId="18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44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3" xfId="0" applyFont="1" applyFill="1" applyBorder="1"/>
    <xf numFmtId="0" fontId="3" fillId="0" borderId="6" xfId="0" applyFont="1" applyBorder="1"/>
    <xf numFmtId="1" fontId="3" fillId="0" borderId="6" xfId="0" applyNumberFormat="1" applyFont="1" applyBorder="1" applyAlignment="1">
      <alignment horizontal="center" vertical="center"/>
    </xf>
    <xf numFmtId="176" fontId="3" fillId="0" borderId="7" xfId="4" applyFont="1" applyBorder="1"/>
    <xf numFmtId="44" fontId="3" fillId="0" borderId="1" xfId="0" applyNumberFormat="1" applyFont="1" applyBorder="1"/>
    <xf numFmtId="176" fontId="3" fillId="0" borderId="8" xfId="4" applyFont="1" applyBorder="1"/>
    <xf numFmtId="176" fontId="3" fillId="0" borderId="2" xfId="4" applyFont="1" applyBorder="1"/>
    <xf numFmtId="0" fontId="3" fillId="0" borderId="2" xfId="0" applyFont="1" applyBorder="1"/>
    <xf numFmtId="0" fontId="36" fillId="3" borderId="5" xfId="2" applyFont="1" applyBorder="1"/>
    <xf numFmtId="44" fontId="36" fillId="3" borderId="2" xfId="2" applyNumberFormat="1" applyFont="1" applyBorder="1"/>
    <xf numFmtId="0" fontId="36" fillId="3" borderId="9" xfId="2" applyFont="1" applyBorder="1"/>
    <xf numFmtId="44" fontId="36" fillId="3" borderId="10" xfId="2" applyNumberFormat="1" applyFont="1" applyBorder="1"/>
    <xf numFmtId="0" fontId="3" fillId="0" borderId="9" xfId="0" applyFont="1" applyBorder="1"/>
    <xf numFmtId="44" fontId="3" fillId="0" borderId="10" xfId="0" applyNumberFormat="1" applyFont="1" applyBorder="1"/>
    <xf numFmtId="0" fontId="34" fillId="2" borderId="50" xfId="1" applyFont="1"/>
    <xf numFmtId="0" fontId="7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8" fillId="0" borderId="0" xfId="0" applyFont="1"/>
    <xf numFmtId="176" fontId="3" fillId="0" borderId="0" xfId="4" applyFont="1" applyFill="1" applyBorder="1"/>
    <xf numFmtId="2" fontId="5" fillId="0" borderId="11" xfId="12" applyNumberFormat="1" applyFont="1" applyBorder="1" applyAlignment="1">
      <alignment horizontal="center"/>
    </xf>
    <xf numFmtId="0" fontId="5" fillId="0" borderId="12" xfId="12" applyFont="1" applyBorder="1" applyAlignment="1">
      <alignment horizontal="center"/>
    </xf>
    <xf numFmtId="189" fontId="6" fillId="0" borderId="13" xfId="4" applyNumberFormat="1" applyFont="1" applyFill="1" applyBorder="1" applyAlignment="1">
      <alignment horizontal="center"/>
    </xf>
    <xf numFmtId="185" fontId="5" fillId="0" borderId="12" xfId="14" applyNumberFormat="1" applyFont="1" applyFill="1" applyBorder="1" applyAlignment="1">
      <alignment horizontal="center"/>
    </xf>
    <xf numFmtId="10" fontId="3" fillId="0" borderId="11" xfId="0" applyNumberFormat="1" applyFont="1" applyBorder="1"/>
    <xf numFmtId="10" fontId="3" fillId="0" borderId="14" xfId="0" applyNumberFormat="1" applyFont="1" applyBorder="1"/>
    <xf numFmtId="10" fontId="3" fillId="0" borderId="0" xfId="0" applyNumberFormat="1" applyFont="1"/>
    <xf numFmtId="1" fontId="5" fillId="0" borderId="0" xfId="12" applyNumberFormat="1" applyFont="1" applyAlignment="1">
      <alignment horizontal="left"/>
    </xf>
    <xf numFmtId="0" fontId="5" fillId="0" borderId="0" xfId="12" applyFont="1"/>
    <xf numFmtId="186" fontId="5" fillId="0" borderId="15" xfId="4" applyNumberFormat="1" applyFont="1" applyFill="1" applyBorder="1"/>
    <xf numFmtId="185" fontId="5" fillId="0" borderId="0" xfId="14" applyNumberFormat="1" applyFont="1" applyFill="1"/>
    <xf numFmtId="10" fontId="7" fillId="0" borderId="0" xfId="0" applyNumberFormat="1" applyFont="1"/>
    <xf numFmtId="10" fontId="7" fillId="0" borderId="16" xfId="0" applyNumberFormat="1" applyFont="1" applyBorder="1"/>
    <xf numFmtId="0" fontId="5" fillId="0" borderId="0" xfId="0" applyFont="1" applyAlignment="1">
      <alignment horizontal="justify"/>
    </xf>
    <xf numFmtId="0" fontId="3" fillId="0" borderId="16" xfId="0" applyFont="1" applyBorder="1"/>
    <xf numFmtId="1" fontId="5" fillId="0" borderId="0" xfId="0" applyNumberFormat="1" applyFont="1" applyAlignment="1">
      <alignment horizontal="justify"/>
    </xf>
    <xf numFmtId="2" fontId="3" fillId="0" borderId="0" xfId="0" applyNumberFormat="1" applyFont="1"/>
    <xf numFmtId="0" fontId="9" fillId="0" borderId="17" xfId="12" applyFont="1" applyBorder="1"/>
    <xf numFmtId="186" fontId="5" fillId="0" borderId="18" xfId="5" applyNumberFormat="1" applyFont="1" applyFill="1" applyBorder="1"/>
    <xf numFmtId="185" fontId="5" fillId="0" borderId="18" xfId="16" applyNumberFormat="1" applyFont="1" applyFill="1" applyBorder="1"/>
    <xf numFmtId="10" fontId="10" fillId="0" borderId="19" xfId="0" applyNumberFormat="1" applyFont="1" applyBorder="1"/>
    <xf numFmtId="10" fontId="3" fillId="0" borderId="20" xfId="0" applyNumberFormat="1" applyFont="1" applyBorder="1"/>
    <xf numFmtId="10" fontId="10" fillId="0" borderId="13" xfId="0" applyNumberFormat="1" applyFont="1" applyBorder="1"/>
    <xf numFmtId="10" fontId="3" fillId="0" borderId="21" xfId="0" applyNumberFormat="1" applyFont="1" applyBorder="1"/>
    <xf numFmtId="186" fontId="3" fillId="0" borderId="0" xfId="4" applyNumberFormat="1" applyFont="1" applyFill="1" applyBorder="1"/>
    <xf numFmtId="2" fontId="3" fillId="0" borderId="0" xfId="12" applyNumberFormat="1" applyAlignment="1">
      <alignment horizontal="right"/>
    </xf>
    <xf numFmtId="0" fontId="6" fillId="0" borderId="17" xfId="0" applyFont="1" applyBorder="1"/>
    <xf numFmtId="186" fontId="3" fillId="0" borderId="20" xfId="4" applyNumberFormat="1" applyFont="1" applyFill="1" applyBorder="1"/>
    <xf numFmtId="185" fontId="3" fillId="0" borderId="20" xfId="14" applyNumberFormat="1" applyFont="1" applyFill="1" applyBorder="1"/>
    <xf numFmtId="186" fontId="5" fillId="0" borderId="18" xfId="4" applyNumberFormat="1" applyFont="1" applyFill="1" applyBorder="1"/>
    <xf numFmtId="0" fontId="3" fillId="0" borderId="20" xfId="0" applyFont="1" applyBorder="1"/>
    <xf numFmtId="190" fontId="5" fillId="0" borderId="18" xfId="4" applyNumberFormat="1" applyFont="1" applyFill="1" applyBorder="1"/>
    <xf numFmtId="189" fontId="3" fillId="0" borderId="20" xfId="4" applyNumberFormat="1" applyFont="1" applyFill="1" applyBorder="1"/>
    <xf numFmtId="1" fontId="5" fillId="0" borderId="0" xfId="12" applyNumberFormat="1" applyFont="1" applyAlignment="1">
      <alignment horizontal="right"/>
    </xf>
    <xf numFmtId="0" fontId="6" fillId="0" borderId="22" xfId="0" applyFont="1" applyBorder="1"/>
    <xf numFmtId="186" fontId="3" fillId="0" borderId="23" xfId="4" applyNumberFormat="1" applyFont="1" applyFill="1" applyBorder="1"/>
    <xf numFmtId="185" fontId="3" fillId="0" borderId="23" xfId="14" applyNumberFormat="1" applyFont="1" applyFill="1" applyBorder="1"/>
    <xf numFmtId="0" fontId="3" fillId="0" borderId="23" xfId="0" applyFont="1" applyBorder="1"/>
    <xf numFmtId="186" fontId="5" fillId="0" borderId="24" xfId="4" applyNumberFormat="1" applyFont="1" applyFill="1" applyBorder="1"/>
    <xf numFmtId="182" fontId="3" fillId="0" borderId="0" xfId="12" applyNumberFormat="1" applyAlignment="1">
      <alignment horizontal="right"/>
    </xf>
    <xf numFmtId="185" fontId="3" fillId="0" borderId="0" xfId="14" applyNumberFormat="1" applyFont="1" applyFill="1" applyBorder="1"/>
    <xf numFmtId="187" fontId="3" fillId="0" borderId="11" xfId="4" applyNumberFormat="1" applyFont="1" applyFill="1" applyBorder="1"/>
    <xf numFmtId="187" fontId="3" fillId="0" borderId="13" xfId="4" applyNumberFormat="1" applyFont="1" applyFill="1" applyBorder="1"/>
    <xf numFmtId="187" fontId="3" fillId="0" borderId="14" xfId="4" applyNumberFormat="1" applyFont="1" applyFill="1" applyBorder="1"/>
    <xf numFmtId="0" fontId="3" fillId="0" borderId="25" xfId="0" applyFont="1" applyBorder="1"/>
    <xf numFmtId="186" fontId="3" fillId="0" borderId="26" xfId="4" applyNumberFormat="1" applyFont="1" applyFill="1" applyBorder="1"/>
    <xf numFmtId="0" fontId="3" fillId="0" borderId="27" xfId="0" applyFont="1" applyBorder="1"/>
    <xf numFmtId="186" fontId="3" fillId="0" borderId="28" xfId="4" applyNumberFormat="1" applyFont="1" applyFill="1" applyBorder="1"/>
    <xf numFmtId="190" fontId="3" fillId="0" borderId="28" xfId="0" applyNumberFormat="1" applyFont="1" applyBorder="1"/>
    <xf numFmtId="186" fontId="3" fillId="0" borderId="28" xfId="0" applyNumberFormat="1" applyFont="1" applyBorder="1"/>
    <xf numFmtId="0" fontId="3" fillId="0" borderId="8" xfId="0" applyFont="1" applyBorder="1"/>
    <xf numFmtId="186" fontId="3" fillId="0" borderId="1" xfId="4" applyNumberFormat="1" applyFont="1" applyFill="1" applyBorder="1"/>
    <xf numFmtId="0" fontId="3" fillId="0" borderId="29" xfId="0" applyFont="1" applyBorder="1"/>
    <xf numFmtId="186" fontId="3" fillId="0" borderId="30" xfId="4" applyNumberFormat="1" applyFont="1" applyFill="1" applyBorder="1"/>
    <xf numFmtId="0" fontId="3" fillId="0" borderId="31" xfId="0" applyFont="1" applyBorder="1"/>
    <xf numFmtId="0" fontId="3" fillId="0" borderId="11" xfId="0" applyFont="1" applyBorder="1"/>
    <xf numFmtId="186" fontId="3" fillId="0" borderId="13" xfId="4" applyNumberFormat="1" applyFont="1" applyFill="1" applyBorder="1"/>
    <xf numFmtId="186" fontId="3" fillId="0" borderId="14" xfId="0" applyNumberFormat="1" applyFont="1" applyBorder="1"/>
    <xf numFmtId="0" fontId="3" fillId="0" borderId="17" xfId="0" applyFont="1" applyBorder="1"/>
    <xf numFmtId="185" fontId="3" fillId="0" borderId="21" xfId="14" applyNumberFormat="1" applyFont="1" applyFill="1" applyBorder="1"/>
    <xf numFmtId="0" fontId="3" fillId="0" borderId="22" xfId="0" applyFont="1" applyBorder="1"/>
    <xf numFmtId="186" fontId="3" fillId="0" borderId="32" xfId="0" applyNumberFormat="1" applyFont="1" applyBorder="1"/>
    <xf numFmtId="186" fontId="3" fillId="0" borderId="33" xfId="0" applyNumberFormat="1" applyFont="1" applyBorder="1"/>
    <xf numFmtId="186" fontId="3" fillId="0" borderId="20" xfId="0" applyNumberFormat="1" applyFont="1" applyBorder="1"/>
    <xf numFmtId="0" fontId="3" fillId="0" borderId="21" xfId="0" applyFont="1" applyBorder="1"/>
    <xf numFmtId="186" fontId="6" fillId="0" borderId="20" xfId="0" applyNumberFormat="1" applyFont="1" applyBorder="1"/>
    <xf numFmtId="189" fontId="3" fillId="0" borderId="0" xfId="4" applyNumberFormat="1" applyFont="1" applyFill="1" applyBorder="1"/>
    <xf numFmtId="186" fontId="3" fillId="0" borderId="0" xfId="0" applyNumberFormat="1" applyFont="1"/>
    <xf numFmtId="186" fontId="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189" fontId="5" fillId="0" borderId="0" xfId="4" applyNumberFormat="1" applyFont="1" applyFill="1" applyBorder="1"/>
    <xf numFmtId="182" fontId="3" fillId="0" borderId="0" xfId="0" applyNumberFormat="1" applyFont="1"/>
    <xf numFmtId="0" fontId="9" fillId="0" borderId="20" xfId="12" applyFont="1" applyBorder="1"/>
    <xf numFmtId="0" fontId="3" fillId="0" borderId="0" xfId="12"/>
    <xf numFmtId="185" fontId="5" fillId="0" borderId="0" xfId="14" applyNumberFormat="1" applyFont="1" applyFill="1" applyBorder="1"/>
    <xf numFmtId="182" fontId="3" fillId="0" borderId="0" xfId="0" applyNumberFormat="1" applyFont="1" applyAlignment="1">
      <alignment horizontal="right"/>
    </xf>
    <xf numFmtId="189" fontId="5" fillId="0" borderId="20" xfId="4" applyNumberFormat="1" applyFont="1" applyFill="1" applyBorder="1"/>
    <xf numFmtId="185" fontId="5" fillId="0" borderId="21" xfId="14" applyNumberFormat="1" applyFont="1" applyFill="1" applyBorder="1"/>
    <xf numFmtId="2" fontId="9" fillId="0" borderId="17" xfId="0" applyNumberFormat="1" applyFont="1" applyBorder="1"/>
    <xf numFmtId="2" fontId="3" fillId="0" borderId="0" xfId="12" applyNumberFormat="1"/>
    <xf numFmtId="10" fontId="5" fillId="0" borderId="0" xfId="14" applyNumberFormat="1" applyFont="1" applyFill="1"/>
    <xf numFmtId="10" fontId="7" fillId="0" borderId="25" xfId="0" applyNumberFormat="1" applyFont="1" applyBorder="1"/>
    <xf numFmtId="0" fontId="7" fillId="0" borderId="0" xfId="0" applyNumberFormat="1" applyFont="1"/>
    <xf numFmtId="10" fontId="3" fillId="0" borderId="12" xfId="0" applyNumberFormat="1" applyFont="1" applyBorder="1"/>
    <xf numFmtId="10" fontId="10" fillId="0" borderId="11" xfId="0" applyNumberFormat="1" applyFont="1" applyBorder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4" fontId="37" fillId="2" borderId="52" xfId="1" applyNumberFormat="1" applyFont="1" applyBorder="1" applyAlignment="1">
      <alignment horizontal="center" vertical="center"/>
    </xf>
    <xf numFmtId="4" fontId="37" fillId="2" borderId="52" xfId="1" applyNumberFormat="1" applyFont="1" applyBorder="1" applyAlignment="1">
      <alignment horizontal="right" vertical="center"/>
    </xf>
    <xf numFmtId="4" fontId="37" fillId="2" borderId="52" xfId="1" applyNumberFormat="1" applyFont="1" applyBorder="1" applyAlignment="1">
      <alignment vertical="center"/>
    </xf>
    <xf numFmtId="4" fontId="37" fillId="2" borderId="54" xfId="1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2" fontId="13" fillId="7" borderId="28" xfId="0" applyNumberFormat="1" applyFont="1" applyFill="1" applyBorder="1" applyAlignment="1">
      <alignment horizontal="center"/>
    </xf>
    <xf numFmtId="2" fontId="13" fillId="0" borderId="28" xfId="0" applyNumberFormat="1" applyFont="1" applyFill="1" applyBorder="1" applyAlignment="1">
      <alignment horizontal="center" vertical="center"/>
    </xf>
    <xf numFmtId="176" fontId="13" fillId="0" borderId="28" xfId="4" applyFont="1" applyBorder="1" applyAlignment="1">
      <alignment horizontal="center" vertical="center"/>
    </xf>
    <xf numFmtId="0" fontId="13" fillId="0" borderId="28" xfId="4" applyNumberFormat="1" applyFont="1" applyBorder="1"/>
    <xf numFmtId="0" fontId="13" fillId="0" borderId="28" xfId="4" applyNumberFormat="1" applyFont="1" applyFill="1" applyBorder="1" applyAlignment="1">
      <alignment horizontal="right" vertical="center"/>
    </xf>
    <xf numFmtId="176" fontId="13" fillId="0" borderId="28" xfId="4" applyFont="1" applyBorder="1"/>
    <xf numFmtId="176" fontId="11" fillId="0" borderId="8" xfId="4" applyFont="1" applyBorder="1" applyAlignment="1">
      <alignment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center" vertical="center"/>
    </xf>
    <xf numFmtId="2" fontId="13" fillId="7" borderId="3" xfId="0" applyNumberFormat="1" applyFont="1" applyFill="1" applyBorder="1" applyAlignment="1">
      <alignment horizontal="center" vertical="center"/>
    </xf>
    <xf numFmtId="176" fontId="13" fillId="0" borderId="1" xfId="4" applyFont="1" applyBorder="1" applyAlignment="1">
      <alignment horizontal="center" vertical="center"/>
    </xf>
    <xf numFmtId="0" fontId="13" fillId="0" borderId="1" xfId="4" applyNumberFormat="1" applyFont="1" applyBorder="1"/>
    <xf numFmtId="0" fontId="13" fillId="7" borderId="3" xfId="4" applyNumberFormat="1" applyFont="1" applyFill="1" applyBorder="1" applyAlignment="1">
      <alignment horizontal="center" vertical="center"/>
    </xf>
    <xf numFmtId="176" fontId="13" fillId="7" borderId="3" xfId="4" applyFont="1" applyFill="1" applyBorder="1" applyAlignment="1">
      <alignment horizontal="center" vertical="center"/>
    </xf>
    <xf numFmtId="176" fontId="13" fillId="7" borderId="2" xfId="4" applyFont="1" applyFill="1" applyBorder="1" applyAlignment="1">
      <alignment vertical="center"/>
    </xf>
    <xf numFmtId="1" fontId="11" fillId="0" borderId="0" xfId="12" applyNumberFormat="1" applyFont="1" applyAlignment="1">
      <alignment horizontal="left"/>
    </xf>
    <xf numFmtId="0" fontId="11" fillId="0" borderId="0" xfId="12" applyFont="1"/>
    <xf numFmtId="0" fontId="11" fillId="0" borderId="0" xfId="12" applyFont="1" applyAlignment="1">
      <alignment horizontal="center"/>
    </xf>
    <xf numFmtId="2" fontId="11" fillId="0" borderId="0" xfId="12" applyNumberFormat="1" applyFont="1"/>
    <xf numFmtId="182" fontId="14" fillId="0" borderId="0" xfId="12" applyNumberFormat="1" applyFont="1" applyAlignment="1">
      <alignment horizontal="right"/>
    </xf>
    <xf numFmtId="0" fontId="14" fillId="0" borderId="0" xfId="0" applyFont="1" applyAlignment="1">
      <alignment horizontal="justify"/>
    </xf>
    <xf numFmtId="0" fontId="14" fillId="0" borderId="0" xfId="0" applyFont="1" applyAlignment="1">
      <alignment horizontal="left" vertical="center" wrapText="1"/>
    </xf>
    <xf numFmtId="2" fontId="14" fillId="0" borderId="0" xfId="12" applyNumberFormat="1" applyFont="1"/>
    <xf numFmtId="0" fontId="13" fillId="7" borderId="1" xfId="0" applyFont="1" applyFill="1" applyBorder="1" applyAlignment="1">
      <alignment horizontal="center" vertical="center"/>
    </xf>
    <xf numFmtId="0" fontId="13" fillId="7" borderId="1" xfId="4" applyNumberFormat="1" applyFont="1" applyFill="1" applyBorder="1" applyAlignment="1">
      <alignment horizontal="center" vertical="center"/>
    </xf>
    <xf numFmtId="0" fontId="11" fillId="0" borderId="37" xfId="12" applyFont="1" applyBorder="1"/>
    <xf numFmtId="0" fontId="11" fillId="7" borderId="38" xfId="0" applyFont="1" applyFill="1" applyBorder="1" applyAlignment="1">
      <alignment horizontal="left"/>
    </xf>
    <xf numFmtId="2" fontId="13" fillId="0" borderId="1" xfId="4" applyNumberFormat="1" applyFont="1" applyFill="1" applyBorder="1" applyAlignment="1">
      <alignment horizontal="right" vertical="center"/>
    </xf>
    <xf numFmtId="176" fontId="13" fillId="0" borderId="1" xfId="4" applyFont="1" applyBorder="1"/>
    <xf numFmtId="176" fontId="11" fillId="0" borderId="2" xfId="4" applyFont="1" applyBorder="1" applyAlignment="1">
      <alignment vertical="center"/>
    </xf>
    <xf numFmtId="2" fontId="13" fillId="0" borderId="1" xfId="4" applyNumberFormat="1" applyFont="1" applyBorder="1"/>
    <xf numFmtId="176" fontId="16" fillId="0" borderId="1" xfId="4" applyFont="1" applyBorder="1" applyAlignment="1">
      <alignment horizontal="center" vertical="center"/>
    </xf>
    <xf numFmtId="2" fontId="13" fillId="7" borderId="3" xfId="0" applyNumberFormat="1" applyFont="1" applyFill="1" applyBorder="1" applyAlignment="1">
      <alignment horizontal="center"/>
    </xf>
    <xf numFmtId="2" fontId="13" fillId="0" borderId="39" xfId="0" applyNumberFormat="1" applyFont="1" applyFill="1" applyBorder="1" applyAlignment="1">
      <alignment horizontal="center" vertical="center"/>
    </xf>
    <xf numFmtId="176" fontId="14" fillId="0" borderId="1" xfId="4" applyFont="1" applyBorder="1" applyAlignment="1">
      <alignment horizontal="center" vertical="center"/>
    </xf>
    <xf numFmtId="0" fontId="13" fillId="0" borderId="1" xfId="4" applyNumberFormat="1" applyFont="1" applyFill="1" applyBorder="1" applyAlignment="1">
      <alignment horizontal="right" vertical="center"/>
    </xf>
    <xf numFmtId="2" fontId="13" fillId="7" borderId="3" xfId="4" applyNumberFormat="1" applyFont="1" applyFill="1" applyBorder="1" applyAlignment="1">
      <alignment horizontal="center" vertical="center"/>
    </xf>
    <xf numFmtId="9" fontId="14" fillId="0" borderId="0" xfId="0" applyNumberFormat="1" applyFont="1"/>
    <xf numFmtId="2" fontId="13" fillId="7" borderId="39" xfId="0" applyNumberFormat="1" applyFont="1" applyFill="1" applyBorder="1" applyAlignment="1">
      <alignment horizontal="center" vertical="center"/>
    </xf>
    <xf numFmtId="2" fontId="13" fillId="7" borderId="35" xfId="0" applyNumberFormat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left" vertical="center"/>
    </xf>
    <xf numFmtId="0" fontId="13" fillId="7" borderId="41" xfId="0" applyFont="1" applyFill="1" applyBorder="1" applyAlignment="1">
      <alignment horizontal="center" vertical="center"/>
    </xf>
    <xf numFmtId="2" fontId="13" fillId="7" borderId="32" xfId="0" applyNumberFormat="1" applyFont="1" applyFill="1" applyBorder="1" applyAlignment="1">
      <alignment horizontal="center"/>
    </xf>
    <xf numFmtId="2" fontId="13" fillId="0" borderId="42" xfId="0" applyNumberFormat="1" applyFont="1" applyFill="1" applyBorder="1" applyAlignment="1">
      <alignment horizontal="center" vertical="center"/>
    </xf>
    <xf numFmtId="2" fontId="13" fillId="7" borderId="41" xfId="0" applyNumberFormat="1" applyFont="1" applyFill="1" applyBorder="1" applyAlignment="1">
      <alignment horizontal="center" vertical="center"/>
    </xf>
    <xf numFmtId="176" fontId="13" fillId="0" borderId="32" xfId="4" applyFont="1" applyBorder="1" applyAlignment="1">
      <alignment horizontal="center" vertical="center"/>
    </xf>
    <xf numFmtId="0" fontId="13" fillId="0" borderId="32" xfId="4" applyNumberFormat="1" applyFont="1" applyBorder="1"/>
    <xf numFmtId="0" fontId="13" fillId="7" borderId="41" xfId="4" applyNumberFormat="1" applyFont="1" applyFill="1" applyBorder="1" applyAlignment="1">
      <alignment horizontal="center" vertical="center"/>
    </xf>
    <xf numFmtId="176" fontId="13" fillId="7" borderId="41" xfId="4" applyFont="1" applyFill="1" applyBorder="1" applyAlignment="1">
      <alignment horizontal="center" vertical="center"/>
    </xf>
    <xf numFmtId="176" fontId="13" fillId="7" borderId="10" xfId="4" applyFont="1" applyFill="1" applyBorder="1" applyAlignment="1">
      <alignment vertical="center"/>
    </xf>
    <xf numFmtId="44" fontId="38" fillId="2" borderId="55" xfId="1" applyNumberFormat="1" applyFont="1" applyBorder="1" applyAlignment="1">
      <alignment vertical="center"/>
    </xf>
    <xf numFmtId="0" fontId="18" fillId="0" borderId="0" xfId="0" applyFont="1"/>
    <xf numFmtId="176" fontId="13" fillId="0" borderId="1" xfId="4" applyFont="1" applyFill="1" applyBorder="1" applyAlignment="1">
      <alignment horizontal="right" vertical="center"/>
    </xf>
    <xf numFmtId="0" fontId="3" fillId="0" borderId="0" xfId="11" applyFont="1" applyAlignment="1">
      <alignment horizontal="center"/>
    </xf>
    <xf numFmtId="0" fontId="6" fillId="0" borderId="18" xfId="11" applyFont="1" applyBorder="1" applyAlignment="1">
      <alignment horizontal="center"/>
    </xf>
    <xf numFmtId="0" fontId="6" fillId="0" borderId="43" xfId="11" applyFont="1" applyBorder="1" applyAlignment="1">
      <alignment horizontal="center"/>
    </xf>
    <xf numFmtId="0" fontId="6" fillId="0" borderId="56" xfId="11" applyFont="1" applyBorder="1" applyAlignment="1">
      <alignment horizontal="center"/>
    </xf>
    <xf numFmtId="202" fontId="21" fillId="0" borderId="44" xfId="7" applyFont="1" applyFill="1" applyBorder="1" applyAlignment="1">
      <alignment horizontal="right"/>
    </xf>
    <xf numFmtId="0" fontId="6" fillId="0" borderId="37" xfId="11" applyFont="1" applyBorder="1" applyAlignment="1">
      <alignment horizontal="center"/>
    </xf>
    <xf numFmtId="0" fontId="6" fillId="0" borderId="44" xfId="11" applyFont="1" applyBorder="1" applyAlignment="1">
      <alignment horizontal="center"/>
    </xf>
    <xf numFmtId="0" fontId="22" fillId="0" borderId="37" xfId="11" applyFont="1" applyBorder="1" applyAlignment="1">
      <alignment horizontal="left"/>
    </xf>
    <xf numFmtId="0" fontId="22" fillId="0" borderId="0" xfId="11" applyFont="1" applyAlignment="1">
      <alignment horizontal="center"/>
    </xf>
    <xf numFmtId="2" fontId="22" fillId="0" borderId="0" xfId="3" applyNumberFormat="1" applyFont="1" applyFill="1" applyBorder="1" applyAlignment="1">
      <alignment horizontal="right"/>
    </xf>
    <xf numFmtId="202" fontId="22" fillId="0" borderId="0" xfId="7" applyFont="1" applyFill="1" applyBorder="1" applyAlignment="1">
      <alignment horizontal="right"/>
    </xf>
    <xf numFmtId="202" fontId="22" fillId="0" borderId="15" xfId="7" applyFont="1" applyFill="1" applyBorder="1" applyAlignment="1">
      <alignment horizontal="right"/>
    </xf>
    <xf numFmtId="0" fontId="6" fillId="0" borderId="15" xfId="11" applyFont="1" applyBorder="1" applyAlignment="1">
      <alignment horizontal="center"/>
    </xf>
    <xf numFmtId="202" fontId="22" fillId="0" borderId="24" xfId="7" applyFont="1" applyFill="1" applyBorder="1" applyAlignment="1">
      <alignment horizontal="right"/>
    </xf>
    <xf numFmtId="0" fontId="6" fillId="0" borderId="20" xfId="11" applyFont="1" applyBorder="1"/>
    <xf numFmtId="0" fontId="21" fillId="0" borderId="20" xfId="11" applyFont="1" applyBorder="1"/>
    <xf numFmtId="0" fontId="22" fillId="0" borderId="20" xfId="11" applyFont="1" applyBorder="1" applyAlignment="1">
      <alignment horizontal="center"/>
    </xf>
    <xf numFmtId="2" fontId="22" fillId="0" borderId="20" xfId="3" applyNumberFormat="1" applyFont="1" applyFill="1" applyBorder="1" applyAlignment="1">
      <alignment horizontal="center"/>
    </xf>
    <xf numFmtId="202" fontId="22" fillId="0" borderId="21" xfId="7" applyFont="1" applyFill="1" applyBorder="1" applyAlignment="1">
      <alignment horizontal="right"/>
    </xf>
    <xf numFmtId="202" fontId="23" fillId="0" borderId="33" xfId="7" applyFont="1" applyFill="1" applyBorder="1" applyAlignment="1">
      <alignment horizontal="right"/>
    </xf>
    <xf numFmtId="0" fontId="6" fillId="0" borderId="24" xfId="11" applyFont="1" applyBorder="1" applyAlignment="1">
      <alignment horizontal="center"/>
    </xf>
    <xf numFmtId="0" fontId="21" fillId="0" borderId="15" xfId="11" applyFont="1" applyBorder="1" applyAlignment="1">
      <alignment horizontal="center"/>
    </xf>
    <xf numFmtId="2" fontId="21" fillId="0" borderId="37" xfId="3" applyNumberFormat="1" applyFont="1" applyFill="1" applyBorder="1" applyAlignment="1">
      <alignment horizontal="center"/>
    </xf>
    <xf numFmtId="202" fontId="21" fillId="0" borderId="15" xfId="7" applyFont="1" applyFill="1" applyBorder="1" applyAlignment="1">
      <alignment horizontal="right"/>
    </xf>
    <xf numFmtId="202" fontId="21" fillId="0" borderId="43" xfId="7" applyFont="1" applyFill="1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202" fontId="22" fillId="0" borderId="43" xfId="7" applyFont="1" applyFill="1" applyBorder="1" applyAlignment="1">
      <alignment horizontal="right"/>
    </xf>
    <xf numFmtId="202" fontId="3" fillId="0" borderId="16" xfId="7" applyFont="1" applyFill="1" applyBorder="1" applyAlignment="1">
      <alignment vertical="center"/>
    </xf>
    <xf numFmtId="202" fontId="22" fillId="0" borderId="16" xfId="7" applyFont="1" applyFill="1" applyBorder="1" applyAlignment="1">
      <alignment horizontal="right"/>
    </xf>
    <xf numFmtId="0" fontId="3" fillId="0" borderId="0" xfId="11" applyFont="1" applyAlignment="1">
      <alignment horizontal="left" vertical="center" wrapText="1"/>
    </xf>
    <xf numFmtId="0" fontId="3" fillId="0" borderId="0" xfId="11" applyFont="1" applyAlignment="1">
      <alignment horizontal="center" vertical="center"/>
    </xf>
    <xf numFmtId="2" fontId="3" fillId="0" borderId="0" xfId="3" applyNumberFormat="1" applyFont="1" applyFill="1" applyBorder="1" applyAlignment="1">
      <alignment vertical="center"/>
    </xf>
    <xf numFmtId="0" fontId="0" fillId="0" borderId="15" xfId="0" applyBorder="1"/>
    <xf numFmtId="0" fontId="3" fillId="0" borderId="37" xfId="0" applyFont="1" applyBorder="1" applyAlignment="1">
      <alignment horizontal="justify"/>
    </xf>
    <xf numFmtId="2" fontId="3" fillId="0" borderId="0" xfId="3" applyNumberFormat="1" applyFont="1" applyFill="1" applyBorder="1" applyAlignment="1">
      <alignment horizontal="right"/>
    </xf>
    <xf numFmtId="202" fontId="3" fillId="0" borderId="16" xfId="7" applyFont="1" applyFill="1" applyBorder="1" applyAlignment="1">
      <alignment horizontal="right"/>
    </xf>
    <xf numFmtId="0" fontId="6" fillId="0" borderId="17" xfId="11" applyFont="1" applyBorder="1" applyAlignment="1">
      <alignment horizontal="center"/>
    </xf>
    <xf numFmtId="202" fontId="23" fillId="0" borderId="18" xfId="7" applyFont="1" applyFill="1" applyBorder="1" applyAlignment="1">
      <alignment horizontal="right"/>
    </xf>
    <xf numFmtId="0" fontId="21" fillId="0" borderId="37" xfId="11" applyFont="1" applyBorder="1" applyAlignment="1">
      <alignment horizontal="center"/>
    </xf>
    <xf numFmtId="0" fontId="6" fillId="0" borderId="45" xfId="11" applyFont="1" applyBorder="1" applyAlignment="1">
      <alignment horizontal="center"/>
    </xf>
    <xf numFmtId="0" fontId="22" fillId="0" borderId="45" xfId="11" applyFont="1" applyBorder="1" applyAlignment="1">
      <alignment horizontal="left"/>
    </xf>
    <xf numFmtId="0" fontId="22" fillId="0" borderId="46" xfId="11" applyFont="1" applyBorder="1" applyAlignment="1">
      <alignment horizontal="center"/>
    </xf>
    <xf numFmtId="202" fontId="3" fillId="0" borderId="46" xfId="7" applyFont="1" applyFill="1" applyBorder="1" applyAlignment="1">
      <alignment horizontal="right"/>
    </xf>
    <xf numFmtId="202" fontId="22" fillId="0" borderId="44" xfId="7" applyFont="1" applyFill="1" applyBorder="1" applyAlignment="1">
      <alignment horizontal="right"/>
    </xf>
    <xf numFmtId="202" fontId="3" fillId="0" borderId="0" xfId="7" applyFont="1" applyFill="1" applyBorder="1" applyAlignment="1">
      <alignment horizontal="right"/>
    </xf>
    <xf numFmtId="0" fontId="6" fillId="0" borderId="0" xfId="11" applyFont="1" applyAlignment="1">
      <alignment horizontal="center"/>
    </xf>
    <xf numFmtId="0" fontId="6" fillId="0" borderId="0" xfId="11" applyFont="1"/>
    <xf numFmtId="0" fontId="22" fillId="0" borderId="0" xfId="11" applyFont="1"/>
    <xf numFmtId="2" fontId="22" fillId="0" borderId="0" xfId="3" applyNumberFormat="1" applyFont="1" applyFill="1" applyBorder="1" applyAlignment="1">
      <alignment horizontal="center"/>
    </xf>
    <xf numFmtId="202" fontId="21" fillId="0" borderId="0" xfId="7" applyFont="1" applyFill="1" applyBorder="1" applyAlignment="1">
      <alignment horizontal="right"/>
    </xf>
    <xf numFmtId="0" fontId="22" fillId="0" borderId="20" xfId="11" applyFont="1" applyBorder="1"/>
    <xf numFmtId="0" fontId="21" fillId="0" borderId="20" xfId="11" applyFont="1" applyBorder="1" applyAlignment="1">
      <alignment horizontal="center"/>
    </xf>
    <xf numFmtId="202" fontId="22" fillId="0" borderId="20" xfId="7" applyFont="1" applyFill="1" applyBorder="1" applyAlignment="1">
      <alignment horizontal="right"/>
    </xf>
    <xf numFmtId="202" fontId="10" fillId="0" borderId="18" xfId="7" applyFont="1" applyFill="1" applyBorder="1" applyAlignment="1">
      <alignment horizontal="right"/>
    </xf>
    <xf numFmtId="0" fontId="0" fillId="0" borderId="0" xfId="0" applyAlignment="1">
      <alignment horizontal="center"/>
    </xf>
    <xf numFmtId="176" fontId="5" fillId="0" borderId="1" xfId="5" applyFont="1" applyFill="1" applyBorder="1"/>
    <xf numFmtId="9" fontId="6" fillId="0" borderId="1" xfId="0" applyNumberFormat="1" applyFont="1" applyBorder="1" applyAlignment="1">
      <alignment horizontal="center" vertical="center" wrapText="1"/>
    </xf>
    <xf numFmtId="176" fontId="7" fillId="0" borderId="1" xfId="5" applyFont="1" applyFill="1" applyBorder="1"/>
    <xf numFmtId="9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84" fontId="6" fillId="0" borderId="1" xfId="0" applyNumberFormat="1" applyFont="1" applyBorder="1" applyAlignment="1">
      <alignment horizontal="center"/>
    </xf>
    <xf numFmtId="183" fontId="25" fillId="0" borderId="1" xfId="5" applyNumberFormat="1" applyFont="1" applyFill="1" applyBorder="1"/>
    <xf numFmtId="176" fontId="0" fillId="0" borderId="0" xfId="4" applyFont="1"/>
    <xf numFmtId="0" fontId="3" fillId="0" borderId="45" xfId="11" applyFont="1" applyBorder="1"/>
    <xf numFmtId="0" fontId="3" fillId="0" borderId="46" xfId="11" applyFont="1" applyBorder="1" applyAlignment="1">
      <alignment horizontal="center"/>
    </xf>
    <xf numFmtId="2" fontId="3" fillId="0" borderId="46" xfId="3" applyNumberFormat="1" applyFont="1" applyFill="1" applyBorder="1" applyAlignment="1">
      <alignment horizontal="right"/>
    </xf>
    <xf numFmtId="176" fontId="3" fillId="0" borderId="43" xfId="5" applyFont="1" applyFill="1" applyBorder="1" applyAlignment="1"/>
    <xf numFmtId="0" fontId="3" fillId="0" borderId="37" xfId="11" applyFont="1" applyBorder="1"/>
    <xf numFmtId="176" fontId="3" fillId="0" borderId="16" xfId="5" applyFont="1" applyFill="1" applyBorder="1" applyAlignment="1"/>
    <xf numFmtId="176" fontId="28" fillId="0" borderId="16" xfId="5" applyFont="1" applyFill="1" applyBorder="1" applyAlignment="1"/>
    <xf numFmtId="0" fontId="3" fillId="0" borderId="37" xfId="11" applyFont="1" applyBorder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11" applyFont="1" applyAlignment="1">
      <alignment horizontal="left" vertical="center"/>
    </xf>
    <xf numFmtId="0" fontId="0" fillId="0" borderId="0" xfId="0" applyAlignment="1"/>
    <xf numFmtId="0" fontId="32" fillId="2" borderId="50" xfId="1" applyAlignment="1"/>
    <xf numFmtId="0" fontId="32" fillId="2" borderId="50" xfId="1"/>
    <xf numFmtId="0" fontId="6" fillId="0" borderId="22" xfId="11" applyFont="1" applyBorder="1" applyAlignment="1">
      <alignment vertical="center" wrapText="1"/>
    </xf>
    <xf numFmtId="176" fontId="10" fillId="0" borderId="24" xfId="5" applyFont="1" applyFill="1" applyBorder="1" applyAlignment="1">
      <alignment vertical="center"/>
    </xf>
    <xf numFmtId="176" fontId="3" fillId="0" borderId="16" xfId="5" applyFont="1" applyFill="1" applyBorder="1" applyAlignment="1">
      <alignment vertical="center"/>
    </xf>
    <xf numFmtId="0" fontId="21" fillId="0" borderId="18" xfId="11" applyFont="1" applyBorder="1" applyAlignment="1">
      <alignment horizontal="center"/>
    </xf>
    <xf numFmtId="2" fontId="21" fillId="0" borderId="17" xfId="3" applyNumberFormat="1" applyFont="1" applyFill="1" applyBorder="1" applyAlignment="1">
      <alignment horizontal="center"/>
    </xf>
    <xf numFmtId="202" fontId="21" fillId="0" borderId="18" xfId="7" applyFont="1" applyFill="1" applyBorder="1" applyAlignment="1">
      <alignment horizontal="right"/>
    </xf>
    <xf numFmtId="9" fontId="18" fillId="0" borderId="0" xfId="14" applyFont="1"/>
    <xf numFmtId="0" fontId="3" fillId="0" borderId="0" xfId="0" applyFont="1" applyFill="1" applyBorder="1"/>
    <xf numFmtId="0" fontId="22" fillId="0" borderId="0" xfId="11" applyFont="1" applyBorder="1" applyAlignment="1">
      <alignment horizontal="left"/>
    </xf>
    <xf numFmtId="0" fontId="3" fillId="0" borderId="0" xfId="14" applyNumberFormat="1" applyFont="1"/>
    <xf numFmtId="2" fontId="22" fillId="0" borderId="46" xfId="3" applyNumberFormat="1" applyFont="1" applyFill="1" applyBorder="1" applyAlignment="1">
      <alignment horizontal="center"/>
    </xf>
    <xf numFmtId="202" fontId="23" fillId="0" borderId="16" xfId="7" applyFont="1" applyFill="1" applyBorder="1" applyAlignment="1">
      <alignment horizontal="right"/>
    </xf>
    <xf numFmtId="202" fontId="21" fillId="0" borderId="21" xfId="7" applyFont="1" applyFill="1" applyBorder="1" applyAlignment="1">
      <alignment horizontal="right"/>
    </xf>
    <xf numFmtId="0" fontId="3" fillId="0" borderId="37" xfId="11" applyFont="1" applyBorder="1" applyAlignment="1"/>
    <xf numFmtId="2" fontId="21" fillId="0" borderId="18" xfId="3" applyNumberFormat="1" applyFont="1" applyFill="1" applyBorder="1" applyAlignment="1">
      <alignment horizontal="center"/>
    </xf>
    <xf numFmtId="44" fontId="18" fillId="0" borderId="0" xfId="0" applyNumberFormat="1" applyFont="1"/>
    <xf numFmtId="10" fontId="18" fillId="0" borderId="0" xfId="14" applyNumberFormat="1" applyFont="1"/>
    <xf numFmtId="176" fontId="7" fillId="0" borderId="1" xfId="4" applyFont="1" applyFill="1" applyBorder="1"/>
    <xf numFmtId="176" fontId="29" fillId="0" borderId="1" xfId="4" applyFont="1" applyFill="1" applyBorder="1"/>
    <xf numFmtId="0" fontId="6" fillId="0" borderId="37" xfId="11" applyFont="1" applyBorder="1" applyAlignment="1">
      <alignment vertical="center" wrapText="1"/>
    </xf>
    <xf numFmtId="176" fontId="10" fillId="0" borderId="15" xfId="5" applyFont="1" applyFill="1" applyBorder="1" applyAlignment="1">
      <alignment vertical="center"/>
    </xf>
    <xf numFmtId="176" fontId="12" fillId="7" borderId="3" xfId="4" applyFont="1" applyFill="1" applyBorder="1" applyAlignment="1">
      <alignment horizontal="center" vertical="center"/>
    </xf>
    <xf numFmtId="176" fontId="15" fillId="7" borderId="3" xfId="4" applyFont="1" applyFill="1" applyBorder="1" applyAlignment="1">
      <alignment horizontal="center" vertical="center"/>
    </xf>
    <xf numFmtId="206" fontId="18" fillId="0" borderId="0" xfId="0" applyNumberFormat="1" applyFont="1"/>
    <xf numFmtId="44" fontId="0" fillId="0" borderId="0" xfId="0" applyNumberFormat="1"/>
    <xf numFmtId="2" fontId="11" fillId="0" borderId="1" xfId="4" applyNumberFormat="1" applyFont="1" applyBorder="1"/>
    <xf numFmtId="0" fontId="13" fillId="0" borderId="30" xfId="4" applyNumberFormat="1" applyFont="1" applyBorder="1"/>
    <xf numFmtId="0" fontId="13" fillId="0" borderId="47" xfId="4" applyNumberFormat="1" applyFont="1" applyFill="1" applyBorder="1" applyAlignment="1">
      <alignment horizontal="right" vertical="center"/>
    </xf>
    <xf numFmtId="176" fontId="13" fillId="0" borderId="47" xfId="4" applyFont="1" applyBorder="1"/>
    <xf numFmtId="176" fontId="11" fillId="0" borderId="31" xfId="4" applyFont="1" applyBorder="1" applyAlignment="1">
      <alignment vertical="center"/>
    </xf>
    <xf numFmtId="2" fontId="11" fillId="7" borderId="3" xfId="4" applyNumberFormat="1" applyFont="1" applyFill="1" applyBorder="1" applyAlignment="1">
      <alignment horizontal="center" vertical="center"/>
    </xf>
    <xf numFmtId="0" fontId="11" fillId="7" borderId="3" xfId="4" applyNumberFormat="1" applyFont="1" applyFill="1" applyBorder="1" applyAlignment="1">
      <alignment horizontal="center" vertical="center"/>
    </xf>
    <xf numFmtId="0" fontId="13" fillId="0" borderId="47" xfId="4" applyNumberFormat="1" applyFont="1" applyFill="1" applyBorder="1" applyAlignment="1">
      <alignment horizontal="center" vertical="center"/>
    </xf>
    <xf numFmtId="176" fontId="13" fillId="0" borderId="47" xfId="4" applyFont="1" applyFill="1" applyBorder="1" applyAlignment="1">
      <alignment horizontal="right" vertical="center"/>
    </xf>
    <xf numFmtId="0" fontId="39" fillId="2" borderId="50" xfId="1" applyFont="1" applyAlignment="1">
      <alignment horizontal="center" vertical="center"/>
    </xf>
    <xf numFmtId="0" fontId="37" fillId="2" borderId="50" xfId="1" applyFont="1" applyBorder="1" applyAlignment="1">
      <alignment horizontal="center" vertical="center"/>
    </xf>
    <xf numFmtId="0" fontId="37" fillId="2" borderId="52" xfId="1" applyFont="1" applyBorder="1" applyAlignment="1">
      <alignment horizontal="center" vertical="center"/>
    </xf>
    <xf numFmtId="0" fontId="39" fillId="2" borderId="57" xfId="1" applyFont="1" applyBorder="1" applyAlignment="1">
      <alignment horizontal="center" vertical="center"/>
    </xf>
    <xf numFmtId="0" fontId="37" fillId="2" borderId="50" xfId="1" quotePrefix="1" applyFont="1" applyBorder="1" applyAlignment="1">
      <alignment horizontal="center" vertical="center"/>
    </xf>
    <xf numFmtId="0" fontId="37" fillId="2" borderId="52" xfId="1" quotePrefix="1" applyFont="1" applyBorder="1" applyAlignment="1">
      <alignment horizontal="center" vertical="center"/>
    </xf>
    <xf numFmtId="0" fontId="37" fillId="2" borderId="50" xfId="1" quotePrefix="1" applyFont="1" applyBorder="1" applyAlignment="1">
      <alignment horizontal="center" vertical="center" wrapText="1"/>
    </xf>
    <xf numFmtId="0" fontId="37" fillId="2" borderId="52" xfId="1" quotePrefix="1" applyFont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left" vertical="center"/>
    </xf>
    <xf numFmtId="0" fontId="11" fillId="7" borderId="46" xfId="0" applyFont="1" applyFill="1" applyBorder="1" applyAlignment="1">
      <alignment horizontal="left" vertical="center"/>
    </xf>
    <xf numFmtId="0" fontId="11" fillId="7" borderId="43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22" xfId="0" applyFont="1" applyFill="1" applyBorder="1" applyAlignment="1">
      <alignment horizontal="left" vertical="center"/>
    </xf>
    <xf numFmtId="0" fontId="15" fillId="7" borderId="23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left" vertical="center"/>
    </xf>
    <xf numFmtId="4" fontId="37" fillId="2" borderId="50" xfId="1" applyNumberFormat="1" applyFont="1" applyBorder="1" applyAlignment="1">
      <alignment horizontal="center" vertical="center"/>
    </xf>
    <xf numFmtId="4" fontId="37" fillId="2" borderId="64" xfId="1" applyNumberFormat="1" applyFont="1" applyBorder="1" applyAlignment="1">
      <alignment horizontal="center" vertical="center"/>
    </xf>
    <xf numFmtId="0" fontId="39" fillId="2" borderId="54" xfId="1" applyFont="1" applyBorder="1" applyAlignment="1">
      <alignment horizontal="center" vertical="center"/>
    </xf>
    <xf numFmtId="0" fontId="39" fillId="2" borderId="60" xfId="1" applyFont="1" applyBorder="1" applyAlignment="1">
      <alignment horizontal="center" vertical="center"/>
    </xf>
    <xf numFmtId="0" fontId="40" fillId="2" borderId="57" xfId="1" applyFont="1" applyBorder="1" applyAlignment="1">
      <alignment horizontal="center" vertical="center"/>
    </xf>
    <xf numFmtId="0" fontId="40" fillId="2" borderId="61" xfId="1" applyFont="1" applyBorder="1" applyAlignment="1">
      <alignment horizontal="center" vertical="center"/>
    </xf>
    <xf numFmtId="0" fontId="40" fillId="2" borderId="62" xfId="1" applyFont="1" applyBorder="1" applyAlignment="1">
      <alignment horizontal="center" vertical="center"/>
    </xf>
    <xf numFmtId="4" fontId="37" fillId="2" borderId="57" xfId="1" applyNumberFormat="1" applyFont="1" applyBorder="1" applyAlignment="1">
      <alignment horizontal="center" vertical="center"/>
    </xf>
    <xf numFmtId="4" fontId="37" fillId="2" borderId="58" xfId="1" applyNumberFormat="1" applyFont="1" applyBorder="1" applyAlignment="1">
      <alignment horizontal="center" vertical="center"/>
    </xf>
    <xf numFmtId="4" fontId="37" fillId="2" borderId="52" xfId="1" applyNumberFormat="1" applyFont="1" applyBorder="1" applyAlignment="1">
      <alignment horizontal="center" vertical="center"/>
    </xf>
    <xf numFmtId="4" fontId="37" fillId="2" borderId="59" xfId="1" applyNumberFormat="1" applyFont="1" applyBorder="1" applyAlignment="1">
      <alignment horizontal="center" vertical="center"/>
    </xf>
    <xf numFmtId="0" fontId="11" fillId="7" borderId="48" xfId="0" applyFont="1" applyFill="1" applyBorder="1" applyAlignment="1">
      <alignment horizontal="left" vertical="center"/>
    </xf>
    <xf numFmtId="0" fontId="11" fillId="7" borderId="49" xfId="0" applyFont="1" applyFill="1" applyBorder="1" applyAlignment="1">
      <alignment horizontal="left"/>
    </xf>
    <xf numFmtId="0" fontId="37" fillId="2" borderId="63" xfId="1" applyFont="1" applyBorder="1" applyAlignment="1">
      <alignment horizontal="center" vertical="center"/>
    </xf>
    <xf numFmtId="0" fontId="3" fillId="0" borderId="66" xfId="9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  <xf numFmtId="0" fontId="0" fillId="0" borderId="68" xfId="0" applyBorder="1" applyAlignment="1">
      <alignment horizontal="left" wrapText="1"/>
    </xf>
    <xf numFmtId="0" fontId="6" fillId="0" borderId="44" xfId="1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0" borderId="23" xfId="11" applyFont="1" applyBorder="1" applyAlignment="1">
      <alignment horizontal="center" vertical="center" wrapText="1"/>
    </xf>
    <xf numFmtId="0" fontId="6" fillId="0" borderId="65" xfId="11" applyFont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/>
    </xf>
    <xf numFmtId="0" fontId="17" fillId="7" borderId="46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9" fillId="7" borderId="37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 vertical="center" wrapText="1"/>
    </xf>
    <xf numFmtId="0" fontId="6" fillId="0" borderId="17" xfId="11" applyFont="1" applyBorder="1" applyAlignment="1">
      <alignment horizontal="center"/>
    </xf>
    <xf numFmtId="0" fontId="6" fillId="0" borderId="20" xfId="11" applyFont="1" applyBorder="1" applyAlignment="1">
      <alignment horizontal="center"/>
    </xf>
    <xf numFmtId="0" fontId="6" fillId="0" borderId="21" xfId="11" applyFont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 wrapText="1"/>
    </xf>
    <xf numFmtId="0" fontId="3" fillId="0" borderId="66" xfId="9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wrapText="1"/>
    </xf>
    <xf numFmtId="0" fontId="6" fillId="0" borderId="44" xfId="11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 textRotation="90" wrapText="1"/>
    </xf>
    <xf numFmtId="0" fontId="3" fillId="0" borderId="67" xfId="9" applyBorder="1" applyAlignment="1">
      <alignment horizontal="center" vertical="center" wrapText="1"/>
    </xf>
    <xf numFmtId="0" fontId="3" fillId="0" borderId="68" xfId="9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15" xfId="11" applyFont="1" applyBorder="1" applyAlignment="1">
      <alignment horizontal="center" vertical="center" textRotation="90" wrapText="1"/>
    </xf>
    <xf numFmtId="0" fontId="6" fillId="0" borderId="24" xfId="11" applyFont="1" applyBorder="1" applyAlignment="1">
      <alignment horizontal="center" vertical="center" textRotation="90" wrapText="1"/>
    </xf>
    <xf numFmtId="0" fontId="32" fillId="2" borderId="50" xfId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4" fillId="2" borderId="50" xfId="1" applyFont="1" applyAlignment="1">
      <alignment horizontal="center" vertical="center"/>
    </xf>
    <xf numFmtId="0" fontId="41" fillId="2" borderId="63" xfId="1" applyFont="1" applyBorder="1" applyAlignment="1">
      <alignment horizontal="center" vertical="center"/>
    </xf>
    <xf numFmtId="0" fontId="41" fillId="2" borderId="69" xfId="1" applyFont="1" applyBorder="1" applyAlignment="1">
      <alignment horizontal="center" vertical="center"/>
    </xf>
    <xf numFmtId="0" fontId="41" fillId="2" borderId="50" xfId="1" quotePrefix="1" applyFont="1" applyBorder="1" applyAlignment="1">
      <alignment horizontal="center" vertical="center"/>
    </xf>
    <xf numFmtId="0" fontId="41" fillId="2" borderId="52" xfId="1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3" fillId="2" borderId="50" xfId="1" applyFont="1" applyBorder="1" applyAlignment="1">
      <alignment horizontal="center" vertical="center"/>
    </xf>
    <xf numFmtId="0" fontId="33" fillId="2" borderId="52" xfId="1" applyFont="1" applyBorder="1" applyAlignment="1">
      <alignment horizontal="center" vertical="center"/>
    </xf>
    <xf numFmtId="4" fontId="35" fillId="2" borderId="52" xfId="1" applyNumberFormat="1" applyFont="1" applyBorder="1" applyAlignment="1">
      <alignment horizontal="center" vertical="center"/>
    </xf>
    <xf numFmtId="4" fontId="35" fillId="2" borderId="70" xfId="1" applyNumberFormat="1" applyFont="1" applyBorder="1" applyAlignment="1">
      <alignment horizontal="center" vertical="center"/>
    </xf>
    <xf numFmtId="4" fontId="41" fillId="2" borderId="50" xfId="1" applyNumberFormat="1" applyFont="1" applyBorder="1" applyAlignment="1">
      <alignment horizontal="center" vertical="center"/>
    </xf>
    <xf numFmtId="4" fontId="41" fillId="2" borderId="64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7" borderId="45" xfId="0" applyFont="1" applyFill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10" fontId="8" fillId="0" borderId="0" xfId="0" applyNumberFormat="1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0" fontId="9" fillId="0" borderId="45" xfId="0" applyNumberFormat="1" applyFont="1" applyBorder="1" applyAlignment="1">
      <alignment horizontal="center"/>
    </xf>
    <xf numFmtId="10" fontId="9" fillId="0" borderId="43" xfId="0" applyNumberFormat="1" applyFont="1" applyBorder="1" applyAlignment="1">
      <alignment horizontal="center"/>
    </xf>
    <xf numFmtId="10" fontId="9" fillId="0" borderId="46" xfId="0" applyNumberFormat="1" applyFont="1" applyBorder="1" applyAlignment="1">
      <alignment horizontal="center"/>
    </xf>
  </cellXfs>
  <cellStyles count="17">
    <cellStyle name="Celda de comprobación" xfId="1" builtinId="23"/>
    <cellStyle name="Énfasis2" xfId="2" builtinId="33"/>
    <cellStyle name="Millares_40 VIVIENDAS D05 materiales lazarte" xfId="3" xr:uid="{91A04EF5-7F41-40DF-8631-0D3872FA4D56}"/>
    <cellStyle name="Moneda" xfId="4" builtinId="4"/>
    <cellStyle name="Moneda 2" xfId="5" xr:uid="{640FBB49-5448-40B2-AB1E-9405B6FE6B4F}"/>
    <cellStyle name="Moneda 3" xfId="6" xr:uid="{45F94BA6-0845-440E-8A51-F7D6A01B3165}"/>
    <cellStyle name="Moneda_40 VIVIENDAS D05 materiales lazarte" xfId="7" xr:uid="{E600400F-614A-4AEC-9902-78F901288800}"/>
    <cellStyle name="Normal" xfId="0" builtinId="0"/>
    <cellStyle name="Normal 2" xfId="8" xr:uid="{DBC626AF-2EE2-42AE-825D-A15DD65158F0}"/>
    <cellStyle name="Normal 2 2" xfId="9" xr:uid="{7DE99C37-832B-4C72-A74F-DB5E6EF3BF9F}"/>
    <cellStyle name="Normal 3" xfId="10" xr:uid="{449849D8-CC42-45BA-A879-C6CC5967D307}"/>
    <cellStyle name="Normal_40 VIVIENDAS D05 materiales lazarte" xfId="11" xr:uid="{C88BCCBA-7253-4C42-887E-FCDEE9C6C338}"/>
    <cellStyle name="Normal_BOLP50" xfId="12" xr:uid="{E32C3FFA-2DCB-410D-8D69-9A1680FD770A}"/>
    <cellStyle name="Notas 2" xfId="13" xr:uid="{F00EDA08-3CC0-43CB-B96F-3182419326AD}"/>
    <cellStyle name="Porcentaje" xfId="14" builtinId="5"/>
    <cellStyle name="Porcentaje 2" xfId="15" xr:uid="{CCE62B19-9EEF-49F1-8BB2-D422FF0D7174}"/>
    <cellStyle name="Porcentual 2" xfId="16" xr:uid="{C743A165-E7A9-4A71-BA87-572C82B9F1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211752423473927E-2"/>
          <c:y val="0.20341629150285337"/>
          <c:w val="0.89974200771878898"/>
          <c:h val="0.73847663336018232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val>
            <c:numRef>
              <c:f>'[1]plan de trabajo'!$C$40:$H$40</c:f>
              <c:numCache>
                <c:formatCode>General</c:formatCode>
                <c:ptCount val="6"/>
                <c:pt idx="0">
                  <c:v>73495.422251625772</c:v>
                </c:pt>
                <c:pt idx="1">
                  <c:v>156909.58879405065</c:v>
                </c:pt>
                <c:pt idx="2">
                  <c:v>133346.84154056237</c:v>
                </c:pt>
                <c:pt idx="3">
                  <c:v>285993.13178921264</c:v>
                </c:pt>
                <c:pt idx="4">
                  <c:v>100332.61061373708</c:v>
                </c:pt>
                <c:pt idx="5">
                  <c:v>46234.287708824042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9-4302-BF5E-9458D9E3E193}"/>
            </c:ext>
          </c:extLst>
        </c:ser>
        <c:ser>
          <c:idx val="1"/>
          <c:order val="1"/>
          <c:marker>
            <c:symbol val="square"/>
            <c:size val="5"/>
          </c:marker>
          <c:val>
            <c:numRef>
              <c:f>'[1]plan de trabajo'!$C$41:$H$41</c:f>
              <c:numCache>
                <c:formatCode>General</c:formatCode>
                <c:ptCount val="6"/>
                <c:pt idx="0">
                  <c:v>9.2294770238280671E-2</c:v>
                </c:pt>
                <c:pt idx="1">
                  <c:v>0.19704539415187389</c:v>
                </c:pt>
                <c:pt idx="2">
                  <c:v>0.16745554654887881</c:v>
                </c:pt>
                <c:pt idx="3">
                  <c:v>0.35914713569290108</c:v>
                </c:pt>
                <c:pt idx="4">
                  <c:v>0.12599662618846852</c:v>
                </c:pt>
                <c:pt idx="5">
                  <c:v>5.8060527179597032E-2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9-4302-BF5E-9458D9E3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70432"/>
        <c:axId val="1"/>
      </c:lineChart>
      <c:dateAx>
        <c:axId val="403170432"/>
        <c:scaling>
          <c:orientation val="minMax"/>
        </c:scaling>
        <c:delete val="0"/>
        <c:axPos val="b"/>
        <c:numFmt formatCode="d/m/yy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40317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5705924029435"/>
          <c:y val="0.92857299087614054"/>
          <c:w val="0.60327265456848578"/>
          <c:h val="0.976192038495188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105</xdr:row>
      <xdr:rowOff>0</xdr:rowOff>
    </xdr:from>
    <xdr:to>
      <xdr:col>1</xdr:col>
      <xdr:colOff>312420</xdr:colOff>
      <xdr:row>105</xdr:row>
      <xdr:rowOff>0</xdr:rowOff>
    </xdr:to>
    <xdr:sp macro="" textlink="">
      <xdr:nvSpPr>
        <xdr:cNvPr id="1157" name="Rectangle 1">
          <a:extLst>
            <a:ext uri="{FF2B5EF4-FFF2-40B4-BE49-F238E27FC236}">
              <a16:creationId xmlns:a16="http://schemas.microsoft.com/office/drawing/2014/main" id="{BCCBA5C5-69B7-E38C-4F27-96A035DD9F8E}"/>
            </a:ext>
          </a:extLst>
        </xdr:cNvPr>
        <xdr:cNvSpPr>
          <a:spLocks noChangeArrowheads="1"/>
        </xdr:cNvSpPr>
      </xdr:nvSpPr>
      <xdr:spPr bwMode="auto">
        <a:xfrm>
          <a:off x="205740" y="19263360"/>
          <a:ext cx="541020" cy="0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274320</xdr:colOff>
      <xdr:row>43</xdr:row>
      <xdr:rowOff>53340</xdr:rowOff>
    </xdr:from>
    <xdr:to>
      <xdr:col>14</xdr:col>
      <xdr:colOff>678180</xdr:colOff>
      <xdr:row>68</xdr:row>
      <xdr:rowOff>129540</xdr:rowOff>
    </xdr:to>
    <xdr:graphicFrame macro="">
      <xdr:nvGraphicFramePr>
        <xdr:cNvPr id="1158" name="Chart 33">
          <a:extLst>
            <a:ext uri="{FF2B5EF4-FFF2-40B4-BE49-F238E27FC236}">
              <a16:creationId xmlns:a16="http://schemas.microsoft.com/office/drawing/2014/main" id="{70B12F64-B867-8476-4010-DCE790A8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0.14785</cdr:x>
      <cdr:y>0.72394</cdr:y>
    </cdr:from>
    <cdr:to>
      <cdr:x>0.26308</cdr:x>
      <cdr:y>0.77578</cdr:y>
    </cdr:to>
    <cdr:sp macro="" textlink="">
      <cdr:nvSpPr>
        <cdr:cNvPr id="13313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7164" y="2607762"/>
          <a:ext cx="591678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21/11/13</a:t>
          </a:r>
        </a:p>
      </cdr:txBody>
    </cdr:sp>
  </cdr:relSizeAnchor>
  <cdr:relSizeAnchor xmlns:cdr="http://schemas.openxmlformats.org/drawingml/2006/chartDrawing">
    <cdr:from>
      <cdr:x>0.28227</cdr:x>
      <cdr:y>0.72394</cdr:y>
    </cdr:from>
    <cdr:to>
      <cdr:x>0.39699</cdr:x>
      <cdr:y>0.77578</cdr:y>
    </cdr:to>
    <cdr:sp macro="" textlink="">
      <cdr:nvSpPr>
        <cdr:cNvPr id="13315" name="AutoShap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231" y="2607762"/>
          <a:ext cx="587635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21/12/13</a:t>
          </a:r>
        </a:p>
      </cdr:txBody>
    </cdr:sp>
  </cdr:relSizeAnchor>
  <cdr:relSizeAnchor xmlns:cdr="http://schemas.openxmlformats.org/drawingml/2006/chartDrawing">
    <cdr:from>
      <cdr:x>0.41665</cdr:x>
      <cdr:y>0.72394</cdr:y>
    </cdr:from>
    <cdr:to>
      <cdr:x>0.53141</cdr:x>
      <cdr:y>0.77578</cdr:y>
    </cdr:to>
    <cdr:sp macro="" textlink="">
      <cdr:nvSpPr>
        <cdr:cNvPr id="13316" name="AutoShap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7298" y="2607762"/>
          <a:ext cx="586288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21/01/14</a:t>
          </a:r>
        </a:p>
      </cdr:txBody>
    </cdr:sp>
  </cdr:relSizeAnchor>
  <cdr:relSizeAnchor xmlns:cdr="http://schemas.openxmlformats.org/drawingml/2006/chartDrawing">
    <cdr:from>
      <cdr:x>0.55426</cdr:x>
      <cdr:y>0.72394</cdr:y>
    </cdr:from>
    <cdr:to>
      <cdr:x>0.66875</cdr:x>
      <cdr:y>0.77578</cdr:y>
    </cdr:to>
    <cdr:sp macro="" textlink="">
      <cdr:nvSpPr>
        <cdr:cNvPr id="13317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9495" y="2607762"/>
          <a:ext cx="586288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21/02/14</a:t>
          </a:r>
        </a:p>
      </cdr:txBody>
    </cdr:sp>
  </cdr:relSizeAnchor>
  <cdr:relSizeAnchor xmlns:cdr="http://schemas.openxmlformats.org/drawingml/2006/chartDrawing">
    <cdr:from>
      <cdr:x>0.68743</cdr:x>
      <cdr:y>0.72394</cdr:y>
    </cdr:from>
    <cdr:to>
      <cdr:x>0.80168</cdr:x>
      <cdr:y>0.77578</cdr:y>
    </cdr:to>
    <cdr:sp macro="" textlink="">
      <cdr:nvSpPr>
        <cdr:cNvPr id="13318" name="AutoShap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4171" y="2607762"/>
          <a:ext cx="587636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21/03/14</a:t>
          </a:r>
        </a:p>
      </cdr:txBody>
    </cdr:sp>
  </cdr:relSizeAnchor>
  <cdr:relSizeAnchor xmlns:cdr="http://schemas.openxmlformats.org/drawingml/2006/chartDrawing">
    <cdr:from>
      <cdr:x>0.81619</cdr:x>
      <cdr:y>0.72394</cdr:y>
    </cdr:from>
    <cdr:to>
      <cdr:x>0.93044</cdr:x>
      <cdr:y>0.77578</cdr:y>
    </cdr:to>
    <cdr:sp macro="" textlink="">
      <cdr:nvSpPr>
        <cdr:cNvPr id="13319" name="AutoShap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5935" y="2607762"/>
          <a:ext cx="586288" cy="19418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975" b="0" i="0" strike="noStrike">
              <a:solidFill>
                <a:srgbClr val="000000"/>
              </a:solidFill>
              <a:latin typeface="Arial"/>
              <a:cs typeface="Arial"/>
            </a:rPr>
            <a:t>21/10/14</a:t>
          </a:r>
        </a:p>
      </cdr:txBody>
    </cdr:sp>
  </cdr:relSizeAnchor>
  <cdr:relSizeAnchor xmlns:cdr="http://schemas.openxmlformats.org/drawingml/2006/chartDrawing">
    <cdr:from>
      <cdr:x>0.24784</cdr:x>
      <cdr:y>0.01343</cdr:y>
    </cdr:from>
    <cdr:to>
      <cdr:x>0.8243</cdr:x>
      <cdr:y>0.08941</cdr:y>
    </cdr:to>
    <cdr:sp macro="" textlink="">
      <cdr:nvSpPr>
        <cdr:cNvPr id="13320" name="AutoShap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0671" y="50800"/>
          <a:ext cx="2955698" cy="245152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s-AR" sz="1375" b="0" i="0" strike="noStrike">
              <a:solidFill>
                <a:srgbClr val="000000"/>
              </a:solidFill>
              <a:latin typeface="Arial"/>
              <a:cs typeface="Arial"/>
            </a:rPr>
            <a:t>GRAFICO DE DESEMBOLSOS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QPAR~1/AppData/Local/Temp/Rar$DI00.850/ANALISIS%20ECONOMICO%20DE%20OB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UTO"/>
      <sheetName val="ANALISIS"/>
      <sheetName val="CC"/>
      <sheetName val="VENTA"/>
      <sheetName val="Hoja1"/>
      <sheetName val="plan de trabajo"/>
      <sheetName val="C.O. Nº 1"/>
      <sheetName val="C.O. Nº 2"/>
      <sheetName val="C.O. Nº 3"/>
      <sheetName val="C.O. Nº 4"/>
      <sheetName val="C.O. Nº 5"/>
      <sheetName val="LISTA DE PRECIOS"/>
      <sheetName val="M O"/>
      <sheetName val="FACTOR K"/>
    </sheetNames>
    <sheetDataSet>
      <sheetData sheetId="0">
        <row r="21">
          <cell r="A21">
            <v>2</v>
          </cell>
        </row>
      </sheetData>
      <sheetData sheetId="1"/>
      <sheetData sheetId="2"/>
      <sheetData sheetId="3"/>
      <sheetData sheetId="4"/>
      <sheetData sheetId="5">
        <row r="40">
          <cell r="C40">
            <v>73495.422251625772</v>
          </cell>
          <cell r="D40">
            <v>156909.58879405065</v>
          </cell>
          <cell r="E40">
            <v>133346.84154056237</v>
          </cell>
          <cell r="F40">
            <v>285993.13178921264</v>
          </cell>
          <cell r="G40">
            <v>100332.61061373708</v>
          </cell>
          <cell r="H40">
            <v>46234.287708824042</v>
          </cell>
        </row>
        <row r="41">
          <cell r="C41">
            <v>9.2294770238280671E-2</v>
          </cell>
          <cell r="D41">
            <v>0.19704539415187389</v>
          </cell>
          <cell r="E41">
            <v>0.16745554654887881</v>
          </cell>
          <cell r="F41">
            <v>0.35914713569290108</v>
          </cell>
          <cell r="G41">
            <v>0.12599662618846852</v>
          </cell>
          <cell r="H41">
            <v>5.8060527179597032E-2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55B8-BA01-4E49-A58F-D87FD6BF9F10}">
  <sheetPr>
    <pageSetUpPr fitToPage="1"/>
  </sheetPr>
  <dimension ref="A1:X198"/>
  <sheetViews>
    <sheetView tabSelected="1" view="pageBreakPreview" topLeftCell="C1" zoomScale="70" zoomScaleNormal="100" zoomScaleSheetLayoutView="70" workbookViewId="0">
      <selection activeCell="M14" sqref="M14:M15"/>
    </sheetView>
  </sheetViews>
  <sheetFormatPr baseColWidth="10" defaultColWidth="11.44140625" defaultRowHeight="13.8" x14ac:dyDescent="0.3"/>
  <cols>
    <col min="1" max="1" width="4.44140625" style="135" customWidth="1"/>
    <col min="2" max="2" width="6.5546875" style="135" customWidth="1"/>
    <col min="3" max="3" width="72.88671875" style="135" customWidth="1"/>
    <col min="4" max="4" width="6.33203125" style="136" customWidth="1"/>
    <col min="5" max="5" width="8.33203125" style="137" customWidth="1"/>
    <col min="6" max="6" width="7.88671875" style="137" customWidth="1"/>
    <col min="7" max="7" width="7.6640625" style="137" customWidth="1"/>
    <col min="8" max="8" width="5.88671875" style="136" bestFit="1" customWidth="1"/>
    <col min="9" max="9" width="12" style="135" customWidth="1"/>
    <col min="10" max="10" width="9.33203125" style="135" bestFit="1" customWidth="1"/>
    <col min="11" max="11" width="19.109375" style="135" customWidth="1"/>
    <col min="12" max="12" width="20.33203125" style="135" customWidth="1"/>
    <col min="13" max="13" width="18.109375" style="135" customWidth="1"/>
    <col min="14" max="14" width="18.6640625" style="135" customWidth="1"/>
    <col min="15" max="15" width="17.109375" style="135" customWidth="1"/>
    <col min="16" max="16" width="19.44140625" style="135" bestFit="1" customWidth="1"/>
    <col min="17" max="17" width="19.88671875" style="135" bestFit="1" customWidth="1"/>
    <col min="18" max="18" width="21" style="135" bestFit="1" customWidth="1"/>
    <col min="19" max="19" width="27.6640625" style="138" bestFit="1" customWidth="1"/>
    <col min="20" max="20" width="11.44140625" style="135"/>
    <col min="21" max="21" width="46.5546875" style="135" customWidth="1"/>
    <col min="22" max="22" width="69.88671875" style="135" customWidth="1"/>
    <col min="23" max="16384" width="11.44140625" style="135"/>
  </cols>
  <sheetData>
    <row r="1" spans="1:24" ht="16.2" x14ac:dyDescent="0.3">
      <c r="A1" s="321" t="s">
        <v>224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3"/>
    </row>
    <row r="2" spans="1:24" x14ac:dyDescent="0.3">
      <c r="A2" s="324" t="s">
        <v>225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6"/>
    </row>
    <row r="3" spans="1:24" x14ac:dyDescent="0.3">
      <c r="A3" s="324" t="s">
        <v>226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6"/>
    </row>
    <row r="4" spans="1:24" x14ac:dyDescent="0.3">
      <c r="A4" s="324" t="s">
        <v>227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6"/>
    </row>
    <row r="5" spans="1:24" x14ac:dyDescent="0.3">
      <c r="A5" s="324" t="s">
        <v>228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6"/>
    </row>
    <row r="6" spans="1:24" ht="14.4" thickBot="1" x14ac:dyDescent="0.35">
      <c r="A6" s="327" t="s">
        <v>229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9"/>
    </row>
    <row r="8" spans="1:24" ht="14.4" thickBot="1" x14ac:dyDescent="0.35"/>
    <row r="9" spans="1:24" ht="16.2" thickTop="1" thickBot="1" x14ac:dyDescent="0.35">
      <c r="A9" s="313" t="s">
        <v>24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</row>
    <row r="10" spans="1:24" ht="17.399999999999999" thickTop="1" thickBot="1" x14ac:dyDescent="0.35">
      <c r="A10" s="343" t="s">
        <v>0</v>
      </c>
      <c r="B10" s="317" t="s">
        <v>1</v>
      </c>
      <c r="C10" s="317"/>
      <c r="D10" s="319" t="s">
        <v>163</v>
      </c>
      <c r="E10" s="330" t="s">
        <v>2</v>
      </c>
      <c r="F10" s="330"/>
      <c r="G10" s="330"/>
      <c r="H10" s="314" t="s">
        <v>162</v>
      </c>
      <c r="I10" s="330" t="s">
        <v>4</v>
      </c>
      <c r="J10" s="330"/>
      <c r="K10" s="337" t="s">
        <v>297</v>
      </c>
      <c r="L10" s="338"/>
      <c r="M10" s="339" t="s">
        <v>340</v>
      </c>
      <c r="N10" s="339" t="s">
        <v>55</v>
      </c>
      <c r="O10" s="339" t="s">
        <v>339</v>
      </c>
      <c r="P10" s="337" t="s">
        <v>436</v>
      </c>
      <c r="Q10" s="338"/>
      <c r="R10" s="330" t="s">
        <v>22</v>
      </c>
      <c r="S10" s="331"/>
    </row>
    <row r="11" spans="1:24" ht="17.399999999999999" thickTop="1" thickBot="1" x14ac:dyDescent="0.35">
      <c r="A11" s="343"/>
      <c r="B11" s="318"/>
      <c r="C11" s="318"/>
      <c r="D11" s="320"/>
      <c r="E11" s="139" t="s">
        <v>5</v>
      </c>
      <c r="F11" s="139" t="s">
        <v>6</v>
      </c>
      <c r="G11" s="139" t="s">
        <v>7</v>
      </c>
      <c r="H11" s="315"/>
      <c r="I11" s="140" t="s">
        <v>343</v>
      </c>
      <c r="J11" s="139" t="s">
        <v>342</v>
      </c>
      <c r="K11" s="139" t="s">
        <v>298</v>
      </c>
      <c r="L11" s="139" t="s">
        <v>299</v>
      </c>
      <c r="M11" s="340"/>
      <c r="N11" s="340"/>
      <c r="O11" s="340"/>
      <c r="P11" s="139" t="s">
        <v>298</v>
      </c>
      <c r="Q11" s="139" t="s">
        <v>299</v>
      </c>
      <c r="R11" s="141" t="s">
        <v>341</v>
      </c>
      <c r="S11" s="142" t="s">
        <v>20</v>
      </c>
    </row>
    <row r="12" spans="1:24" ht="21.9" customHeight="1" thickTop="1" thickBot="1" x14ac:dyDescent="0.4">
      <c r="A12" s="316">
        <v>1</v>
      </c>
      <c r="B12" s="341" t="s">
        <v>89</v>
      </c>
      <c r="C12" s="342"/>
      <c r="D12" s="143"/>
      <c r="E12" s="144"/>
      <c r="F12" s="145"/>
      <c r="G12" s="145"/>
      <c r="H12" s="146"/>
      <c r="I12" s="147"/>
      <c r="J12" s="148"/>
      <c r="K12" s="148"/>
      <c r="L12" s="148"/>
      <c r="M12" s="148"/>
      <c r="N12" s="148"/>
      <c r="O12" s="148"/>
      <c r="P12" s="148"/>
      <c r="Q12" s="148"/>
      <c r="R12" s="149"/>
      <c r="S12" s="150">
        <f>SUM(R13:R16)</f>
        <v>1404209.1433326858</v>
      </c>
    </row>
    <row r="13" spans="1:24" ht="17.25" customHeight="1" thickTop="1" thickBot="1" x14ac:dyDescent="0.4">
      <c r="A13" s="316"/>
      <c r="B13" s="151" t="s">
        <v>8</v>
      </c>
      <c r="C13" s="152" t="s">
        <v>90</v>
      </c>
      <c r="D13" s="153"/>
      <c r="E13" s="154"/>
      <c r="F13" s="155"/>
      <c r="G13" s="156"/>
      <c r="H13" s="157" t="s">
        <v>18</v>
      </c>
      <c r="I13" s="158"/>
      <c r="J13" s="159">
        <v>1</v>
      </c>
      <c r="K13" s="160">
        <f>+'ANALISIS DE PRECIOS '!G15</f>
        <v>74380.165289256198</v>
      </c>
      <c r="L13" s="160">
        <f>+'ANALISIS DE PRECIOS '!G26</f>
        <v>46400</v>
      </c>
      <c r="M13" s="300">
        <f>+K13+L13</f>
        <v>120780.1652892562</v>
      </c>
      <c r="N13" s="300">
        <f>+M13*'COSTOS INDIVIDUALES'!$J$8</f>
        <v>178765.05587834711</v>
      </c>
      <c r="O13" s="300">
        <f>+M13*'COSTOS INDIVIDUALES'!$J$9</f>
        <v>32006.743801652879</v>
      </c>
      <c r="P13" s="160">
        <f>+K13*'COSTOS INDIVIDUALES'!$J$8*J13</f>
        <v>110089.0561983471</v>
      </c>
      <c r="Q13" s="160">
        <f>+L13*'COSTOS INDIVIDUALES'!$J$8*J13</f>
        <v>68675.999679999994</v>
      </c>
      <c r="R13" s="160">
        <f>+P13+Q13</f>
        <v>178765.05587834708</v>
      </c>
      <c r="S13" s="161"/>
      <c r="U13" s="162"/>
      <c r="V13" s="163"/>
      <c r="W13" s="164"/>
      <c r="X13" s="165"/>
    </row>
    <row r="14" spans="1:24" ht="17.25" customHeight="1" thickTop="1" thickBot="1" x14ac:dyDescent="0.4">
      <c r="A14" s="316"/>
      <c r="B14" s="151" t="s">
        <v>9</v>
      </c>
      <c r="C14" s="152" t="s">
        <v>93</v>
      </c>
      <c r="D14" s="153"/>
      <c r="E14" s="154"/>
      <c r="F14" s="155"/>
      <c r="G14" s="156"/>
      <c r="H14" s="157" t="s">
        <v>18</v>
      </c>
      <c r="I14" s="158"/>
      <c r="J14" s="159">
        <v>1</v>
      </c>
      <c r="K14" s="160">
        <f>+'ANALISIS DE PRECIOS '!G75</f>
        <v>251139.91787190081</v>
      </c>
      <c r="L14" s="160">
        <f>+'ANALISIS DE PRECIOS '!G81</f>
        <v>100000</v>
      </c>
      <c r="M14" s="301">
        <f>+K14+L14</f>
        <v>351139.91787190083</v>
      </c>
      <c r="N14" s="301">
        <f>+M14*'COSTOS INDIVIDUALES'!$J$8</f>
        <v>519717.34671133378</v>
      </c>
      <c r="O14" s="301">
        <f>+M14*'COSTOS INDIVIDUALES'!$J$9</f>
        <v>93052.078236053683</v>
      </c>
      <c r="P14" s="160">
        <f>+K14*'COSTOS INDIVIDUALES'!$J$8*J14</f>
        <v>371708.72671133373</v>
      </c>
      <c r="Q14" s="160">
        <f>+L14*'COSTOS INDIVIDUALES'!$J$8*J14</f>
        <v>148008.62</v>
      </c>
      <c r="R14" s="160">
        <f>+P14+Q14</f>
        <v>519717.34671133372</v>
      </c>
      <c r="S14" s="161"/>
      <c r="U14" s="166"/>
      <c r="V14" s="167"/>
      <c r="W14" s="168"/>
      <c r="X14" s="169"/>
    </row>
    <row r="15" spans="1:24" ht="17.399999999999999" thickTop="1" thickBot="1" x14ac:dyDescent="0.4">
      <c r="A15" s="316"/>
      <c r="B15" s="151" t="s">
        <v>10</v>
      </c>
      <c r="C15" s="152" t="s">
        <v>344</v>
      </c>
      <c r="D15" s="153"/>
      <c r="E15" s="156"/>
      <c r="F15" s="156"/>
      <c r="G15" s="156"/>
      <c r="H15" s="157" t="s">
        <v>18</v>
      </c>
      <c r="I15" s="158"/>
      <c r="J15" s="159">
        <v>1</v>
      </c>
      <c r="K15" s="160">
        <f>+'ANALISIS DE PRECIOS '!G123</f>
        <v>184829.33190776166</v>
      </c>
      <c r="L15" s="160">
        <f>+'ANALISIS DE PRECIOS '!G129</f>
        <v>74400</v>
      </c>
      <c r="M15" s="301">
        <f>+K15+L15</f>
        <v>259229.33190776166</v>
      </c>
      <c r="N15" s="301">
        <f>+M15*'COSTOS INDIVIDUALES'!$J$8</f>
        <v>383681.7567918977</v>
      </c>
      <c r="O15" s="301">
        <f>+M15*'COSTOS INDIVIDUALES'!$J$9</f>
        <v>68695.772955556822</v>
      </c>
      <c r="P15" s="160">
        <f>+K15*'COSTOS INDIVIDUALES'!$J$8*J15</f>
        <v>273563.34351189766</v>
      </c>
      <c r="Q15" s="160">
        <f>+L15*'COSTOS INDIVIDUALES'!$J$8*J15</f>
        <v>110118.41327999999</v>
      </c>
      <c r="R15" s="160">
        <f>+P15+Q15</f>
        <v>383681.75679189764</v>
      </c>
      <c r="S15" s="161"/>
      <c r="U15" s="166"/>
      <c r="V15" s="167"/>
      <c r="W15" s="168"/>
      <c r="X15" s="169"/>
    </row>
    <row r="16" spans="1:24" ht="17.399999999999999" thickTop="1" thickBot="1" x14ac:dyDescent="0.35">
      <c r="A16" s="316"/>
      <c r="B16" s="151" t="s">
        <v>439</v>
      </c>
      <c r="C16" s="152" t="s">
        <v>92</v>
      </c>
      <c r="D16" s="153"/>
      <c r="E16" s="156"/>
      <c r="F16" s="156"/>
      <c r="G16" s="156"/>
      <c r="H16" s="170" t="s">
        <v>18</v>
      </c>
      <c r="I16" s="171"/>
      <c r="J16" s="159">
        <v>1</v>
      </c>
      <c r="K16" s="160">
        <f>+'ANALISIS DE PRECIOS '!G177</f>
        <v>87185.289256198332</v>
      </c>
      <c r="L16" s="160">
        <f>+'ANALISIS DE PRECIOS '!G183</f>
        <v>130400</v>
      </c>
      <c r="M16" s="301">
        <f>+K16+L16</f>
        <v>217585.28925619833</v>
      </c>
      <c r="N16" s="301">
        <f>+M16*'COSTOS INDIVIDUALES'!$J$8</f>
        <v>322044.98395110737</v>
      </c>
      <c r="O16" s="301">
        <f>+M16*'COSTOS INDIVIDUALES'!$J$9</f>
        <v>57660.101652892539</v>
      </c>
      <c r="P16" s="160">
        <f>+K16*'COSTOS INDIVIDUALES'!$J$8*J16</f>
        <v>129041.7434711074</v>
      </c>
      <c r="Q16" s="160">
        <f>+L16*'COSTOS INDIVIDUALES'!$J$8*J16</f>
        <v>193003.24047999998</v>
      </c>
      <c r="R16" s="160">
        <f>+P16+Q16</f>
        <v>322044.98395110737</v>
      </c>
      <c r="S16" s="161"/>
      <c r="U16" s="166"/>
      <c r="V16" s="167"/>
      <c r="W16" s="168"/>
      <c r="X16" s="169"/>
    </row>
    <row r="17" spans="1:24" ht="17.399999999999999" thickTop="1" thickBot="1" x14ac:dyDescent="0.4">
      <c r="A17" s="316">
        <v>2</v>
      </c>
      <c r="B17" s="172" t="s">
        <v>94</v>
      </c>
      <c r="C17" s="173"/>
      <c r="D17" s="153"/>
      <c r="E17" s="154"/>
      <c r="F17" s="155"/>
      <c r="G17" s="155"/>
      <c r="H17" s="157"/>
      <c r="I17" s="158"/>
      <c r="J17" s="174"/>
      <c r="K17" s="174"/>
      <c r="L17" s="174"/>
      <c r="M17" s="174"/>
      <c r="N17" s="174"/>
      <c r="O17" s="174"/>
      <c r="P17" s="174"/>
      <c r="Q17" s="174"/>
      <c r="R17" s="175"/>
      <c r="S17" s="176">
        <f>+R18+R21+R26</f>
        <v>1611577.7684493761</v>
      </c>
      <c r="U17" s="166"/>
      <c r="V17" s="167"/>
      <c r="W17" s="168"/>
      <c r="X17" s="169"/>
    </row>
    <row r="18" spans="1:24" ht="17.399999999999999" thickTop="1" thickBot="1" x14ac:dyDescent="0.4">
      <c r="A18" s="316"/>
      <c r="B18" s="151" t="s">
        <v>11</v>
      </c>
      <c r="C18" s="152" t="s">
        <v>95</v>
      </c>
      <c r="D18" s="153"/>
      <c r="E18" s="154"/>
      <c r="F18" s="155"/>
      <c r="G18" s="156"/>
      <c r="H18" s="157" t="s">
        <v>31</v>
      </c>
      <c r="J18" s="304">
        <f>SUM(I19:I20)</f>
        <v>15.84</v>
      </c>
      <c r="K18" s="160">
        <f>+'ANALISIS DE PRECIOS '!G210</f>
        <v>0</v>
      </c>
      <c r="L18" s="160">
        <f>+'ANALISIS DE PRECIOS '!G216</f>
        <v>44200</v>
      </c>
      <c r="M18" s="301">
        <f>+K18+L18*J18</f>
        <v>700128</v>
      </c>
      <c r="N18" s="301">
        <f>+M18*'COSTOS INDIVIDUALES'!$J$8</f>
        <v>1036249.7910336</v>
      </c>
      <c r="O18" s="301">
        <f>+M18*'COSTOS INDIVIDUALES'!$J$9</f>
        <v>185533.91999999993</v>
      </c>
      <c r="P18" s="160">
        <f>+K18*'COSTOS INDIVIDUALES'!$J$8*J18</f>
        <v>0</v>
      </c>
      <c r="Q18" s="160">
        <f>+L18*'COSTOS INDIVIDUALES'!$J$8*J18</f>
        <v>1036249.7910336</v>
      </c>
      <c r="R18" s="160">
        <f>+P18+Q18</f>
        <v>1036249.7910336</v>
      </c>
      <c r="S18" s="161"/>
      <c r="T18" s="162"/>
    </row>
    <row r="19" spans="1:24" ht="17.399999999999999" hidden="1" thickTop="1" thickBot="1" x14ac:dyDescent="0.4">
      <c r="A19" s="316"/>
      <c r="B19" s="151" t="s">
        <v>25</v>
      </c>
      <c r="C19" s="152" t="s">
        <v>346</v>
      </c>
      <c r="D19" s="153">
        <v>8</v>
      </c>
      <c r="E19" s="154">
        <v>1.2</v>
      </c>
      <c r="F19" s="155">
        <v>1.2</v>
      </c>
      <c r="G19" s="156">
        <v>1</v>
      </c>
      <c r="H19" s="157"/>
      <c r="I19" s="177">
        <f>+D19*E19*F19*G19</f>
        <v>11.52</v>
      </c>
      <c r="J19" s="159"/>
      <c r="K19" s="159"/>
      <c r="L19" s="159"/>
      <c r="M19" s="159"/>
      <c r="N19" s="159"/>
      <c r="O19" s="159"/>
      <c r="P19" s="159"/>
      <c r="Q19" s="159"/>
      <c r="R19" s="160"/>
      <c r="S19" s="161"/>
      <c r="T19" s="162"/>
    </row>
    <row r="20" spans="1:24" ht="17.399999999999999" hidden="1" thickTop="1" thickBot="1" x14ac:dyDescent="0.4">
      <c r="A20" s="316"/>
      <c r="B20" s="151" t="s">
        <v>26</v>
      </c>
      <c r="C20" s="152" t="s">
        <v>347</v>
      </c>
      <c r="D20" s="153">
        <v>3</v>
      </c>
      <c r="E20" s="154">
        <v>1.2</v>
      </c>
      <c r="F20" s="155">
        <v>1.2</v>
      </c>
      <c r="G20" s="156">
        <v>1</v>
      </c>
      <c r="H20" s="157"/>
      <c r="I20" s="177">
        <f>+D20*E20*F20*G20</f>
        <v>4.3199999999999994</v>
      </c>
      <c r="J20" s="159"/>
      <c r="K20" s="159"/>
      <c r="L20" s="159"/>
      <c r="M20" s="159"/>
      <c r="N20" s="159"/>
      <c r="O20" s="159"/>
      <c r="P20" s="159"/>
      <c r="Q20" s="159"/>
      <c r="R20" s="160"/>
      <c r="S20" s="161"/>
      <c r="T20" s="162"/>
    </row>
    <row r="21" spans="1:24" ht="17.399999999999999" thickTop="1" thickBot="1" x14ac:dyDescent="0.4">
      <c r="A21" s="316"/>
      <c r="B21" s="151" t="s">
        <v>437</v>
      </c>
      <c r="C21" s="152" t="s">
        <v>96</v>
      </c>
      <c r="D21" s="153"/>
      <c r="E21" s="154"/>
      <c r="F21" s="155"/>
      <c r="G21" s="156"/>
      <c r="H21" s="178" t="s">
        <v>31</v>
      </c>
      <c r="J21" s="304">
        <f>SUM(I22:I25)</f>
        <v>4.3344000000000005</v>
      </c>
      <c r="K21" s="160">
        <f>+'ANALISIS DE PRECIOS '!G210</f>
        <v>0</v>
      </c>
      <c r="L21" s="160">
        <f>+'ANALISIS DE PRECIOS '!G216</f>
        <v>44200</v>
      </c>
      <c r="M21" s="301">
        <f>+K21+L21*J21</f>
        <v>191580.48</v>
      </c>
      <c r="N21" s="301">
        <f>+M21*'COSTOS INDIVIDUALES'!$J$8</f>
        <v>283555.62463737599</v>
      </c>
      <c r="O21" s="301">
        <f>+M21*'COSTOS INDIVIDUALES'!$J$9</f>
        <v>50768.827199999985</v>
      </c>
      <c r="P21" s="160">
        <f>+K21*'COSTOS INDIVIDUALES'!$J$8*J21</f>
        <v>0</v>
      </c>
      <c r="Q21" s="160">
        <f>+L21*'COSTOS INDIVIDUALES'!$J$8*J21</f>
        <v>283555.62463737599</v>
      </c>
      <c r="R21" s="160">
        <f>+P21+Q21</f>
        <v>283555.62463737599</v>
      </c>
      <c r="S21" s="161"/>
      <c r="T21" s="166"/>
      <c r="U21" s="167"/>
    </row>
    <row r="22" spans="1:24" ht="17.399999999999999" hidden="1" thickTop="1" thickBot="1" x14ac:dyDescent="0.4">
      <c r="A22" s="316"/>
      <c r="B22" s="151"/>
      <c r="C22" s="152" t="s">
        <v>40</v>
      </c>
      <c r="D22" s="153">
        <v>1</v>
      </c>
      <c r="E22" s="179">
        <v>0.3</v>
      </c>
      <c r="F22" s="180">
        <v>2.46</v>
      </c>
      <c r="G22" s="156">
        <v>0.4</v>
      </c>
      <c r="H22" s="181"/>
      <c r="I22" s="177">
        <f>+D22*E22*F22*G22</f>
        <v>0.29520000000000002</v>
      </c>
      <c r="J22" s="159"/>
      <c r="K22" s="159"/>
      <c r="L22" s="159"/>
      <c r="M22" s="159"/>
      <c r="N22" s="159"/>
      <c r="O22" s="159"/>
      <c r="P22" s="159"/>
      <c r="Q22" s="159"/>
      <c r="R22" s="160"/>
      <c r="S22" s="161"/>
      <c r="T22" s="166"/>
      <c r="U22" s="167"/>
    </row>
    <row r="23" spans="1:24" ht="17.399999999999999" hidden="1" thickTop="1" thickBot="1" x14ac:dyDescent="0.4">
      <c r="A23" s="316"/>
      <c r="B23" s="151"/>
      <c r="C23" s="152" t="s">
        <v>14</v>
      </c>
      <c r="D23" s="153">
        <v>1</v>
      </c>
      <c r="E23" s="179">
        <v>0.3</v>
      </c>
      <c r="F23" s="180">
        <f>12.53-(1.2*4)</f>
        <v>7.7299999999999995</v>
      </c>
      <c r="G23" s="156">
        <v>0.4</v>
      </c>
      <c r="H23" s="181"/>
      <c r="I23" s="177">
        <f>+D23*E23*F23*G23</f>
        <v>0.92759999999999998</v>
      </c>
      <c r="J23" s="159"/>
      <c r="K23" s="159"/>
      <c r="L23" s="159"/>
      <c r="M23" s="159"/>
      <c r="N23" s="159"/>
      <c r="O23" s="159"/>
      <c r="P23" s="159"/>
      <c r="Q23" s="159"/>
      <c r="R23" s="160"/>
      <c r="S23" s="161"/>
      <c r="T23" s="166"/>
      <c r="U23" s="167"/>
    </row>
    <row r="24" spans="1:24" ht="17.399999999999999" hidden="1" thickTop="1" thickBot="1" x14ac:dyDescent="0.4">
      <c r="A24" s="316"/>
      <c r="B24" s="151"/>
      <c r="C24" s="152" t="s">
        <v>31</v>
      </c>
      <c r="D24" s="153">
        <v>3</v>
      </c>
      <c r="E24" s="179">
        <v>0.3</v>
      </c>
      <c r="F24" s="180">
        <f>10.31-(1.2*3)</f>
        <v>6.7100000000000009</v>
      </c>
      <c r="G24" s="156">
        <v>0.4</v>
      </c>
      <c r="H24" s="181"/>
      <c r="I24" s="177">
        <f>+D24*E24*F24*G24</f>
        <v>2.4156000000000004</v>
      </c>
      <c r="J24" s="159"/>
      <c r="K24" s="159"/>
      <c r="L24" s="159"/>
      <c r="M24" s="159"/>
      <c r="N24" s="159"/>
      <c r="O24" s="159"/>
      <c r="P24" s="159"/>
      <c r="Q24" s="159"/>
      <c r="R24" s="160"/>
      <c r="S24" s="161"/>
      <c r="T24" s="166"/>
      <c r="U24" s="167"/>
    </row>
    <row r="25" spans="1:24" ht="17.399999999999999" hidden="1" thickTop="1" thickBot="1" x14ac:dyDescent="0.4">
      <c r="A25" s="316"/>
      <c r="B25" s="151"/>
      <c r="C25" s="152" t="s">
        <v>41</v>
      </c>
      <c r="D25" s="153">
        <v>1</v>
      </c>
      <c r="E25" s="179">
        <v>0.3</v>
      </c>
      <c r="F25" s="180">
        <v>5.8</v>
      </c>
      <c r="G25" s="156">
        <v>0.4</v>
      </c>
      <c r="H25" s="181"/>
      <c r="I25" s="177">
        <f>+D25*E25*F25*G25</f>
        <v>0.69600000000000006</v>
      </c>
      <c r="J25" s="159"/>
      <c r="K25" s="159"/>
      <c r="L25" s="159"/>
      <c r="M25" s="159"/>
      <c r="N25" s="159"/>
      <c r="O25" s="159"/>
      <c r="P25" s="159"/>
      <c r="Q25" s="159"/>
      <c r="R25" s="160"/>
      <c r="S25" s="161"/>
      <c r="T25" s="166"/>
      <c r="U25" s="167"/>
    </row>
    <row r="26" spans="1:24" ht="17.399999999999999" thickTop="1" thickBot="1" x14ac:dyDescent="0.4">
      <c r="A26" s="316"/>
      <c r="B26" s="151" t="s">
        <v>438</v>
      </c>
      <c r="C26" s="152" t="s">
        <v>348</v>
      </c>
      <c r="D26" s="153"/>
      <c r="E26" s="154"/>
      <c r="F26" s="155"/>
      <c r="G26" s="156"/>
      <c r="H26" s="178" t="s">
        <v>31</v>
      </c>
      <c r="J26" s="304">
        <f>SUM(I27:I30)</f>
        <v>4.46</v>
      </c>
      <c r="K26" s="160">
        <f>+'ANALISIS DE PRECIOS '!G210</f>
        <v>0</v>
      </c>
      <c r="L26" s="160">
        <f>+'ANALISIS DE PRECIOS '!G216</f>
        <v>44200</v>
      </c>
      <c r="M26" s="301">
        <f>+K26+L26*J26</f>
        <v>197132</v>
      </c>
      <c r="N26" s="301">
        <f>+M26*'COSTOS INDIVIDUALES'!$J$8</f>
        <v>291772.3527784</v>
      </c>
      <c r="O26" s="301">
        <f>+M26*'COSTOS INDIVIDUALES'!$J$9</f>
        <v>52239.979999999981</v>
      </c>
      <c r="P26" s="160">
        <f>+K26*'COSTOS INDIVIDUALES'!$J$8*J26</f>
        <v>0</v>
      </c>
      <c r="Q26" s="160">
        <f>+L26*'COSTOS INDIVIDUALES'!$J$8*J26</f>
        <v>291772.3527784</v>
      </c>
      <c r="R26" s="160">
        <f>+P26+Q26</f>
        <v>291772.3527784</v>
      </c>
      <c r="S26" s="161"/>
      <c r="T26" s="166"/>
      <c r="U26" s="167"/>
    </row>
    <row r="27" spans="1:24" ht="17.399999999999999" hidden="1" thickTop="1" thickBot="1" x14ac:dyDescent="0.4">
      <c r="A27" s="316"/>
      <c r="B27" s="151"/>
      <c r="C27" s="152" t="s">
        <v>349</v>
      </c>
      <c r="D27" s="153">
        <v>1</v>
      </c>
      <c r="E27" s="179">
        <v>1</v>
      </c>
      <c r="F27" s="180">
        <v>1</v>
      </c>
      <c r="G27" s="156">
        <v>2</v>
      </c>
      <c r="H27" s="181"/>
      <c r="I27" s="177">
        <f>+D27*E27*F27*G27</f>
        <v>2</v>
      </c>
      <c r="J27" s="159"/>
      <c r="K27" s="159"/>
      <c r="L27" s="159"/>
      <c r="M27" s="159"/>
      <c r="N27" s="159"/>
      <c r="O27" s="159"/>
      <c r="P27" s="159"/>
      <c r="Q27" s="159"/>
      <c r="R27" s="160"/>
      <c r="S27" s="161"/>
      <c r="T27" s="166"/>
      <c r="U27" s="167"/>
    </row>
    <row r="28" spans="1:24" ht="17.399999999999999" hidden="1" thickTop="1" thickBot="1" x14ac:dyDescent="0.4">
      <c r="A28" s="316"/>
      <c r="B28" s="151"/>
      <c r="C28" s="152" t="s">
        <v>350</v>
      </c>
      <c r="D28" s="153">
        <v>1</v>
      </c>
      <c r="E28" s="179">
        <v>1</v>
      </c>
      <c r="F28" s="180">
        <v>1</v>
      </c>
      <c r="G28" s="156">
        <v>1.5</v>
      </c>
      <c r="H28" s="181"/>
      <c r="I28" s="177">
        <f>+D28*E28*F28*G28</f>
        <v>1.5</v>
      </c>
      <c r="J28" s="159"/>
      <c r="K28" s="159"/>
      <c r="L28" s="159"/>
      <c r="M28" s="159"/>
      <c r="N28" s="159"/>
      <c r="O28" s="159"/>
      <c r="P28" s="159"/>
      <c r="Q28" s="159"/>
      <c r="R28" s="160"/>
      <c r="S28" s="161"/>
      <c r="T28" s="166"/>
      <c r="U28" s="167"/>
    </row>
    <row r="29" spans="1:24" ht="17.399999999999999" hidden="1" thickTop="1" thickBot="1" x14ac:dyDescent="0.4">
      <c r="A29" s="316"/>
      <c r="B29" s="151"/>
      <c r="C29" s="152" t="s">
        <v>351</v>
      </c>
      <c r="D29" s="153">
        <v>1</v>
      </c>
      <c r="E29" s="179">
        <v>0.6</v>
      </c>
      <c r="F29" s="180">
        <v>0.6</v>
      </c>
      <c r="G29" s="156">
        <v>1</v>
      </c>
      <c r="H29" s="181"/>
      <c r="I29" s="177">
        <f>+D29*E29*F29*G29</f>
        <v>0.36</v>
      </c>
      <c r="J29" s="159"/>
      <c r="K29" s="159"/>
      <c r="L29" s="159"/>
      <c r="M29" s="159"/>
      <c r="N29" s="159"/>
      <c r="O29" s="159"/>
      <c r="P29" s="159"/>
      <c r="Q29" s="159"/>
      <c r="R29" s="160"/>
      <c r="S29" s="161"/>
      <c r="T29" s="166"/>
      <c r="U29" s="167"/>
    </row>
    <row r="30" spans="1:24" ht="17.399999999999999" hidden="1" thickTop="1" thickBot="1" x14ac:dyDescent="0.4">
      <c r="A30" s="316"/>
      <c r="B30" s="151"/>
      <c r="C30" s="152" t="s">
        <v>352</v>
      </c>
      <c r="D30" s="153">
        <v>1</v>
      </c>
      <c r="E30" s="179">
        <v>0.2</v>
      </c>
      <c r="F30" s="180">
        <v>10</v>
      </c>
      <c r="G30" s="156">
        <v>0.3</v>
      </c>
      <c r="H30" s="181"/>
      <c r="I30" s="177">
        <f>+D30*E30*F30*G30</f>
        <v>0.6</v>
      </c>
      <c r="J30" s="159"/>
      <c r="K30" s="159"/>
      <c r="L30" s="159"/>
      <c r="M30" s="159"/>
      <c r="N30" s="159"/>
      <c r="O30" s="159"/>
      <c r="P30" s="159"/>
      <c r="Q30" s="159"/>
      <c r="R30" s="160"/>
      <c r="S30" s="161"/>
      <c r="T30" s="166"/>
      <c r="U30" s="167"/>
    </row>
    <row r="31" spans="1:24" ht="17.399999999999999" thickTop="1" thickBot="1" x14ac:dyDescent="0.4">
      <c r="A31" s="316">
        <v>3</v>
      </c>
      <c r="B31" s="172" t="s">
        <v>49</v>
      </c>
      <c r="C31" s="173"/>
      <c r="D31" s="153"/>
      <c r="E31" s="179"/>
      <c r="F31" s="155"/>
      <c r="G31" s="155"/>
      <c r="H31" s="157"/>
      <c r="I31" s="158"/>
      <c r="J31" s="182"/>
      <c r="K31" s="182"/>
      <c r="L31" s="182"/>
      <c r="M31" s="182"/>
      <c r="N31" s="182"/>
      <c r="O31" s="182"/>
      <c r="P31" s="182"/>
      <c r="Q31" s="182"/>
      <c r="R31" s="175"/>
      <c r="S31" s="176">
        <f>SUM(R32:R72)</f>
        <v>25340551.808139753</v>
      </c>
    </row>
    <row r="32" spans="1:24" ht="17.399999999999999" thickTop="1" thickBot="1" x14ac:dyDescent="0.4">
      <c r="A32" s="316"/>
      <c r="B32" s="151" t="s">
        <v>12</v>
      </c>
      <c r="C32" s="152" t="s">
        <v>97</v>
      </c>
      <c r="D32" s="153"/>
      <c r="E32" s="179"/>
      <c r="F32" s="155"/>
      <c r="G32" s="156"/>
      <c r="H32" s="157" t="s">
        <v>31</v>
      </c>
      <c r="I32" s="158"/>
      <c r="J32" s="309">
        <f>+I33</f>
        <v>1.2959999999999998</v>
      </c>
      <c r="K32" s="160">
        <v>216778</v>
      </c>
      <c r="L32" s="160">
        <v>143147</v>
      </c>
      <c r="M32" s="301">
        <f>+K32+L32*J32</f>
        <v>402296.51199999999</v>
      </c>
      <c r="N32" s="301">
        <f>+M32*'COSTOS INDIVIDUALES'!$J$8</f>
        <v>595433.51571933436</v>
      </c>
      <c r="O32" s="301">
        <f>+M32*'COSTOS INDIVIDUALES'!$J$9</f>
        <v>106608.57567999995</v>
      </c>
      <c r="P32" s="160">
        <f>+K32*'COSTOS INDIVIDUALES'!$J$8*J32</f>
        <v>415821.7636376255</v>
      </c>
      <c r="Q32" s="160">
        <f>+L32*'COSTOS INDIVIDUALES'!$J$8*J32</f>
        <v>274583.38945573434</v>
      </c>
      <c r="R32" s="160">
        <f>+P32+Q32</f>
        <v>690405.1530933599</v>
      </c>
      <c r="S32" s="161"/>
      <c r="T32" s="184"/>
    </row>
    <row r="33" spans="1:19" ht="17.399999999999999" hidden="1" thickTop="1" thickBot="1" x14ac:dyDescent="0.4">
      <c r="A33" s="316"/>
      <c r="B33" s="151"/>
      <c r="C33" s="152" t="s">
        <v>357</v>
      </c>
      <c r="D33" s="153">
        <v>3</v>
      </c>
      <c r="E33" s="154">
        <v>1.2</v>
      </c>
      <c r="F33" s="155">
        <v>1.2</v>
      </c>
      <c r="G33" s="156">
        <v>0.3</v>
      </c>
      <c r="H33" s="181"/>
      <c r="I33" s="177">
        <f>+D33*E33*F33*G33</f>
        <v>1.2959999999999998</v>
      </c>
      <c r="J33" s="159"/>
      <c r="K33" s="160"/>
      <c r="L33" s="160"/>
      <c r="M33" s="159"/>
      <c r="N33" s="159"/>
      <c r="O33" s="159"/>
      <c r="P33" s="159"/>
      <c r="Q33" s="159"/>
      <c r="R33" s="160"/>
      <c r="S33" s="161"/>
    </row>
    <row r="34" spans="1:19" ht="17.399999999999999" thickTop="1" thickBot="1" x14ac:dyDescent="0.4">
      <c r="A34" s="316"/>
      <c r="B34" s="151" t="s">
        <v>29</v>
      </c>
      <c r="C34" s="152" t="s">
        <v>98</v>
      </c>
      <c r="D34" s="153"/>
      <c r="E34" s="179"/>
      <c r="F34" s="155"/>
      <c r="G34" s="156"/>
      <c r="H34" s="157" t="s">
        <v>31</v>
      </c>
      <c r="I34" s="158"/>
      <c r="J34" s="309">
        <f>+I35</f>
        <v>3.456</v>
      </c>
      <c r="K34" s="160">
        <v>216778</v>
      </c>
      <c r="L34" s="160">
        <v>143147</v>
      </c>
      <c r="M34" s="301">
        <f>+K34+L34*J34</f>
        <v>711494.03200000001</v>
      </c>
      <c r="N34" s="301">
        <f>+M34*'COSTOS INDIVIDUALES'!$J$8</f>
        <v>1053072.4981455584</v>
      </c>
      <c r="O34" s="301">
        <f>+M34*'COSTOS INDIVIDUALES'!$J$9</f>
        <v>188545.91847999993</v>
      </c>
      <c r="P34" s="160">
        <f>+K34*'COSTOS INDIVIDUALES'!$J$8*J34</f>
        <v>1108858.0363670015</v>
      </c>
      <c r="Q34" s="160">
        <f>+L34*'COSTOS INDIVIDUALES'!$J$8*J34</f>
        <v>732222.37188195833</v>
      </c>
      <c r="R34" s="160">
        <f>+P34+Q34</f>
        <v>1841080.4082489598</v>
      </c>
      <c r="S34" s="161"/>
    </row>
    <row r="35" spans="1:19" ht="17.399999999999999" hidden="1" thickTop="1" thickBot="1" x14ac:dyDescent="0.4">
      <c r="A35" s="316"/>
      <c r="B35" s="151"/>
      <c r="C35" s="152" t="s">
        <v>357</v>
      </c>
      <c r="D35" s="153">
        <v>8</v>
      </c>
      <c r="E35" s="154">
        <v>1.2</v>
      </c>
      <c r="F35" s="155">
        <v>1.2</v>
      </c>
      <c r="G35" s="156">
        <v>0.3</v>
      </c>
      <c r="H35" s="181"/>
      <c r="I35" s="177">
        <f>+D35*E35*F35*G35</f>
        <v>3.456</v>
      </c>
      <c r="J35" s="159"/>
      <c r="K35" s="160"/>
      <c r="L35" s="160"/>
      <c r="M35" s="159"/>
      <c r="N35" s="159"/>
      <c r="O35" s="159"/>
      <c r="P35" s="159"/>
      <c r="Q35" s="159"/>
      <c r="R35" s="160"/>
      <c r="S35" s="161"/>
    </row>
    <row r="36" spans="1:19" ht="17.399999999999999" thickTop="1" thickBot="1" x14ac:dyDescent="0.4">
      <c r="A36" s="316"/>
      <c r="B36" s="151" t="s">
        <v>30</v>
      </c>
      <c r="C36" s="152" t="s">
        <v>99</v>
      </c>
      <c r="D36" s="153"/>
      <c r="E36" s="179"/>
      <c r="F36" s="156"/>
      <c r="G36" s="156"/>
      <c r="H36" s="157" t="s">
        <v>31</v>
      </c>
      <c r="I36" s="158"/>
      <c r="J36" s="309">
        <f>+I37</f>
        <v>0.74249999999999994</v>
      </c>
      <c r="K36" s="160">
        <v>343051</v>
      </c>
      <c r="L36" s="160">
        <v>262054</v>
      </c>
      <c r="M36" s="301">
        <f>+K36+L36*J36</f>
        <v>537626.09499999997</v>
      </c>
      <c r="N36" s="301">
        <f>+M36*'COSTOS INDIVIDUALES'!$J$8</f>
        <v>795732.96396938886</v>
      </c>
      <c r="O36" s="301">
        <f>+M36*'COSTOS INDIVIDUALES'!$J$9</f>
        <v>142470.91517499994</v>
      </c>
      <c r="P36" s="160">
        <f>+K36*'COSTOS INDIVIDUALES'!$J$8*J36</f>
        <v>377000.70036467846</v>
      </c>
      <c r="Q36" s="160">
        <f>+L36*'COSTOS INDIVIDUALES'!$J$8*J36</f>
        <v>287987.91297318897</v>
      </c>
      <c r="R36" s="160">
        <f>+P36+Q36</f>
        <v>664988.61333786743</v>
      </c>
      <c r="S36" s="161"/>
    </row>
    <row r="37" spans="1:19" ht="17.399999999999999" hidden="1" thickTop="1" thickBot="1" x14ac:dyDescent="0.4">
      <c r="A37" s="316"/>
      <c r="B37" s="151"/>
      <c r="C37" s="152" t="s">
        <v>370</v>
      </c>
      <c r="D37" s="153">
        <f>+D35+D33</f>
        <v>11</v>
      </c>
      <c r="E37" s="179">
        <v>0.6</v>
      </c>
      <c r="F37" s="155">
        <v>0.45</v>
      </c>
      <c r="G37" s="156">
        <v>0.25</v>
      </c>
      <c r="H37" s="181"/>
      <c r="I37" s="177">
        <f>+D37*E37*F37*G37</f>
        <v>0.74249999999999994</v>
      </c>
      <c r="J37" s="159"/>
      <c r="K37" s="160"/>
      <c r="L37" s="160"/>
      <c r="M37" s="159"/>
      <c r="N37" s="159"/>
      <c r="O37" s="159"/>
      <c r="P37" s="159"/>
      <c r="Q37" s="159"/>
      <c r="R37" s="160"/>
      <c r="S37" s="161"/>
    </row>
    <row r="38" spans="1:19" ht="17.399999999999999" thickTop="1" thickBot="1" x14ac:dyDescent="0.4">
      <c r="A38" s="316"/>
      <c r="B38" s="151" t="s">
        <v>114</v>
      </c>
      <c r="C38" s="152" t="s">
        <v>100</v>
      </c>
      <c r="D38" s="153"/>
      <c r="E38" s="179"/>
      <c r="F38" s="156"/>
      <c r="G38" s="156"/>
      <c r="H38" s="157" t="s">
        <v>31</v>
      </c>
      <c r="I38" s="158"/>
      <c r="J38" s="309">
        <f>SUM(I39:I42)</f>
        <v>2.3585000000000003</v>
      </c>
      <c r="K38" s="160">
        <v>250438</v>
      </c>
      <c r="L38" s="160">
        <v>322611</v>
      </c>
      <c r="M38" s="301">
        <f>+K38+L38*J38</f>
        <v>1011316.0435</v>
      </c>
      <c r="N38" s="301">
        <f>+M38*'COSTOS INDIVIDUALES'!$J$8</f>
        <v>1496834.9198229497</v>
      </c>
      <c r="O38" s="301">
        <f>+M38*'COSTOS INDIVIDUALES'!$J$9</f>
        <v>267998.75152749993</v>
      </c>
      <c r="P38" s="160">
        <f>+K38*'COSTOS INDIVIDUALES'!$J$8*J38</f>
        <v>874224.78876158269</v>
      </c>
      <c r="Q38" s="160">
        <f>+L38*'COSTOS INDIVIDUALES'!$J$8*J38</f>
        <v>1126165.0920673497</v>
      </c>
      <c r="R38" s="160">
        <f>+P38+Q38</f>
        <v>2000389.8808289324</v>
      </c>
      <c r="S38" s="161"/>
    </row>
    <row r="39" spans="1:19" ht="17.399999999999999" hidden="1" thickTop="1" thickBot="1" x14ac:dyDescent="0.4">
      <c r="A39" s="316"/>
      <c r="B39" s="151"/>
      <c r="C39" s="152" t="s">
        <v>40</v>
      </c>
      <c r="D39" s="153">
        <v>1</v>
      </c>
      <c r="E39" s="179">
        <v>0.2</v>
      </c>
      <c r="F39" s="180">
        <v>2.46</v>
      </c>
      <c r="G39" s="156">
        <v>0.25</v>
      </c>
      <c r="H39" s="181"/>
      <c r="I39" s="177">
        <f>+D39*E39*F39*G39</f>
        <v>0.123</v>
      </c>
      <c r="J39" s="159"/>
      <c r="K39" s="160"/>
      <c r="L39" s="160"/>
      <c r="M39" s="159"/>
      <c r="N39" s="159"/>
      <c r="O39" s="159"/>
      <c r="P39" s="159"/>
      <c r="Q39" s="159"/>
      <c r="R39" s="160"/>
      <c r="S39" s="161"/>
    </row>
    <row r="40" spans="1:19" ht="17.399999999999999" hidden="1" thickTop="1" thickBot="1" x14ac:dyDescent="0.4">
      <c r="A40" s="316"/>
      <c r="B40" s="151"/>
      <c r="C40" s="152" t="s">
        <v>14</v>
      </c>
      <c r="D40" s="153">
        <v>1</v>
      </c>
      <c r="E40" s="179">
        <v>0.2</v>
      </c>
      <c r="F40" s="180">
        <f>12.53-(0.35*4)</f>
        <v>11.129999999999999</v>
      </c>
      <c r="G40" s="156">
        <v>0.25</v>
      </c>
      <c r="H40" s="181"/>
      <c r="I40" s="177">
        <f>+D40*E40*F40*G40</f>
        <v>0.55649999999999999</v>
      </c>
      <c r="J40" s="159"/>
      <c r="K40" s="160"/>
      <c r="L40" s="160"/>
      <c r="M40" s="159"/>
      <c r="N40" s="159"/>
      <c r="O40" s="159"/>
      <c r="P40" s="159"/>
      <c r="Q40" s="159"/>
      <c r="R40" s="160"/>
      <c r="S40" s="161"/>
    </row>
    <row r="41" spans="1:19" ht="17.399999999999999" hidden="1" thickTop="1" thickBot="1" x14ac:dyDescent="0.4">
      <c r="A41" s="316"/>
      <c r="B41" s="151"/>
      <c r="C41" s="152" t="s">
        <v>31</v>
      </c>
      <c r="D41" s="153">
        <v>3</v>
      </c>
      <c r="E41" s="179">
        <v>0.2</v>
      </c>
      <c r="F41" s="180">
        <f>10.31-(0.35*3)</f>
        <v>9.2600000000000016</v>
      </c>
      <c r="G41" s="156">
        <v>0.25</v>
      </c>
      <c r="H41" s="181"/>
      <c r="I41" s="177">
        <f>+D41*E41*F41*G41</f>
        <v>1.3890000000000005</v>
      </c>
      <c r="J41" s="159"/>
      <c r="K41" s="160"/>
      <c r="L41" s="160"/>
      <c r="M41" s="159"/>
      <c r="N41" s="159"/>
      <c r="O41" s="159"/>
      <c r="P41" s="159"/>
      <c r="Q41" s="159"/>
      <c r="R41" s="160"/>
      <c r="S41" s="161"/>
    </row>
    <row r="42" spans="1:19" ht="17.399999999999999" hidden="1" thickTop="1" thickBot="1" x14ac:dyDescent="0.4">
      <c r="A42" s="316"/>
      <c r="B42" s="151"/>
      <c r="C42" s="152" t="s">
        <v>41</v>
      </c>
      <c r="D42" s="153">
        <v>1</v>
      </c>
      <c r="E42" s="179">
        <v>0.2</v>
      </c>
      <c r="F42" s="180">
        <v>5.8</v>
      </c>
      <c r="G42" s="156">
        <v>0.25</v>
      </c>
      <c r="H42" s="181"/>
      <c r="I42" s="177">
        <f>+D42*E42*F42*G42</f>
        <v>0.28999999999999998</v>
      </c>
      <c r="J42" s="159"/>
      <c r="K42" s="160"/>
      <c r="L42" s="160"/>
      <c r="M42" s="159"/>
      <c r="N42" s="159"/>
      <c r="O42" s="159"/>
      <c r="P42" s="159"/>
      <c r="Q42" s="159"/>
      <c r="R42" s="160"/>
      <c r="S42" s="161"/>
    </row>
    <row r="43" spans="1:19" ht="17.399999999999999" thickTop="1" thickBot="1" x14ac:dyDescent="0.4">
      <c r="A43" s="316"/>
      <c r="B43" s="151" t="s">
        <v>115</v>
      </c>
      <c r="C43" s="152" t="s">
        <v>371</v>
      </c>
      <c r="D43" s="153"/>
      <c r="E43" s="156"/>
      <c r="F43" s="156"/>
      <c r="G43" s="156"/>
      <c r="H43" s="157" t="s">
        <v>31</v>
      </c>
      <c r="I43" s="158"/>
      <c r="J43" s="309">
        <f>+I44</f>
        <v>2.6400000000000006</v>
      </c>
      <c r="K43" s="160">
        <v>343051</v>
      </c>
      <c r="L43" s="160">
        <v>262054</v>
      </c>
      <c r="M43" s="301">
        <f>+K43+L43*J43</f>
        <v>1034873.5600000002</v>
      </c>
      <c r="N43" s="301">
        <f>+M43*'COSTOS INDIVIDUALES'!$J$8</f>
        <v>1531702.0749008721</v>
      </c>
      <c r="O43" s="301">
        <f>+M43*'COSTOS INDIVIDUALES'!$J$9</f>
        <v>274241.49339999992</v>
      </c>
      <c r="P43" s="160">
        <f>+K43*'COSTOS INDIVIDUALES'!$J$8*J43</f>
        <v>1340446.9346299681</v>
      </c>
      <c r="Q43" s="160">
        <f>+L43*'COSTOS INDIVIDUALES'!$J$8*J43</f>
        <v>1023957.0239046721</v>
      </c>
      <c r="R43" s="160">
        <f>+P43+Q43</f>
        <v>2364403.9585346403</v>
      </c>
      <c r="S43" s="161"/>
    </row>
    <row r="44" spans="1:19" ht="17.399999999999999" hidden="1" thickTop="1" thickBot="1" x14ac:dyDescent="0.4">
      <c r="A44" s="316"/>
      <c r="B44" s="151"/>
      <c r="C44" s="152" t="s">
        <v>169</v>
      </c>
      <c r="D44" s="153">
        <v>11</v>
      </c>
      <c r="E44" s="156">
        <v>0.2</v>
      </c>
      <c r="F44" s="156">
        <v>0.4</v>
      </c>
      <c r="G44" s="156">
        <v>3</v>
      </c>
      <c r="H44" s="181"/>
      <c r="I44" s="177">
        <f>+D44*E44*F44*G44</f>
        <v>2.6400000000000006</v>
      </c>
      <c r="J44" s="159"/>
      <c r="K44" s="160"/>
      <c r="L44" s="160"/>
      <c r="M44" s="159"/>
      <c r="N44" s="159"/>
      <c r="O44" s="159"/>
      <c r="P44" s="159"/>
      <c r="Q44" s="159"/>
      <c r="R44" s="160"/>
      <c r="S44" s="161"/>
    </row>
    <row r="45" spans="1:19" ht="17.399999999999999" thickTop="1" thickBot="1" x14ac:dyDescent="0.4">
      <c r="A45" s="316"/>
      <c r="B45" s="151" t="s">
        <v>116</v>
      </c>
      <c r="C45" s="152" t="s">
        <v>372</v>
      </c>
      <c r="D45" s="153"/>
      <c r="E45" s="156"/>
      <c r="F45" s="156"/>
      <c r="G45" s="156"/>
      <c r="H45" s="157" t="s">
        <v>31</v>
      </c>
      <c r="I45" s="158"/>
      <c r="J45" s="309">
        <f>+I46</f>
        <v>1.1440000000000001</v>
      </c>
      <c r="K45" s="160">
        <v>343051</v>
      </c>
      <c r="L45" s="160">
        <v>262054</v>
      </c>
      <c r="M45" s="301">
        <f>+K45+L45*J45</f>
        <v>642840.77600000007</v>
      </c>
      <c r="N45" s="301">
        <f>+M45*'COSTOS INDIVIDUALES'!$J$8</f>
        <v>951459.76135489123</v>
      </c>
      <c r="O45" s="301">
        <f>+M45*'COSTOS INDIVIDUALES'!$J$9</f>
        <v>170352.80563999995</v>
      </c>
      <c r="P45" s="160">
        <f>+K45*'COSTOS INDIVIDUALES'!$J$8*J45</f>
        <v>580860.33833965275</v>
      </c>
      <c r="Q45" s="160">
        <f>+L45*'COSTOS INDIVIDUALES'!$J$8*J45</f>
        <v>443714.71035869123</v>
      </c>
      <c r="R45" s="160">
        <f>+P45+Q45</f>
        <v>1024575.048698344</v>
      </c>
      <c r="S45" s="161"/>
    </row>
    <row r="46" spans="1:19" ht="17.399999999999999" hidden="1" thickTop="1" thickBot="1" x14ac:dyDescent="0.4">
      <c r="A46" s="316"/>
      <c r="B46" s="151"/>
      <c r="C46" s="152" t="s">
        <v>169</v>
      </c>
      <c r="D46" s="153">
        <v>11</v>
      </c>
      <c r="E46" s="156">
        <v>0.2</v>
      </c>
      <c r="F46" s="156">
        <v>0.2</v>
      </c>
      <c r="G46" s="156">
        <v>2.6</v>
      </c>
      <c r="H46" s="181"/>
      <c r="I46" s="177">
        <f>+D46*E46*F46*G46</f>
        <v>1.1440000000000001</v>
      </c>
      <c r="J46" s="159"/>
      <c r="K46" s="160"/>
      <c r="L46" s="160"/>
      <c r="M46" s="159"/>
      <c r="N46" s="159"/>
      <c r="O46" s="159"/>
      <c r="P46" s="159"/>
      <c r="Q46" s="159"/>
      <c r="R46" s="160"/>
      <c r="S46" s="161"/>
    </row>
    <row r="47" spans="1:19" ht="17.399999999999999" thickTop="1" thickBot="1" x14ac:dyDescent="0.4">
      <c r="A47" s="316"/>
      <c r="B47" s="151" t="s">
        <v>117</v>
      </c>
      <c r="C47" s="152" t="s">
        <v>373</v>
      </c>
      <c r="D47" s="153"/>
      <c r="E47" s="156"/>
      <c r="F47" s="156"/>
      <c r="G47" s="156"/>
      <c r="H47" s="157" t="s">
        <v>31</v>
      </c>
      <c r="I47" s="158"/>
      <c r="J47" s="309">
        <f>+I48</f>
        <v>0.35200000000000009</v>
      </c>
      <c r="K47" s="160">
        <v>343051</v>
      </c>
      <c r="L47" s="160">
        <v>262054</v>
      </c>
      <c r="M47" s="301">
        <f>+K47+L47*J47</f>
        <v>435294.00800000003</v>
      </c>
      <c r="N47" s="301">
        <f>+M47*'COSTOS INDIVIDUALES'!$J$8</f>
        <v>644272.65418348962</v>
      </c>
      <c r="O47" s="301">
        <f>+M47*'COSTOS INDIVIDUALES'!$J$9</f>
        <v>115352.91211999996</v>
      </c>
      <c r="P47" s="160">
        <f>+K47*'COSTOS INDIVIDUALES'!$J$8*J47</f>
        <v>178726.25795066243</v>
      </c>
      <c r="Q47" s="160">
        <f>+L47*'COSTOS INDIVIDUALES'!$J$8*J47</f>
        <v>136527.60318728961</v>
      </c>
      <c r="R47" s="160">
        <f>+P47+Q47</f>
        <v>315253.86113795207</v>
      </c>
      <c r="S47" s="161"/>
    </row>
    <row r="48" spans="1:19" ht="17.399999999999999" hidden="1" thickTop="1" thickBot="1" x14ac:dyDescent="0.4">
      <c r="A48" s="316"/>
      <c r="B48" s="151"/>
      <c r="C48" s="152" t="s">
        <v>169</v>
      </c>
      <c r="D48" s="153">
        <v>4</v>
      </c>
      <c r="E48" s="156">
        <v>0.2</v>
      </c>
      <c r="F48" s="156">
        <v>0.2</v>
      </c>
      <c r="G48" s="156">
        <v>2.2000000000000002</v>
      </c>
      <c r="H48" s="181"/>
      <c r="I48" s="177">
        <f>+D48*E48*F48*G48</f>
        <v>0.35200000000000009</v>
      </c>
      <c r="J48" s="159"/>
      <c r="K48" s="160"/>
      <c r="L48" s="160"/>
      <c r="M48" s="159"/>
      <c r="N48" s="159"/>
      <c r="O48" s="159"/>
      <c r="P48" s="159"/>
      <c r="Q48" s="159"/>
      <c r="R48" s="160"/>
      <c r="S48" s="161"/>
    </row>
    <row r="49" spans="1:19" ht="17.399999999999999" thickTop="1" thickBot="1" x14ac:dyDescent="0.4">
      <c r="A49" s="316"/>
      <c r="B49" s="151" t="s">
        <v>430</v>
      </c>
      <c r="C49" s="152" t="s">
        <v>358</v>
      </c>
      <c r="D49" s="153"/>
      <c r="E49" s="156"/>
      <c r="F49" s="156"/>
      <c r="G49" s="156"/>
      <c r="H49" s="157" t="s">
        <v>31</v>
      </c>
      <c r="I49" s="158"/>
      <c r="J49" s="309">
        <f>SUM(I50:I53)</f>
        <v>5.5035000000000007</v>
      </c>
      <c r="K49" s="160">
        <v>375102</v>
      </c>
      <c r="L49" s="160">
        <v>432463</v>
      </c>
      <c r="M49" s="301">
        <f>+K49+L49*J49</f>
        <v>2755162.1205000002</v>
      </c>
      <c r="N49" s="301">
        <f>+M49*'COSTOS INDIVIDUALES'!$J$8</f>
        <v>4077877.4333147872</v>
      </c>
      <c r="O49" s="301">
        <f>+M49*'COSTOS INDIVIDUALES'!$J$9</f>
        <v>730117.96193249978</v>
      </c>
      <c r="P49" s="160">
        <f>+K49*'COSTOS INDIVIDUALES'!$J$8*J49</f>
        <v>3055451.2573864735</v>
      </c>
      <c r="Q49" s="160">
        <f>+L49*'COSTOS INDIVIDUALES'!$J$8*J49</f>
        <v>3522694.1395223872</v>
      </c>
      <c r="R49" s="160">
        <f>+P49+Q49</f>
        <v>6578145.3969088607</v>
      </c>
      <c r="S49" s="161"/>
    </row>
    <row r="50" spans="1:19" ht="17.399999999999999" hidden="1" thickTop="1" thickBot="1" x14ac:dyDescent="0.4">
      <c r="A50" s="316"/>
      <c r="B50" s="151"/>
      <c r="C50" s="152" t="s">
        <v>359</v>
      </c>
      <c r="D50" s="153">
        <v>3</v>
      </c>
      <c r="E50" s="179">
        <v>0.2</v>
      </c>
      <c r="F50" s="180">
        <v>10.45</v>
      </c>
      <c r="G50" s="156">
        <v>0.45</v>
      </c>
      <c r="H50" s="181"/>
      <c r="I50" s="177">
        <f>+D50*E50*F50*G50</f>
        <v>2.8215000000000003</v>
      </c>
      <c r="J50" s="159"/>
      <c r="K50" s="160"/>
      <c r="L50" s="160"/>
      <c r="M50" s="159"/>
      <c r="N50" s="159"/>
      <c r="O50" s="159"/>
      <c r="P50" s="159"/>
      <c r="Q50" s="159"/>
      <c r="R50" s="160"/>
      <c r="S50" s="161"/>
    </row>
    <row r="51" spans="1:19" ht="17.399999999999999" hidden="1" thickTop="1" thickBot="1" x14ac:dyDescent="0.4">
      <c r="A51" s="316"/>
      <c r="B51" s="151"/>
      <c r="C51" s="152" t="s">
        <v>360</v>
      </c>
      <c r="D51" s="153">
        <v>1</v>
      </c>
      <c r="E51" s="179">
        <v>0.2</v>
      </c>
      <c r="F51" s="180">
        <v>4.6500000000000004</v>
      </c>
      <c r="G51" s="156">
        <v>0.3</v>
      </c>
      <c r="H51" s="181"/>
      <c r="I51" s="177">
        <f>+D51*E51*F51*G51</f>
        <v>0.27900000000000003</v>
      </c>
      <c r="J51" s="159"/>
      <c r="K51" s="160"/>
      <c r="L51" s="160"/>
      <c r="M51" s="159"/>
      <c r="N51" s="159"/>
      <c r="O51" s="159"/>
      <c r="P51" s="159"/>
      <c r="Q51" s="159"/>
      <c r="R51" s="160"/>
      <c r="S51" s="161"/>
    </row>
    <row r="52" spans="1:19" ht="17.399999999999999" hidden="1" thickTop="1" thickBot="1" x14ac:dyDescent="0.4">
      <c r="A52" s="316"/>
      <c r="B52" s="151"/>
      <c r="C52" s="152" t="s">
        <v>374</v>
      </c>
      <c r="D52" s="153">
        <v>3</v>
      </c>
      <c r="E52" s="179">
        <v>0.2</v>
      </c>
      <c r="F52" s="180">
        <v>6.6</v>
      </c>
      <c r="G52" s="156">
        <v>0.45</v>
      </c>
      <c r="H52" s="181"/>
      <c r="I52" s="177">
        <f>+D52*E52*F52*G52</f>
        <v>1.7820000000000003</v>
      </c>
      <c r="J52" s="159"/>
      <c r="K52" s="160"/>
      <c r="L52" s="160"/>
      <c r="M52" s="159"/>
      <c r="N52" s="159"/>
      <c r="O52" s="159"/>
      <c r="P52" s="159"/>
      <c r="Q52" s="159"/>
      <c r="R52" s="160"/>
      <c r="S52" s="161"/>
    </row>
    <row r="53" spans="1:19" ht="17.399999999999999" hidden="1" thickTop="1" thickBot="1" x14ac:dyDescent="0.4">
      <c r="A53" s="316"/>
      <c r="B53" s="151"/>
      <c r="C53" s="152" t="s">
        <v>361</v>
      </c>
      <c r="D53" s="153">
        <v>3</v>
      </c>
      <c r="E53" s="179">
        <v>0.2</v>
      </c>
      <c r="F53" s="180">
        <v>2.2999999999999998</v>
      </c>
      <c r="G53" s="156">
        <v>0.45</v>
      </c>
      <c r="H53" s="181"/>
      <c r="I53" s="177">
        <f>+D53*E53*F53*G53</f>
        <v>0.62100000000000011</v>
      </c>
      <c r="J53" s="159"/>
      <c r="K53" s="160"/>
      <c r="L53" s="160"/>
      <c r="M53" s="159"/>
      <c r="N53" s="159"/>
      <c r="O53" s="159"/>
      <c r="P53" s="159"/>
      <c r="Q53" s="159"/>
      <c r="R53" s="160"/>
      <c r="S53" s="161"/>
    </row>
    <row r="54" spans="1:19" ht="17.399999999999999" thickTop="1" thickBot="1" x14ac:dyDescent="0.4">
      <c r="A54" s="316"/>
      <c r="B54" s="151" t="s">
        <v>431</v>
      </c>
      <c r="C54" s="152" t="s">
        <v>362</v>
      </c>
      <c r="D54" s="153"/>
      <c r="E54" s="156"/>
      <c r="F54" s="156"/>
      <c r="G54" s="156"/>
      <c r="H54" s="157" t="s">
        <v>31</v>
      </c>
      <c r="I54" s="158"/>
      <c r="J54" s="309">
        <f>SUM(I55:I58)</f>
        <v>0.39671999999999996</v>
      </c>
      <c r="K54" s="160">
        <v>375102</v>
      </c>
      <c r="L54" s="160">
        <v>432463</v>
      </c>
      <c r="M54" s="301">
        <f>+K54+L54*J54</f>
        <v>546668.72135999997</v>
      </c>
      <c r="N54" s="301">
        <f>+M54*'COSTOS INDIVIDUALES'!$J$8</f>
        <v>809116.83045658108</v>
      </c>
      <c r="O54" s="301">
        <f>+M54*'COSTOS INDIVIDUALES'!$J$9</f>
        <v>144867.21116039995</v>
      </c>
      <c r="P54" s="160">
        <f>+K54*'COSTOS INDIVIDUALES'!$J$8*J54</f>
        <v>220252.31631332089</v>
      </c>
      <c r="Q54" s="160">
        <f>+L54*'COSTOS INDIVIDUALES'!$J$8*J54</f>
        <v>253933.53666418119</v>
      </c>
      <c r="R54" s="160">
        <f>+P54+Q54</f>
        <v>474185.85297750204</v>
      </c>
      <c r="S54" s="161"/>
    </row>
    <row r="55" spans="1:19" ht="17.399999999999999" hidden="1" thickTop="1" thickBot="1" x14ac:dyDescent="0.4">
      <c r="A55" s="316"/>
      <c r="B55" s="151"/>
      <c r="C55" s="152" t="s">
        <v>363</v>
      </c>
      <c r="D55" s="153">
        <v>1</v>
      </c>
      <c r="E55" s="179">
        <v>0.12</v>
      </c>
      <c r="F55" s="180">
        <v>4.62</v>
      </c>
      <c r="G55" s="156">
        <v>0.15</v>
      </c>
      <c r="H55" s="181"/>
      <c r="I55" s="177">
        <f>+D55*E55*F55*G55</f>
        <v>8.3159999999999998E-2</v>
      </c>
      <c r="J55" s="159"/>
      <c r="K55" s="160"/>
      <c r="L55" s="160"/>
      <c r="M55" s="159"/>
      <c r="N55" s="159"/>
      <c r="O55" s="159"/>
      <c r="P55" s="159"/>
      <c r="Q55" s="159"/>
      <c r="R55" s="160"/>
      <c r="S55" s="161"/>
    </row>
    <row r="56" spans="1:19" ht="17.399999999999999" hidden="1" thickTop="1" thickBot="1" x14ac:dyDescent="0.4">
      <c r="A56" s="316"/>
      <c r="B56" s="151"/>
      <c r="C56" s="152" t="s">
        <v>364</v>
      </c>
      <c r="D56" s="153">
        <v>2</v>
      </c>
      <c r="E56" s="179">
        <v>0.12</v>
      </c>
      <c r="F56" s="180">
        <v>3.45</v>
      </c>
      <c r="G56" s="156">
        <v>0.15</v>
      </c>
      <c r="H56" s="181"/>
      <c r="I56" s="177">
        <f>+D56*E56*F56*G56</f>
        <v>0.12419999999999999</v>
      </c>
      <c r="J56" s="159"/>
      <c r="K56" s="160"/>
      <c r="L56" s="160"/>
      <c r="M56" s="159"/>
      <c r="N56" s="159"/>
      <c r="O56" s="159"/>
      <c r="P56" s="159"/>
      <c r="Q56" s="159"/>
      <c r="R56" s="160"/>
      <c r="S56" s="161"/>
    </row>
    <row r="57" spans="1:19" ht="17.399999999999999" hidden="1" thickTop="1" thickBot="1" x14ac:dyDescent="0.4">
      <c r="A57" s="316"/>
      <c r="B57" s="151"/>
      <c r="C57" s="152" t="s">
        <v>365</v>
      </c>
      <c r="D57" s="153">
        <v>2</v>
      </c>
      <c r="E57" s="179">
        <v>0.12</v>
      </c>
      <c r="F57" s="180">
        <v>2.36</v>
      </c>
      <c r="G57" s="156">
        <v>0.15</v>
      </c>
      <c r="H57" s="181"/>
      <c r="I57" s="177">
        <f>+D57*E57*F57*G57</f>
        <v>8.495999999999998E-2</v>
      </c>
      <c r="J57" s="159"/>
      <c r="K57" s="160"/>
      <c r="L57" s="160"/>
      <c r="M57" s="159"/>
      <c r="N57" s="159"/>
      <c r="O57" s="159"/>
      <c r="P57" s="159"/>
      <c r="Q57" s="159"/>
      <c r="R57" s="160"/>
      <c r="S57" s="161"/>
    </row>
    <row r="58" spans="1:19" ht="17.399999999999999" hidden="1" thickTop="1" thickBot="1" x14ac:dyDescent="0.4">
      <c r="A58" s="316"/>
      <c r="B58" s="151"/>
      <c r="C58" s="152" t="s">
        <v>366</v>
      </c>
      <c r="D58" s="153">
        <v>1</v>
      </c>
      <c r="E58" s="179">
        <v>0.12</v>
      </c>
      <c r="F58" s="180">
        <v>5.8</v>
      </c>
      <c r="G58" s="156">
        <v>0.15</v>
      </c>
      <c r="H58" s="181"/>
      <c r="I58" s="177">
        <f>+D58*E58*F58*G58</f>
        <v>0.10439999999999999</v>
      </c>
      <c r="J58" s="159"/>
      <c r="K58" s="160"/>
      <c r="L58" s="160"/>
      <c r="M58" s="159"/>
      <c r="N58" s="159"/>
      <c r="O58" s="159"/>
      <c r="P58" s="159"/>
      <c r="Q58" s="159"/>
      <c r="R58" s="160"/>
      <c r="S58" s="161"/>
    </row>
    <row r="59" spans="1:19" ht="17.399999999999999" thickTop="1" thickBot="1" x14ac:dyDescent="0.4">
      <c r="A59" s="316"/>
      <c r="B59" s="151" t="s">
        <v>432</v>
      </c>
      <c r="C59" s="152" t="s">
        <v>367</v>
      </c>
      <c r="D59" s="153"/>
      <c r="E59" s="156"/>
      <c r="F59" s="156"/>
      <c r="G59" s="156"/>
      <c r="H59" s="157" t="s">
        <v>31</v>
      </c>
      <c r="I59" s="158"/>
      <c r="J59" s="309">
        <f>SUM(I60:I63)</f>
        <v>1.0871999999999999</v>
      </c>
      <c r="K59" s="160">
        <v>375102</v>
      </c>
      <c r="L59" s="160">
        <v>432463</v>
      </c>
      <c r="M59" s="301">
        <f>+K59+L59*J59</f>
        <v>845275.77359999996</v>
      </c>
      <c r="N59" s="301">
        <f>+M59*'COSTOS INDIVIDUALES'!$J$8</f>
        <v>1251081.0076996842</v>
      </c>
      <c r="O59" s="301">
        <f>+M59*'COSTOS INDIVIDUALES'!$J$9</f>
        <v>223998.0800039999</v>
      </c>
      <c r="P59" s="160">
        <f>+K59*'COSTOS INDIVIDUALES'!$J$8*J59</f>
        <v>603595.27701109718</v>
      </c>
      <c r="Q59" s="160">
        <f>+L59*'COSTOS INDIVIDUALES'!$J$8*J59</f>
        <v>695897.7139072842</v>
      </c>
      <c r="R59" s="160">
        <f>+P59+Q59</f>
        <v>1299492.9909183814</v>
      </c>
      <c r="S59" s="161"/>
    </row>
    <row r="60" spans="1:19" ht="17.399999999999999" hidden="1" thickTop="1" thickBot="1" x14ac:dyDescent="0.4">
      <c r="A60" s="316"/>
      <c r="B60" s="151"/>
      <c r="C60" s="152" t="s">
        <v>359</v>
      </c>
      <c r="D60" s="153">
        <v>3</v>
      </c>
      <c r="E60" s="179">
        <v>0.12</v>
      </c>
      <c r="F60" s="180">
        <v>10.45</v>
      </c>
      <c r="G60" s="156">
        <v>0.15</v>
      </c>
      <c r="H60" s="181"/>
      <c r="I60" s="177">
        <f>+D60*E60*F60*G60</f>
        <v>0.56429999999999991</v>
      </c>
      <c r="J60" s="159"/>
      <c r="K60" s="160"/>
      <c r="L60" s="160"/>
      <c r="M60" s="159"/>
      <c r="N60" s="159"/>
      <c r="O60" s="159"/>
      <c r="P60" s="159"/>
      <c r="Q60" s="159"/>
      <c r="R60" s="160"/>
      <c r="S60" s="161"/>
    </row>
    <row r="61" spans="1:19" ht="17.399999999999999" hidden="1" thickTop="1" thickBot="1" x14ac:dyDescent="0.4">
      <c r="A61" s="316"/>
      <c r="B61" s="151"/>
      <c r="C61" s="152" t="s">
        <v>360</v>
      </c>
      <c r="D61" s="153">
        <v>1</v>
      </c>
      <c r="E61" s="179">
        <v>0.12</v>
      </c>
      <c r="F61" s="180">
        <v>4.6500000000000004</v>
      </c>
      <c r="G61" s="156">
        <v>0.15</v>
      </c>
      <c r="H61" s="181"/>
      <c r="I61" s="177">
        <f>+D61*E61*F61*G61</f>
        <v>8.3700000000000011E-2</v>
      </c>
      <c r="J61" s="159"/>
      <c r="K61" s="160"/>
      <c r="L61" s="160"/>
      <c r="M61" s="159"/>
      <c r="N61" s="159"/>
      <c r="O61" s="159"/>
      <c r="P61" s="159"/>
      <c r="Q61" s="159"/>
      <c r="R61" s="160"/>
      <c r="S61" s="161"/>
    </row>
    <row r="62" spans="1:19" ht="17.399999999999999" hidden="1" thickTop="1" thickBot="1" x14ac:dyDescent="0.4">
      <c r="A62" s="316"/>
      <c r="B62" s="151"/>
      <c r="C62" s="152" t="s">
        <v>374</v>
      </c>
      <c r="D62" s="153">
        <v>3</v>
      </c>
      <c r="E62" s="179">
        <v>0.12</v>
      </c>
      <c r="F62" s="180">
        <v>6.6</v>
      </c>
      <c r="G62" s="156">
        <v>0.15</v>
      </c>
      <c r="H62" s="181"/>
      <c r="I62" s="177">
        <f>+D62*E62*F62*G62</f>
        <v>0.35639999999999999</v>
      </c>
      <c r="J62" s="159"/>
      <c r="K62" s="160"/>
      <c r="L62" s="160"/>
      <c r="M62" s="159"/>
      <c r="N62" s="159"/>
      <c r="O62" s="159"/>
      <c r="P62" s="159"/>
      <c r="Q62" s="159"/>
      <c r="R62" s="160"/>
      <c r="S62" s="161"/>
    </row>
    <row r="63" spans="1:19" ht="17.399999999999999" hidden="1" thickTop="1" thickBot="1" x14ac:dyDescent="0.4">
      <c r="A63" s="316"/>
      <c r="B63" s="151"/>
      <c r="C63" s="152" t="s">
        <v>361</v>
      </c>
      <c r="D63" s="153">
        <v>2</v>
      </c>
      <c r="E63" s="179">
        <v>0.12</v>
      </c>
      <c r="F63" s="180">
        <v>2.2999999999999998</v>
      </c>
      <c r="G63" s="156">
        <v>0.15</v>
      </c>
      <c r="H63" s="181"/>
      <c r="I63" s="177">
        <f>+D63*E63*F63*G63</f>
        <v>8.2799999999999985E-2</v>
      </c>
      <c r="J63" s="159"/>
      <c r="K63" s="160"/>
      <c r="L63" s="160"/>
      <c r="M63" s="159"/>
      <c r="N63" s="159"/>
      <c r="O63" s="159"/>
      <c r="P63" s="159"/>
      <c r="Q63" s="159"/>
      <c r="R63" s="160"/>
      <c r="S63" s="161"/>
    </row>
    <row r="64" spans="1:19" ht="17.399999999999999" thickTop="1" thickBot="1" x14ac:dyDescent="0.4">
      <c r="A64" s="316"/>
      <c r="B64" s="151" t="s">
        <v>433</v>
      </c>
      <c r="C64" s="152" t="s">
        <v>368</v>
      </c>
      <c r="D64" s="153"/>
      <c r="E64" s="156"/>
      <c r="F64" s="156"/>
      <c r="G64" s="156"/>
      <c r="H64" s="157" t="s">
        <v>31</v>
      </c>
      <c r="I64" s="158"/>
      <c r="J64" s="309">
        <f>SUM(I65:I66)</f>
        <v>0.30978</v>
      </c>
      <c r="K64" s="160">
        <v>375102</v>
      </c>
      <c r="L64" s="160">
        <v>432463</v>
      </c>
      <c r="M64" s="301">
        <f>+K64+L64*J64</f>
        <v>509070.38814</v>
      </c>
      <c r="N64" s="301">
        <f>+M64*'COSTOS INDIVIDUALES'!$J$8</f>
        <v>753468.05631465756</v>
      </c>
      <c r="O64" s="301">
        <f>+M64*'COSTOS INDIVIDUALES'!$J$9</f>
        <v>134903.65285709995</v>
      </c>
      <c r="P64" s="160">
        <f>+K64*'COSTOS INDIVIDUALES'!$J$8*J64</f>
        <v>171984.68075100964</v>
      </c>
      <c r="Q64" s="160">
        <f>+L64*'COSTOS INDIVIDUALES'!$J$8*J64</f>
        <v>198284.76252225766</v>
      </c>
      <c r="R64" s="160">
        <f>+P64+Q64</f>
        <v>370269.4432732673</v>
      </c>
      <c r="S64" s="161"/>
    </row>
    <row r="65" spans="1:19" ht="17.399999999999999" hidden="1" thickTop="1" thickBot="1" x14ac:dyDescent="0.4">
      <c r="A65" s="316"/>
      <c r="B65" s="151"/>
      <c r="C65" s="152" t="s">
        <v>359</v>
      </c>
      <c r="D65" s="153">
        <v>3</v>
      </c>
      <c r="E65" s="179">
        <v>0.12</v>
      </c>
      <c r="F65" s="180">
        <v>4.03</v>
      </c>
      <c r="G65" s="156">
        <v>0.15</v>
      </c>
      <c r="H65" s="181"/>
      <c r="I65" s="177">
        <f>+D65*E65*F65*G65</f>
        <v>0.21762000000000001</v>
      </c>
      <c r="J65" s="159"/>
      <c r="K65" s="160"/>
      <c r="L65" s="160"/>
      <c r="M65" s="159"/>
      <c r="N65" s="159"/>
      <c r="O65" s="159"/>
      <c r="P65" s="159"/>
      <c r="Q65" s="159"/>
      <c r="R65" s="160"/>
      <c r="S65" s="161"/>
    </row>
    <row r="66" spans="1:19" ht="17.399999999999999" hidden="1" thickTop="1" thickBot="1" x14ac:dyDescent="0.4">
      <c r="A66" s="316"/>
      <c r="B66" s="151"/>
      <c r="C66" s="152" t="s">
        <v>360</v>
      </c>
      <c r="D66" s="153">
        <v>1</v>
      </c>
      <c r="E66" s="179">
        <v>0.12</v>
      </c>
      <c r="F66" s="180">
        <f>5.27-0.15</f>
        <v>5.1199999999999992</v>
      </c>
      <c r="G66" s="156">
        <v>0.15</v>
      </c>
      <c r="H66" s="181"/>
      <c r="I66" s="177">
        <f>+D66*E66*F66*G66</f>
        <v>9.2159999999999978E-2</v>
      </c>
      <c r="J66" s="159"/>
      <c r="K66" s="160"/>
      <c r="L66" s="160"/>
      <c r="M66" s="159"/>
      <c r="N66" s="159"/>
      <c r="O66" s="159"/>
      <c r="P66" s="159"/>
      <c r="Q66" s="159"/>
      <c r="R66" s="160"/>
      <c r="S66" s="161"/>
    </row>
    <row r="67" spans="1:19" ht="17.399999999999999" thickTop="1" thickBot="1" x14ac:dyDescent="0.4">
      <c r="A67" s="316"/>
      <c r="B67" s="151" t="s">
        <v>434</v>
      </c>
      <c r="C67" s="152" t="s">
        <v>368</v>
      </c>
      <c r="D67" s="153"/>
      <c r="E67" s="156"/>
      <c r="F67" s="156"/>
      <c r="G67" s="156"/>
      <c r="H67" s="157" t="s">
        <v>14</v>
      </c>
      <c r="I67" s="158"/>
      <c r="J67" s="309">
        <v>76.7</v>
      </c>
      <c r="K67" s="160">
        <v>33281</v>
      </c>
      <c r="L67" s="160">
        <v>13300</v>
      </c>
      <c r="M67" s="301">
        <f>+K67+L67*J67</f>
        <v>1053391</v>
      </c>
      <c r="N67" s="301">
        <f>+M67*'COSTOS INDIVIDUALES'!$J$8</f>
        <v>1559109.4823041998</v>
      </c>
      <c r="O67" s="301">
        <f>+M67*'COSTOS INDIVIDUALES'!$J$9</f>
        <v>279148.61499999987</v>
      </c>
      <c r="P67" s="160">
        <f>+K67*'COSTOS INDIVIDUALES'!$J$8*J67</f>
        <v>3778146.0346627398</v>
      </c>
      <c r="Q67" s="160">
        <f>+L67*'COSTOS INDIVIDUALES'!$J$8*J67</f>
        <v>1509850.733482</v>
      </c>
      <c r="R67" s="160">
        <f>+P67+Q67</f>
        <v>5287996.7681447398</v>
      </c>
      <c r="S67" s="161"/>
    </row>
    <row r="68" spans="1:19" ht="17.399999999999999" thickTop="1" thickBot="1" x14ac:dyDescent="0.4">
      <c r="A68" s="316"/>
      <c r="B68" s="151" t="s">
        <v>435</v>
      </c>
      <c r="C68" s="152" t="s">
        <v>369</v>
      </c>
      <c r="D68" s="153"/>
      <c r="E68" s="156"/>
      <c r="F68" s="156"/>
      <c r="G68" s="156"/>
      <c r="H68" s="157" t="s">
        <v>31</v>
      </c>
      <c r="I68" s="158"/>
      <c r="J68" s="309">
        <f>SUM(I69:I71)</f>
        <v>1.8029999999999999</v>
      </c>
      <c r="K68" s="160">
        <v>277071</v>
      </c>
      <c r="L68" s="160">
        <v>530900</v>
      </c>
      <c r="M68" s="301">
        <f>+K68+L68*J68</f>
        <v>1234283.7</v>
      </c>
      <c r="N68" s="301">
        <f>+M68*'COSTOS INDIVIDUALES'!$J$8</f>
        <v>1826846.2712549397</v>
      </c>
      <c r="O68" s="301">
        <f>+M68*'COSTOS INDIVIDUALES'!$J$9</f>
        <v>327085.18049999984</v>
      </c>
      <c r="P68" s="160">
        <f>+K68*'COSTOS INDIVIDUALES'!$J$8*J68</f>
        <v>739390.40122692054</v>
      </c>
      <c r="Q68" s="160">
        <f>+L68*'COSTOS INDIVIDUALES'!$J$8*J68</f>
        <v>1416757.3077347397</v>
      </c>
      <c r="R68" s="160">
        <f>+P68+Q68</f>
        <v>2156147.70896166</v>
      </c>
      <c r="S68" s="161"/>
    </row>
    <row r="69" spans="1:19" ht="17.399999999999999" hidden="1" thickTop="1" thickBot="1" x14ac:dyDescent="0.4">
      <c r="A69" s="316"/>
      <c r="B69" s="151"/>
      <c r="C69" s="152" t="s">
        <v>377</v>
      </c>
      <c r="D69" s="153">
        <v>2</v>
      </c>
      <c r="E69" s="179">
        <v>0.2</v>
      </c>
      <c r="F69" s="180">
        <v>2.21</v>
      </c>
      <c r="G69" s="156">
        <v>1</v>
      </c>
      <c r="H69" s="181"/>
      <c r="I69" s="177">
        <f>+D69*E69*F69*G69</f>
        <v>0.88400000000000001</v>
      </c>
      <c r="J69" s="159"/>
      <c r="K69" s="160"/>
      <c r="L69" s="160"/>
      <c r="M69" s="159"/>
      <c r="N69" s="159"/>
      <c r="O69" s="159"/>
      <c r="P69" s="159"/>
      <c r="Q69" s="159"/>
      <c r="R69" s="160"/>
      <c r="S69" s="161"/>
    </row>
    <row r="70" spans="1:19" ht="17.399999999999999" hidden="1" thickTop="1" thickBot="1" x14ac:dyDescent="0.4">
      <c r="A70" s="316"/>
      <c r="B70" s="151"/>
      <c r="C70" s="152" t="s">
        <v>375</v>
      </c>
      <c r="D70" s="153">
        <v>1</v>
      </c>
      <c r="E70" s="179">
        <v>0.2</v>
      </c>
      <c r="F70" s="180">
        <v>2.2999999999999998</v>
      </c>
      <c r="G70" s="156">
        <v>1</v>
      </c>
      <c r="H70" s="181"/>
      <c r="I70" s="177">
        <f>+D70*E70*F70*G70</f>
        <v>0.45999999999999996</v>
      </c>
      <c r="J70" s="159"/>
      <c r="K70" s="160"/>
      <c r="L70" s="160"/>
      <c r="M70" s="159"/>
      <c r="N70" s="159"/>
      <c r="O70" s="159"/>
      <c r="P70" s="159"/>
      <c r="Q70" s="159"/>
      <c r="R70" s="160"/>
      <c r="S70" s="161"/>
    </row>
    <row r="71" spans="1:19" ht="17.399999999999999" hidden="1" thickTop="1" thickBot="1" x14ac:dyDescent="0.4">
      <c r="A71" s="316"/>
      <c r="B71" s="151"/>
      <c r="C71" s="152" t="s">
        <v>376</v>
      </c>
      <c r="D71" s="153">
        <v>10</v>
      </c>
      <c r="E71" s="179">
        <v>0.17</v>
      </c>
      <c r="F71" s="180">
        <v>0.27</v>
      </c>
      <c r="G71" s="156">
        <v>1</v>
      </c>
      <c r="H71" s="181"/>
      <c r="I71" s="177">
        <f>+D71*E71*F71*G71</f>
        <v>0.45900000000000007</v>
      </c>
      <c r="J71" s="159"/>
      <c r="K71" s="160"/>
      <c r="L71" s="160"/>
      <c r="M71" s="159"/>
      <c r="N71" s="159"/>
      <c r="O71" s="159"/>
      <c r="P71" s="159"/>
      <c r="Q71" s="159"/>
      <c r="R71" s="160"/>
      <c r="S71" s="161"/>
    </row>
    <row r="72" spans="1:19" ht="17.399999999999999" thickTop="1" thickBot="1" x14ac:dyDescent="0.4">
      <c r="A72" s="316"/>
      <c r="B72" s="151" t="s">
        <v>440</v>
      </c>
      <c r="C72" s="152" t="s">
        <v>101</v>
      </c>
      <c r="D72" s="153"/>
      <c r="E72" s="156"/>
      <c r="F72" s="156"/>
      <c r="G72" s="156"/>
      <c r="H72" s="157" t="s">
        <v>31</v>
      </c>
      <c r="I72" s="158"/>
      <c r="J72" s="309">
        <f>+I73+I77</f>
        <v>0.23432500000000001</v>
      </c>
      <c r="K72" s="160">
        <v>284130</v>
      </c>
      <c r="L72" s="160">
        <v>503644</v>
      </c>
      <c r="M72" s="301">
        <f>+K72+L72*J72</f>
        <v>402146.38030000002</v>
      </c>
      <c r="N72" s="301">
        <f>+M72*'COSTOS INDIVIDUALES'!$J$8</f>
        <v>595211.3078619818</v>
      </c>
      <c r="O72" s="301">
        <f>+M72*'COSTOS INDIVIDUALES'!$J$9</f>
        <v>106568.79077949996</v>
      </c>
      <c r="P72" s="160">
        <f>+K72*'COSTOS INDIVIDUALES'!$J$8*J72</f>
        <v>98542.307219305949</v>
      </c>
      <c r="Q72" s="160">
        <f>+L72*'COSTOS INDIVIDUALES'!$J$8*J72</f>
        <v>174674.41585598185</v>
      </c>
      <c r="R72" s="160">
        <f>+P72+Q72</f>
        <v>273216.72307528777</v>
      </c>
      <c r="S72" s="161"/>
    </row>
    <row r="73" spans="1:19" ht="17.399999999999999" hidden="1" thickTop="1" thickBot="1" x14ac:dyDescent="0.4">
      <c r="A73" s="316"/>
      <c r="B73" s="151"/>
      <c r="C73" s="152" t="s">
        <v>378</v>
      </c>
      <c r="D73" s="153"/>
      <c r="E73" s="156"/>
      <c r="F73" s="156"/>
      <c r="G73" s="156"/>
      <c r="H73" s="181"/>
      <c r="I73" s="177">
        <f>SUM(I74:I76)</f>
        <v>9.1000000000000011E-2</v>
      </c>
      <c r="J73" s="159"/>
      <c r="K73" s="160"/>
      <c r="L73" s="160"/>
      <c r="M73" s="159"/>
      <c r="N73" s="159"/>
      <c r="O73" s="159"/>
      <c r="P73" s="159"/>
      <c r="Q73" s="159"/>
      <c r="R73" s="160"/>
      <c r="S73" s="161"/>
    </row>
    <row r="74" spans="1:19" ht="17.399999999999999" hidden="1" thickTop="1" thickBot="1" x14ac:dyDescent="0.4">
      <c r="A74" s="316"/>
      <c r="B74" s="151"/>
      <c r="C74" s="152" t="s">
        <v>381</v>
      </c>
      <c r="D74" s="153">
        <v>1</v>
      </c>
      <c r="E74" s="156">
        <v>0.05</v>
      </c>
      <c r="F74" s="156">
        <v>6.45</v>
      </c>
      <c r="G74" s="156">
        <v>0.2</v>
      </c>
      <c r="H74" s="181"/>
      <c r="I74" s="177">
        <f>+D74*E74*F74*G74</f>
        <v>6.4500000000000002E-2</v>
      </c>
      <c r="J74" s="159"/>
      <c r="K74" s="160"/>
      <c r="L74" s="160"/>
      <c r="M74" s="159"/>
      <c r="N74" s="159"/>
      <c r="O74" s="159"/>
      <c r="P74" s="159"/>
      <c r="Q74" s="159"/>
      <c r="R74" s="160"/>
      <c r="S74" s="161"/>
    </row>
    <row r="75" spans="1:19" ht="17.399999999999999" hidden="1" thickTop="1" thickBot="1" x14ac:dyDescent="0.4">
      <c r="A75" s="316"/>
      <c r="B75" s="151"/>
      <c r="C75" s="152" t="s">
        <v>380</v>
      </c>
      <c r="D75" s="153">
        <v>1</v>
      </c>
      <c r="E75" s="156">
        <v>0.05</v>
      </c>
      <c r="F75" s="156">
        <v>0.85</v>
      </c>
      <c r="G75" s="156">
        <v>0.2</v>
      </c>
      <c r="H75" s="181"/>
      <c r="I75" s="177">
        <f>+D75*E75*F75*G75</f>
        <v>8.5000000000000006E-3</v>
      </c>
      <c r="J75" s="159"/>
      <c r="K75" s="160"/>
      <c r="L75" s="160"/>
      <c r="M75" s="159"/>
      <c r="N75" s="159"/>
      <c r="O75" s="159"/>
      <c r="P75" s="159"/>
      <c r="Q75" s="159"/>
      <c r="R75" s="160"/>
      <c r="S75" s="161"/>
    </row>
    <row r="76" spans="1:19" ht="17.399999999999999" hidden="1" thickTop="1" thickBot="1" x14ac:dyDescent="0.4">
      <c r="A76" s="316"/>
      <c r="B76" s="151"/>
      <c r="C76" s="152" t="s">
        <v>382</v>
      </c>
      <c r="D76" s="153">
        <v>3</v>
      </c>
      <c r="E76" s="156">
        <v>0.05</v>
      </c>
      <c r="F76" s="156">
        <v>0.8</v>
      </c>
      <c r="G76" s="156">
        <v>0.15</v>
      </c>
      <c r="H76" s="181"/>
      <c r="I76" s="177">
        <f>+D76*E76*F76*G76</f>
        <v>1.8000000000000002E-2</v>
      </c>
      <c r="J76" s="159"/>
      <c r="K76" s="160"/>
      <c r="L76" s="160"/>
      <c r="M76" s="159"/>
      <c r="N76" s="159"/>
      <c r="O76" s="159"/>
      <c r="P76" s="159"/>
      <c r="Q76" s="159"/>
      <c r="R76" s="160"/>
      <c r="S76" s="161"/>
    </row>
    <row r="77" spans="1:19" ht="17.399999999999999" hidden="1" thickTop="1" thickBot="1" x14ac:dyDescent="0.4">
      <c r="A77" s="316"/>
      <c r="B77" s="151"/>
      <c r="C77" s="152" t="s">
        <v>379</v>
      </c>
      <c r="D77" s="153"/>
      <c r="E77" s="156"/>
      <c r="F77" s="156"/>
      <c r="G77" s="156"/>
      <c r="H77" s="181"/>
      <c r="I77" s="177">
        <f>SUM(I78:I82)</f>
        <v>0.14332500000000001</v>
      </c>
      <c r="J77" s="159"/>
      <c r="K77" s="160"/>
      <c r="L77" s="160"/>
      <c r="M77" s="159"/>
      <c r="N77" s="159"/>
      <c r="O77" s="159"/>
      <c r="P77" s="159"/>
      <c r="Q77" s="159"/>
      <c r="R77" s="160"/>
      <c r="S77" s="161"/>
    </row>
    <row r="78" spans="1:19" ht="17.399999999999999" hidden="1" thickTop="1" thickBot="1" x14ac:dyDescent="0.4">
      <c r="A78" s="316"/>
      <c r="B78" s="151"/>
      <c r="C78" s="152" t="s">
        <v>383</v>
      </c>
      <c r="D78" s="153">
        <v>2</v>
      </c>
      <c r="E78" s="156">
        <v>0.05</v>
      </c>
      <c r="F78" s="156">
        <v>4.4000000000000004</v>
      </c>
      <c r="G78" s="156">
        <v>0.15</v>
      </c>
      <c r="H78" s="181"/>
      <c r="I78" s="177">
        <f>+D78*E78*F78*G78</f>
        <v>6.6000000000000003E-2</v>
      </c>
      <c r="J78" s="159"/>
      <c r="K78" s="160"/>
      <c r="L78" s="160"/>
      <c r="M78" s="159"/>
      <c r="N78" s="159"/>
      <c r="O78" s="159"/>
      <c r="P78" s="159"/>
      <c r="Q78" s="159"/>
      <c r="R78" s="160"/>
      <c r="S78" s="161"/>
    </row>
    <row r="79" spans="1:19" ht="17.399999999999999" hidden="1" thickTop="1" thickBot="1" x14ac:dyDescent="0.4">
      <c r="A79" s="316"/>
      <c r="B79" s="151"/>
      <c r="C79" s="152" t="s">
        <v>384</v>
      </c>
      <c r="D79" s="153">
        <v>1</v>
      </c>
      <c r="E79" s="156">
        <v>0.05</v>
      </c>
      <c r="F79" s="156">
        <v>3.8</v>
      </c>
      <c r="G79" s="156">
        <v>0.15</v>
      </c>
      <c r="H79" s="181"/>
      <c r="I79" s="177">
        <f>+D79*E79*F79*G79</f>
        <v>2.8499999999999998E-2</v>
      </c>
      <c r="J79" s="159"/>
      <c r="K79" s="160"/>
      <c r="L79" s="160"/>
      <c r="M79" s="159"/>
      <c r="N79" s="159"/>
      <c r="O79" s="159"/>
      <c r="P79" s="159"/>
      <c r="Q79" s="159"/>
      <c r="R79" s="160"/>
      <c r="S79" s="161"/>
    </row>
    <row r="80" spans="1:19" ht="17.399999999999999" hidden="1" thickTop="1" thickBot="1" x14ac:dyDescent="0.4">
      <c r="A80" s="316"/>
      <c r="B80" s="151"/>
      <c r="C80" s="152" t="s">
        <v>385</v>
      </c>
      <c r="D80" s="153">
        <v>1</v>
      </c>
      <c r="E80" s="156">
        <v>0.05</v>
      </c>
      <c r="F80" s="156">
        <v>1.1499999999999999</v>
      </c>
      <c r="G80" s="156">
        <v>0.15</v>
      </c>
      <c r="H80" s="181"/>
      <c r="I80" s="177">
        <f>+D80*E80*F80*G80</f>
        <v>8.624999999999999E-3</v>
      </c>
      <c r="J80" s="159"/>
      <c r="K80" s="160"/>
      <c r="L80" s="160"/>
      <c r="M80" s="159"/>
      <c r="N80" s="159"/>
      <c r="O80" s="159"/>
      <c r="P80" s="159"/>
      <c r="Q80" s="159"/>
      <c r="R80" s="160"/>
      <c r="S80" s="161"/>
    </row>
    <row r="81" spans="1:19" ht="17.399999999999999" hidden="1" thickTop="1" thickBot="1" x14ac:dyDescent="0.4">
      <c r="A81" s="316"/>
      <c r="B81" s="151"/>
      <c r="C81" s="152" t="s">
        <v>386</v>
      </c>
      <c r="D81" s="153">
        <v>1</v>
      </c>
      <c r="E81" s="156">
        <v>0.05</v>
      </c>
      <c r="F81" s="156">
        <v>2.16</v>
      </c>
      <c r="G81" s="156">
        <v>0.15</v>
      </c>
      <c r="H81" s="181"/>
      <c r="I81" s="177">
        <f>+D81*E81*F81*G81</f>
        <v>1.6200000000000003E-2</v>
      </c>
      <c r="J81" s="159"/>
      <c r="K81" s="160"/>
      <c r="L81" s="160"/>
      <c r="M81" s="159"/>
      <c r="N81" s="159"/>
      <c r="O81" s="159"/>
      <c r="P81" s="159"/>
      <c r="Q81" s="159"/>
      <c r="R81" s="160"/>
      <c r="S81" s="161"/>
    </row>
    <row r="82" spans="1:19" ht="17.399999999999999" hidden="1" thickTop="1" thickBot="1" x14ac:dyDescent="0.4">
      <c r="A82" s="316"/>
      <c r="B82" s="151"/>
      <c r="C82" s="152" t="s">
        <v>387</v>
      </c>
      <c r="D82" s="153">
        <v>4</v>
      </c>
      <c r="E82" s="156">
        <v>0.05</v>
      </c>
      <c r="F82" s="156">
        <v>0.8</v>
      </c>
      <c r="G82" s="156">
        <v>0.15</v>
      </c>
      <c r="H82" s="181"/>
      <c r="I82" s="177">
        <f>+D82*E82*F82*G82</f>
        <v>2.4000000000000004E-2</v>
      </c>
      <c r="J82" s="159"/>
      <c r="K82" s="160"/>
      <c r="L82" s="160"/>
      <c r="M82" s="159"/>
      <c r="N82" s="159"/>
      <c r="O82" s="159"/>
      <c r="P82" s="159"/>
      <c r="Q82" s="159"/>
      <c r="R82" s="160"/>
      <c r="S82" s="161"/>
    </row>
    <row r="83" spans="1:19" ht="17.399999999999999" thickTop="1" thickBot="1" x14ac:dyDescent="0.4">
      <c r="A83" s="316">
        <v>4</v>
      </c>
      <c r="B83" s="172" t="s">
        <v>118</v>
      </c>
      <c r="C83" s="173"/>
      <c r="D83" s="153"/>
      <c r="E83" s="154"/>
      <c r="F83" s="155"/>
      <c r="G83" s="155"/>
      <c r="H83" s="157"/>
      <c r="I83" s="158"/>
      <c r="J83" s="182"/>
      <c r="K83" s="200"/>
      <c r="L83" s="200"/>
      <c r="M83" s="301"/>
      <c r="N83" s="182"/>
      <c r="O83" s="182"/>
      <c r="P83" s="182"/>
      <c r="Q83" s="182"/>
      <c r="R83" s="175"/>
      <c r="S83" s="176">
        <f>SUM(R84:R107)</f>
        <v>20878776.144263159</v>
      </c>
    </row>
    <row r="84" spans="1:19" ht="17.399999999999999" thickTop="1" thickBot="1" x14ac:dyDescent="0.4">
      <c r="A84" s="316"/>
      <c r="B84" s="151" t="s">
        <v>13</v>
      </c>
      <c r="C84" s="152" t="s">
        <v>102</v>
      </c>
      <c r="D84" s="153"/>
      <c r="E84" s="154"/>
      <c r="F84" s="155"/>
      <c r="G84" s="156"/>
      <c r="H84" s="157" t="s">
        <v>14</v>
      </c>
      <c r="I84" s="158"/>
      <c r="J84" s="309">
        <f>I85+I86</f>
        <v>76.599999999999994</v>
      </c>
      <c r="K84" s="160">
        <v>4803</v>
      </c>
      <c r="L84" s="160">
        <v>5796</v>
      </c>
      <c r="M84" s="301">
        <f>+K84+L84*J84</f>
        <v>448776.6</v>
      </c>
      <c r="N84" s="301">
        <f>+M84*'COSTOS INDIVIDUALES'!$J$8</f>
        <v>664228.05254291988</v>
      </c>
      <c r="O84" s="301">
        <f>+M84*'COSTOS INDIVIDUALES'!$J$9</f>
        <v>118925.79899999996</v>
      </c>
      <c r="P84" s="160">
        <f>+K84*'COSTOS INDIVIDUALES'!$J$8*J84</f>
        <v>544538.21782475989</v>
      </c>
      <c r="Q84" s="160">
        <f>+L84*'COSTOS INDIVIDUALES'!$J$8*J84</f>
        <v>657119.19852431992</v>
      </c>
      <c r="R84" s="160">
        <f>+P84+Q84</f>
        <v>1201657.4163490799</v>
      </c>
      <c r="S84" s="161"/>
    </row>
    <row r="85" spans="1:19" ht="17.399999999999999" hidden="1" thickTop="1" thickBot="1" x14ac:dyDescent="0.4">
      <c r="A85" s="316"/>
      <c r="B85" s="151"/>
      <c r="C85" s="152" t="s">
        <v>38</v>
      </c>
      <c r="D85" s="153">
        <v>1</v>
      </c>
      <c r="E85" s="153"/>
      <c r="F85" s="153"/>
      <c r="G85" s="153"/>
      <c r="H85" s="157"/>
      <c r="I85" s="177">
        <v>68.3</v>
      </c>
      <c r="J85" s="159"/>
      <c r="K85" s="160"/>
      <c r="L85" s="160"/>
      <c r="M85" s="159"/>
      <c r="N85" s="159"/>
      <c r="O85" s="159"/>
      <c r="P85" s="159"/>
      <c r="Q85" s="159"/>
      <c r="R85" s="160"/>
      <c r="S85" s="161"/>
    </row>
    <row r="86" spans="1:19" ht="17.399999999999999" hidden="1" thickTop="1" thickBot="1" x14ac:dyDescent="0.4">
      <c r="A86" s="316"/>
      <c r="B86" s="151"/>
      <c r="C86" s="152" t="s">
        <v>39</v>
      </c>
      <c r="D86" s="153">
        <v>1</v>
      </c>
      <c r="E86" s="153"/>
      <c r="F86" s="153"/>
      <c r="G86" s="153"/>
      <c r="H86" s="157"/>
      <c r="I86" s="177">
        <v>8.3000000000000007</v>
      </c>
      <c r="J86" s="159"/>
      <c r="K86" s="160"/>
      <c r="L86" s="160"/>
      <c r="M86" s="159"/>
      <c r="N86" s="159"/>
      <c r="O86" s="159"/>
      <c r="P86" s="159"/>
      <c r="Q86" s="159"/>
      <c r="R86" s="160"/>
      <c r="S86" s="161"/>
    </row>
    <row r="87" spans="1:19" ht="17.399999999999999" thickTop="1" thickBot="1" x14ac:dyDescent="0.4">
      <c r="A87" s="316"/>
      <c r="B87" s="151" t="s">
        <v>119</v>
      </c>
      <c r="C87" s="152" t="s">
        <v>103</v>
      </c>
      <c r="D87" s="153"/>
      <c r="E87" s="154"/>
      <c r="F87" s="155"/>
      <c r="G87" s="156"/>
      <c r="H87" s="157" t="s">
        <v>14</v>
      </c>
      <c r="I87" s="158"/>
      <c r="J87" s="309">
        <f>+I88</f>
        <v>36.6</v>
      </c>
      <c r="K87" s="160">
        <v>16700</v>
      </c>
      <c r="L87" s="160">
        <v>8377</v>
      </c>
      <c r="M87" s="301">
        <f>+K87+L87*J87</f>
        <v>323298.2</v>
      </c>
      <c r="N87" s="301">
        <f>+M87*'COSTOS INDIVIDUALES'!$J$8</f>
        <v>478509.20430484001</v>
      </c>
      <c r="O87" s="301">
        <f>+M87*'COSTOS INDIVIDUALES'!$J$9</f>
        <v>85674.022999999972</v>
      </c>
      <c r="P87" s="160">
        <f>+K87*'COSTOS INDIVIDUALES'!$J$8*J87</f>
        <v>904658.28716399998</v>
      </c>
      <c r="Q87" s="160">
        <f>+L87*'COSTOS INDIVIDUALES'!$J$8*J87</f>
        <v>453791.76476483996</v>
      </c>
      <c r="R87" s="160">
        <f>+P87+Q87</f>
        <v>1358450.0519288399</v>
      </c>
      <c r="S87" s="161"/>
    </row>
    <row r="88" spans="1:19" ht="17.399999999999999" hidden="1" thickTop="1" thickBot="1" x14ac:dyDescent="0.4">
      <c r="A88" s="316"/>
      <c r="B88" s="151"/>
      <c r="C88" s="152" t="s">
        <v>44</v>
      </c>
      <c r="D88" s="153">
        <v>1</v>
      </c>
      <c r="E88" s="156"/>
      <c r="F88" s="156"/>
      <c r="G88" s="153"/>
      <c r="H88" s="157"/>
      <c r="I88" s="177">
        <v>36.6</v>
      </c>
      <c r="J88" s="159"/>
      <c r="K88" s="160"/>
      <c r="L88" s="160"/>
      <c r="M88" s="159"/>
      <c r="N88" s="159"/>
      <c r="O88" s="159"/>
      <c r="P88" s="159"/>
      <c r="Q88" s="159"/>
      <c r="R88" s="160"/>
      <c r="S88" s="161"/>
    </row>
    <row r="89" spans="1:19" ht="17.399999999999999" thickTop="1" thickBot="1" x14ac:dyDescent="0.4">
      <c r="A89" s="316"/>
      <c r="B89" s="151" t="s">
        <v>120</v>
      </c>
      <c r="C89" s="152" t="s">
        <v>388</v>
      </c>
      <c r="D89" s="153"/>
      <c r="E89" s="154"/>
      <c r="F89" s="155"/>
      <c r="G89" s="156"/>
      <c r="H89" s="157" t="s">
        <v>14</v>
      </c>
      <c r="I89" s="158"/>
      <c r="J89" s="309">
        <f>+I90</f>
        <v>69.5</v>
      </c>
      <c r="K89" s="160">
        <v>4803</v>
      </c>
      <c r="L89" s="160">
        <v>5796</v>
      </c>
      <c r="M89" s="301">
        <f>+K89+L89*J89</f>
        <v>407625</v>
      </c>
      <c r="N89" s="301">
        <f>+M89*'COSTOS INDIVIDUALES'!$J$8</f>
        <v>603320.13727499999</v>
      </c>
      <c r="O89" s="301">
        <f>+M89*'COSTOS INDIVIDUALES'!$J$9</f>
        <v>108020.62499999996</v>
      </c>
      <c r="P89" s="160">
        <f>+K89*'COSTOS INDIVIDUALES'!$J$8*J89</f>
        <v>494065.35429269995</v>
      </c>
      <c r="Q89" s="160">
        <f>+L89*'COSTOS INDIVIDUALES'!$J$8*J89</f>
        <v>596211.28325640003</v>
      </c>
      <c r="R89" s="160">
        <f>+P89+Q89</f>
        <v>1090276.6375491</v>
      </c>
      <c r="S89" s="161"/>
    </row>
    <row r="90" spans="1:19" ht="17.399999999999999" hidden="1" thickTop="1" thickBot="1" x14ac:dyDescent="0.4">
      <c r="A90" s="316"/>
      <c r="B90" s="151"/>
      <c r="C90" s="152" t="s">
        <v>38</v>
      </c>
      <c r="D90" s="153">
        <v>1</v>
      </c>
      <c r="E90" s="156"/>
      <c r="F90" s="156"/>
      <c r="G90" s="153"/>
      <c r="H90" s="157"/>
      <c r="I90" s="177">
        <v>69.5</v>
      </c>
      <c r="J90" s="159"/>
      <c r="K90" s="160"/>
      <c r="L90" s="160"/>
      <c r="M90" s="159"/>
      <c r="N90" s="159"/>
      <c r="O90" s="159"/>
      <c r="P90" s="159"/>
      <c r="Q90" s="159"/>
      <c r="R90" s="160"/>
      <c r="S90" s="161"/>
    </row>
    <row r="91" spans="1:19" ht="17.399999999999999" thickTop="1" thickBot="1" x14ac:dyDescent="0.4">
      <c r="A91" s="316"/>
      <c r="B91" s="151" t="s">
        <v>121</v>
      </c>
      <c r="C91" s="152" t="s">
        <v>104</v>
      </c>
      <c r="D91" s="153"/>
      <c r="E91" s="156"/>
      <c r="F91" s="156"/>
      <c r="G91" s="156"/>
      <c r="H91" s="157" t="s">
        <v>14</v>
      </c>
      <c r="I91" s="158"/>
      <c r="J91" s="309">
        <f>SUM(I92:I94)</f>
        <v>0.46739999999999998</v>
      </c>
      <c r="K91" s="160">
        <v>4803</v>
      </c>
      <c r="L91" s="160">
        <v>5796</v>
      </c>
      <c r="M91" s="301">
        <f>+K91+L91*J91</f>
        <v>7512.0504000000001</v>
      </c>
      <c r="N91" s="301">
        <f>+M91*'COSTOS INDIVIDUALES'!$J$8</f>
        <v>11118.48213074448</v>
      </c>
      <c r="O91" s="301">
        <f>+M91*'COSTOS INDIVIDUALES'!$J$9</f>
        <v>1990.6933559999993</v>
      </c>
      <c r="P91" s="160">
        <f>+K91*'COSTOS INDIVIDUALES'!$J$8*J91</f>
        <v>3322.6783682936393</v>
      </c>
      <c r="Q91" s="160">
        <f>+L91*'COSTOS INDIVIDUALES'!$J$8*J91</f>
        <v>4009.6281121444799</v>
      </c>
      <c r="R91" s="160">
        <f>+P91+Q91</f>
        <v>7332.3064804381193</v>
      </c>
      <c r="S91" s="161"/>
    </row>
    <row r="92" spans="1:19" ht="17.399999999999999" hidden="1" thickTop="1" thickBot="1" x14ac:dyDescent="0.4">
      <c r="A92" s="316"/>
      <c r="B92" s="151"/>
      <c r="C92" s="152" t="s">
        <v>389</v>
      </c>
      <c r="D92" s="153">
        <v>1</v>
      </c>
      <c r="E92" s="156">
        <v>2.77</v>
      </c>
      <c r="F92" s="156">
        <v>0.6</v>
      </c>
      <c r="G92" s="156">
        <v>0.08</v>
      </c>
      <c r="H92" s="157"/>
      <c r="I92" s="177">
        <f>+D92*E92*F92*G92</f>
        <v>0.13295999999999999</v>
      </c>
      <c r="J92" s="159"/>
      <c r="K92" s="160"/>
      <c r="L92" s="160"/>
      <c r="M92" s="159"/>
      <c r="N92" s="159"/>
      <c r="O92" s="159"/>
      <c r="P92" s="159"/>
      <c r="Q92" s="159"/>
      <c r="R92" s="160"/>
      <c r="S92" s="161"/>
    </row>
    <row r="93" spans="1:19" ht="17.399999999999999" hidden="1" thickTop="1" thickBot="1" x14ac:dyDescent="0.4">
      <c r="A93" s="316"/>
      <c r="B93" s="151"/>
      <c r="C93" s="152" t="s">
        <v>390</v>
      </c>
      <c r="D93" s="153">
        <v>1</v>
      </c>
      <c r="E93" s="156">
        <v>3.88</v>
      </c>
      <c r="F93" s="156">
        <v>0.6</v>
      </c>
      <c r="G93" s="156">
        <v>0.08</v>
      </c>
      <c r="H93" s="157"/>
      <c r="I93" s="177">
        <f>+D93*E93*F93*G93</f>
        <v>0.18623999999999999</v>
      </c>
      <c r="J93" s="159"/>
      <c r="K93" s="160"/>
      <c r="L93" s="160"/>
      <c r="M93" s="159"/>
      <c r="N93" s="159"/>
      <c r="O93" s="159"/>
      <c r="P93" s="159"/>
      <c r="Q93" s="159"/>
      <c r="R93" s="160"/>
      <c r="S93" s="161"/>
    </row>
    <row r="94" spans="1:19" ht="17.399999999999999" hidden="1" thickTop="1" thickBot="1" x14ac:dyDescent="0.4">
      <c r="A94" s="316"/>
      <c r="B94" s="151"/>
      <c r="C94" s="152" t="s">
        <v>391</v>
      </c>
      <c r="D94" s="153">
        <v>1</v>
      </c>
      <c r="E94" s="156">
        <v>2.85</v>
      </c>
      <c r="F94" s="156">
        <v>0.65</v>
      </c>
      <c r="G94" s="156">
        <v>0.08</v>
      </c>
      <c r="H94" s="157"/>
      <c r="I94" s="177">
        <f>+D94*E94*F94*G94</f>
        <v>0.1482</v>
      </c>
      <c r="J94" s="159"/>
      <c r="K94" s="160"/>
      <c r="L94" s="160"/>
      <c r="M94" s="159"/>
      <c r="N94" s="159"/>
      <c r="O94" s="159"/>
      <c r="P94" s="159"/>
      <c r="Q94" s="159"/>
      <c r="R94" s="160"/>
      <c r="S94" s="161"/>
    </row>
    <row r="95" spans="1:19" ht="17.399999999999999" thickTop="1" thickBot="1" x14ac:dyDescent="0.4">
      <c r="A95" s="316"/>
      <c r="B95" s="151" t="s">
        <v>122</v>
      </c>
      <c r="C95" s="152" t="s">
        <v>395</v>
      </c>
      <c r="D95" s="153"/>
      <c r="E95" s="154"/>
      <c r="F95" s="155"/>
      <c r="G95" s="156"/>
      <c r="H95" s="157" t="s">
        <v>14</v>
      </c>
      <c r="I95" s="158"/>
      <c r="J95" s="309">
        <f>+I96</f>
        <v>68.3</v>
      </c>
      <c r="K95" s="160">
        <v>4254</v>
      </c>
      <c r="L95" s="160">
        <v>6904</v>
      </c>
      <c r="M95" s="301">
        <f>+K95+L95*J95</f>
        <v>475797.19999999995</v>
      </c>
      <c r="N95" s="301">
        <f>+M95*'COSTOS INDIVIDUALES'!$J$8</f>
        <v>704220.86971863988</v>
      </c>
      <c r="O95" s="301">
        <f>+M95*'COSTOS INDIVIDUALES'!$J$9</f>
        <v>126086.25799999994</v>
      </c>
      <c r="P95" s="160">
        <f>+K95*'COSTOS INDIVIDUALES'!$J$8*J95</f>
        <v>430036.38125483994</v>
      </c>
      <c r="Q95" s="160">
        <f>+L95*'COSTOS INDIVIDUALES'!$J$8*J95</f>
        <v>697924.58302383998</v>
      </c>
      <c r="R95" s="160">
        <f>+P95+Q95</f>
        <v>1127960.9642786798</v>
      </c>
      <c r="S95" s="161"/>
    </row>
    <row r="96" spans="1:19" ht="17.399999999999999" hidden="1" thickTop="1" thickBot="1" x14ac:dyDescent="0.4">
      <c r="A96" s="316"/>
      <c r="B96" s="151"/>
      <c r="C96" s="152" t="s">
        <v>38</v>
      </c>
      <c r="D96" s="153">
        <v>1</v>
      </c>
      <c r="E96" s="156"/>
      <c r="F96" s="156"/>
      <c r="G96" s="153"/>
      <c r="H96" s="157"/>
      <c r="I96" s="177">
        <f>+I85</f>
        <v>68.3</v>
      </c>
      <c r="J96" s="159"/>
      <c r="K96" s="160"/>
      <c r="L96" s="160"/>
      <c r="M96" s="159"/>
      <c r="N96" s="159"/>
      <c r="O96" s="159"/>
      <c r="P96" s="159"/>
      <c r="Q96" s="159"/>
      <c r="R96" s="160"/>
      <c r="S96" s="161"/>
    </row>
    <row r="97" spans="1:19" ht="17.399999999999999" thickTop="1" thickBot="1" x14ac:dyDescent="0.4">
      <c r="A97" s="316"/>
      <c r="B97" s="151" t="s">
        <v>123</v>
      </c>
      <c r="C97" s="152" t="s">
        <v>396</v>
      </c>
      <c r="D97" s="153"/>
      <c r="E97" s="154"/>
      <c r="F97" s="155"/>
      <c r="G97" s="156"/>
      <c r="H97" s="157" t="s">
        <v>14</v>
      </c>
      <c r="I97" s="158"/>
      <c r="J97" s="309">
        <f>+I98</f>
        <v>69.5</v>
      </c>
      <c r="K97" s="160">
        <v>4254</v>
      </c>
      <c r="L97" s="160">
        <v>6904</v>
      </c>
      <c r="M97" s="301">
        <f>+K97+L97*J97</f>
        <v>484082</v>
      </c>
      <c r="N97" s="301">
        <f>+M97*'COSTOS INDIVIDUALES'!$J$8</f>
        <v>716483.08786839992</v>
      </c>
      <c r="O97" s="301">
        <f>+M97*'COSTOS INDIVIDUALES'!$J$9</f>
        <v>128281.72999999995</v>
      </c>
      <c r="P97" s="160">
        <f>+K97*'COSTOS INDIVIDUALES'!$J$8*J97</f>
        <v>437591.92528859992</v>
      </c>
      <c r="Q97" s="160">
        <f>+L97*'COSTOS INDIVIDUALES'!$J$8*J97</f>
        <v>710186.80117360002</v>
      </c>
      <c r="R97" s="160">
        <f>+P97+Q97</f>
        <v>1147778.7264621998</v>
      </c>
      <c r="S97" s="161"/>
    </row>
    <row r="98" spans="1:19" ht="17.399999999999999" hidden="1" thickTop="1" thickBot="1" x14ac:dyDescent="0.4">
      <c r="A98" s="316"/>
      <c r="B98" s="151"/>
      <c r="C98" s="152" t="s">
        <v>38</v>
      </c>
      <c r="D98" s="153">
        <v>1</v>
      </c>
      <c r="E98" s="156"/>
      <c r="F98" s="156"/>
      <c r="G98" s="153"/>
      <c r="H98" s="157"/>
      <c r="I98" s="177">
        <f>+I90</f>
        <v>69.5</v>
      </c>
      <c r="J98" s="159"/>
      <c r="K98" s="160"/>
      <c r="L98" s="160"/>
      <c r="M98" s="159"/>
      <c r="N98" s="159"/>
      <c r="O98" s="159"/>
      <c r="P98" s="159"/>
      <c r="Q98" s="159"/>
      <c r="R98" s="160"/>
      <c r="S98" s="161"/>
    </row>
    <row r="99" spans="1:19" ht="17.399999999999999" thickTop="1" thickBot="1" x14ac:dyDescent="0.4">
      <c r="A99" s="316"/>
      <c r="B99" s="151" t="s">
        <v>124</v>
      </c>
      <c r="C99" s="152" t="s">
        <v>392</v>
      </c>
      <c r="D99" s="153"/>
      <c r="E99" s="156"/>
      <c r="F99" s="156"/>
      <c r="G99" s="156"/>
      <c r="H99" s="157" t="s">
        <v>14</v>
      </c>
      <c r="I99" s="158"/>
      <c r="J99" s="309">
        <f>SUM(I100)</f>
        <v>68.3</v>
      </c>
      <c r="K99" s="160">
        <v>23454</v>
      </c>
      <c r="L99" s="160">
        <v>22957</v>
      </c>
      <c r="M99" s="301">
        <f>+K99+L99*J99</f>
        <v>1591417.0999999999</v>
      </c>
      <c r="N99" s="301">
        <f>+M99*'COSTOS INDIVIDUALES'!$J$8</f>
        <v>2355434.4881540197</v>
      </c>
      <c r="O99" s="301">
        <f>+M99*'COSTOS INDIVIDUALES'!$J$9</f>
        <v>421725.53149999981</v>
      </c>
      <c r="P99" s="160">
        <f>+K99*'COSTOS INDIVIDUALES'!$J$8*J99</f>
        <v>2370962.2204868398</v>
      </c>
      <c r="Q99" s="160">
        <f>+L99*'COSTOS INDIVIDUALES'!$J$8*J99</f>
        <v>2320720.5464192196</v>
      </c>
      <c r="R99" s="160">
        <f>+P99+Q99</f>
        <v>4691682.7669060593</v>
      </c>
      <c r="S99" s="161"/>
    </row>
    <row r="100" spans="1:19" ht="17.399999999999999" hidden="1" thickTop="1" thickBot="1" x14ac:dyDescent="0.4">
      <c r="A100" s="316"/>
      <c r="B100" s="151"/>
      <c r="C100" s="152" t="s">
        <v>38</v>
      </c>
      <c r="D100" s="153">
        <v>1</v>
      </c>
      <c r="E100" s="153"/>
      <c r="F100" s="153"/>
      <c r="G100" s="153"/>
      <c r="H100" s="157"/>
      <c r="I100" s="177">
        <f>+I85</f>
        <v>68.3</v>
      </c>
      <c r="J100" s="159"/>
      <c r="K100" s="160"/>
      <c r="L100" s="160"/>
      <c r="M100" s="183"/>
      <c r="N100" s="183"/>
      <c r="O100" s="183"/>
      <c r="P100" s="183"/>
      <c r="Q100" s="183"/>
      <c r="R100" s="160"/>
      <c r="S100" s="161">
        <f>+J100*R100</f>
        <v>0</v>
      </c>
    </row>
    <row r="101" spans="1:19" ht="17.399999999999999" thickTop="1" thickBot="1" x14ac:dyDescent="0.4">
      <c r="A101" s="316"/>
      <c r="B101" s="151" t="s">
        <v>441</v>
      </c>
      <c r="C101" s="152" t="s">
        <v>393</v>
      </c>
      <c r="D101" s="153"/>
      <c r="E101" s="156"/>
      <c r="F101" s="156"/>
      <c r="G101" s="156"/>
      <c r="H101" s="157" t="s">
        <v>14</v>
      </c>
      <c r="I101" s="158"/>
      <c r="J101" s="309">
        <f>SUM(I102)</f>
        <v>44.900000000000006</v>
      </c>
      <c r="K101" s="160">
        <v>37987</v>
      </c>
      <c r="L101" s="160">
        <v>12227</v>
      </c>
      <c r="M101" s="301">
        <f>+K101+L101*J101</f>
        <v>586979.30000000005</v>
      </c>
      <c r="N101" s="301">
        <f>+M101*'COSTOS INDIVIDUALES'!$J$8</f>
        <v>868779.96161566</v>
      </c>
      <c r="O101" s="301">
        <f>+M101*'COSTOS INDIVIDUALES'!$J$9</f>
        <v>155549.51449999996</v>
      </c>
      <c r="P101" s="160">
        <f>+K101*'COSTOS INDIVIDUALES'!$J$8*J101</f>
        <v>2524459.1481250604</v>
      </c>
      <c r="Q101" s="160">
        <f>+L101*'COSTOS INDIVIDUALES'!$J$8*J101</f>
        <v>812555.92713626008</v>
      </c>
      <c r="R101" s="160">
        <f>+P101+Q101</f>
        <v>3337015.0752613205</v>
      </c>
      <c r="S101" s="161"/>
    </row>
    <row r="102" spans="1:19" ht="17.399999999999999" hidden="1" thickTop="1" thickBot="1" x14ac:dyDescent="0.4">
      <c r="A102" s="316"/>
      <c r="B102" s="151"/>
      <c r="C102" s="152" t="s">
        <v>38</v>
      </c>
      <c r="D102" s="153">
        <v>1</v>
      </c>
      <c r="E102" s="153"/>
      <c r="F102" s="153"/>
      <c r="G102" s="153"/>
      <c r="H102" s="157"/>
      <c r="I102" s="177">
        <f>+I88+I86</f>
        <v>44.900000000000006</v>
      </c>
      <c r="J102" s="159"/>
      <c r="K102" s="160"/>
      <c r="L102" s="160"/>
      <c r="M102" s="159"/>
      <c r="N102" s="159"/>
      <c r="O102" s="159"/>
      <c r="P102" s="159"/>
      <c r="Q102" s="159"/>
      <c r="R102" s="160"/>
      <c r="S102" s="161"/>
    </row>
    <row r="103" spans="1:19" ht="17.399999999999999" thickTop="1" thickBot="1" x14ac:dyDescent="0.4">
      <c r="A103" s="316"/>
      <c r="B103" s="151" t="s">
        <v>442</v>
      </c>
      <c r="C103" s="152" t="s">
        <v>394</v>
      </c>
      <c r="D103" s="153"/>
      <c r="E103" s="156"/>
      <c r="F103" s="156"/>
      <c r="G103" s="156"/>
      <c r="H103" s="157" t="s">
        <v>14</v>
      </c>
      <c r="I103" s="158"/>
      <c r="J103" s="309">
        <f>SUM(I104)</f>
        <v>69.5</v>
      </c>
      <c r="K103" s="160">
        <v>23454</v>
      </c>
      <c r="L103" s="160">
        <v>22957</v>
      </c>
      <c r="M103" s="301">
        <f>+K103+L103*J103</f>
        <v>1618965.5</v>
      </c>
      <c r="N103" s="301">
        <f>+M103*'COSTOS INDIVIDUALES'!$J$8</f>
        <v>2396208.4948260998</v>
      </c>
      <c r="O103" s="301">
        <f>+M103*'COSTOS INDIVIDUALES'!$J$9</f>
        <v>429025.85749999987</v>
      </c>
      <c r="P103" s="160">
        <f>+K103*'COSTOS INDIVIDUALES'!$J$8*J103</f>
        <v>2412618.9505686001</v>
      </c>
      <c r="Q103" s="160">
        <f>+L103*'COSTOS INDIVIDUALES'!$J$8*J103</f>
        <v>2361494.5530912997</v>
      </c>
      <c r="R103" s="160">
        <f>+P103+Q103</f>
        <v>4774113.5036599003</v>
      </c>
      <c r="S103" s="161"/>
    </row>
    <row r="104" spans="1:19" ht="17.399999999999999" hidden="1" thickTop="1" thickBot="1" x14ac:dyDescent="0.4">
      <c r="A104" s="316"/>
      <c r="B104" s="151"/>
      <c r="C104" s="152" t="s">
        <v>38</v>
      </c>
      <c r="D104" s="153">
        <v>1</v>
      </c>
      <c r="E104" s="153"/>
      <c r="F104" s="153"/>
      <c r="G104" s="153"/>
      <c r="H104" s="157"/>
      <c r="I104" s="177">
        <f>+I90</f>
        <v>69.5</v>
      </c>
      <c r="J104" s="159"/>
      <c r="K104" s="160"/>
      <c r="L104" s="160"/>
      <c r="M104" s="159"/>
      <c r="N104" s="159"/>
      <c r="O104" s="159"/>
      <c r="P104" s="159"/>
      <c r="Q104" s="159"/>
      <c r="R104" s="160"/>
      <c r="S104" s="161"/>
    </row>
    <row r="105" spans="1:19" ht="17.399999999999999" thickTop="1" thickBot="1" x14ac:dyDescent="0.4">
      <c r="A105" s="316"/>
      <c r="B105" s="151" t="s">
        <v>443</v>
      </c>
      <c r="C105" s="152" t="s">
        <v>399</v>
      </c>
      <c r="D105" s="153"/>
      <c r="E105" s="156"/>
      <c r="F105" s="156"/>
      <c r="G105" s="156"/>
      <c r="H105" s="157" t="s">
        <v>14</v>
      </c>
      <c r="I105" s="158"/>
      <c r="J105" s="309">
        <f>+I106</f>
        <v>6.7</v>
      </c>
      <c r="K105" s="160">
        <v>23454</v>
      </c>
      <c r="L105" s="160">
        <v>22957</v>
      </c>
      <c r="M105" s="301">
        <f>+K105+L105*J105</f>
        <v>177265.9</v>
      </c>
      <c r="N105" s="301">
        <f>+M105*'COSTOS INDIVIDUALES'!$J$8</f>
        <v>262368.81232057995</v>
      </c>
      <c r="O105" s="301">
        <f>+M105*'COSTOS INDIVIDUALES'!$J$9</f>
        <v>46975.463499999983</v>
      </c>
      <c r="P105" s="160">
        <f>+K105*'COSTOS INDIVIDUALES'!$J$8*J105</f>
        <v>232583.40962316</v>
      </c>
      <c r="Q105" s="160">
        <f>+L105*'COSTOS INDIVIDUALES'!$J$8*J105</f>
        <v>227654.87058577998</v>
      </c>
      <c r="R105" s="160">
        <f>+P105+Q105</f>
        <v>460238.28020893998</v>
      </c>
      <c r="S105" s="161"/>
    </row>
    <row r="106" spans="1:19" ht="17.399999999999999" hidden="1" thickTop="1" thickBot="1" x14ac:dyDescent="0.4">
      <c r="A106" s="316"/>
      <c r="B106" s="151"/>
      <c r="C106" s="152" t="s">
        <v>38</v>
      </c>
      <c r="D106" s="153">
        <v>1</v>
      </c>
      <c r="E106" s="153"/>
      <c r="F106" s="153"/>
      <c r="G106" s="153"/>
      <c r="H106" s="157"/>
      <c r="I106" s="177">
        <f>+D71*F71*G71+D71*E71*G71+D70*F70*G70</f>
        <v>6.7</v>
      </c>
      <c r="J106" s="159"/>
      <c r="K106" s="160"/>
      <c r="L106" s="160"/>
      <c r="M106" s="159"/>
      <c r="N106" s="159"/>
      <c r="O106" s="159"/>
      <c r="P106" s="159"/>
      <c r="Q106" s="159"/>
      <c r="R106" s="160"/>
      <c r="S106" s="161"/>
    </row>
    <row r="107" spans="1:19" ht="17.399999999999999" thickTop="1" thickBot="1" x14ac:dyDescent="0.4">
      <c r="A107" s="316"/>
      <c r="B107" s="151" t="s">
        <v>444</v>
      </c>
      <c r="C107" s="152" t="s">
        <v>178</v>
      </c>
      <c r="D107" s="153"/>
      <c r="E107" s="156"/>
      <c r="F107" s="156"/>
      <c r="G107" s="156"/>
      <c r="H107" s="157" t="s">
        <v>51</v>
      </c>
      <c r="I107" s="158"/>
      <c r="J107" s="310">
        <f>SUM(I108:I109)</f>
        <v>139</v>
      </c>
      <c r="K107" s="160">
        <v>5144</v>
      </c>
      <c r="L107" s="160">
        <v>3033</v>
      </c>
      <c r="M107" s="301">
        <f>+K107+L107*J107</f>
        <v>426731</v>
      </c>
      <c r="N107" s="301">
        <f>+M107*'COSTOS INDIVIDUALES'!$J$8</f>
        <v>631598.66421219998</v>
      </c>
      <c r="O107" s="301">
        <f>+M107*'COSTOS INDIVIDUALES'!$J$9</f>
        <v>113083.71499999995</v>
      </c>
      <c r="P107" s="160">
        <f>+K107*'COSTOS INDIVIDUALES'!$J$8*J107</f>
        <v>1058285.3143791999</v>
      </c>
      <c r="Q107" s="160">
        <f>+L107*'COSTOS INDIVIDUALES'!$J$8*J107</f>
        <v>623985.10079940001</v>
      </c>
      <c r="R107" s="160">
        <f>+P107+Q107</f>
        <v>1682270.4151785998</v>
      </c>
      <c r="S107" s="161"/>
    </row>
    <row r="108" spans="1:19" ht="17.399999999999999" hidden="1" thickTop="1" thickBot="1" x14ac:dyDescent="0.4">
      <c r="A108" s="316"/>
      <c r="B108" s="151"/>
      <c r="C108" s="152" t="s">
        <v>397</v>
      </c>
      <c r="D108" s="153"/>
      <c r="E108" s="156"/>
      <c r="F108" s="156"/>
      <c r="G108" s="156"/>
      <c r="H108" s="157"/>
      <c r="I108" s="158">
        <v>68</v>
      </c>
      <c r="J108" s="159"/>
      <c r="K108" s="160"/>
      <c r="L108" s="160"/>
      <c r="M108" s="159"/>
      <c r="N108" s="159"/>
      <c r="O108" s="159"/>
      <c r="P108" s="159"/>
      <c r="Q108" s="159"/>
      <c r="R108" s="160"/>
      <c r="S108" s="161"/>
    </row>
    <row r="109" spans="1:19" ht="17.399999999999999" hidden="1" thickTop="1" thickBot="1" x14ac:dyDescent="0.4">
      <c r="A109" s="316"/>
      <c r="B109" s="151"/>
      <c r="C109" s="152" t="s">
        <v>398</v>
      </c>
      <c r="D109" s="153"/>
      <c r="E109" s="156"/>
      <c r="F109" s="156"/>
      <c r="G109" s="156"/>
      <c r="H109" s="157"/>
      <c r="I109" s="158">
        <v>71</v>
      </c>
      <c r="J109" s="159"/>
      <c r="K109" s="160"/>
      <c r="L109" s="160"/>
      <c r="M109" s="159"/>
      <c r="N109" s="159"/>
      <c r="O109" s="159"/>
      <c r="P109" s="159"/>
      <c r="Q109" s="159"/>
      <c r="R109" s="160"/>
      <c r="S109" s="161"/>
    </row>
    <row r="110" spans="1:19" ht="17.399999999999999" thickTop="1" thickBot="1" x14ac:dyDescent="0.4">
      <c r="A110" s="316">
        <v>5</v>
      </c>
      <c r="B110" s="172" t="s">
        <v>19</v>
      </c>
      <c r="C110" s="173"/>
      <c r="D110" s="153"/>
      <c r="E110" s="154"/>
      <c r="F110" s="155"/>
      <c r="G110" s="155"/>
      <c r="H110" s="157"/>
      <c r="I110" s="158"/>
      <c r="J110" s="182"/>
      <c r="K110" s="200"/>
      <c r="L110" s="200"/>
      <c r="M110" s="182"/>
      <c r="N110" s="182"/>
      <c r="O110" s="182"/>
      <c r="P110" s="182"/>
      <c r="Q110" s="182"/>
      <c r="R110" s="175"/>
      <c r="S110" s="176">
        <f>SUM(R111:R125)</f>
        <v>8844896.4390521832</v>
      </c>
    </row>
    <row r="111" spans="1:19" ht="17.399999999999999" thickTop="1" thickBot="1" x14ac:dyDescent="0.4">
      <c r="A111" s="316"/>
      <c r="B111" s="151" t="s">
        <v>17</v>
      </c>
      <c r="C111" s="152" t="s">
        <v>402</v>
      </c>
      <c r="D111" s="153"/>
      <c r="E111" s="154"/>
      <c r="F111" s="155"/>
      <c r="G111" s="156"/>
      <c r="H111" s="157" t="s">
        <v>14</v>
      </c>
      <c r="I111" s="158"/>
      <c r="J111" s="309">
        <f>SUM(I112:I113)</f>
        <v>22.14</v>
      </c>
      <c r="K111" s="160">
        <v>10269</v>
      </c>
      <c r="L111" s="160">
        <v>19316</v>
      </c>
      <c r="M111" s="301">
        <f>+K111+L111*J111</f>
        <v>437925.24</v>
      </c>
      <c r="N111" s="301">
        <f>+M111*'COSTOS INDIVIDUALES'!$J$8</f>
        <v>648167.10435568797</v>
      </c>
      <c r="O111" s="301">
        <f>+M111*'COSTOS INDIVIDUALES'!$J$9</f>
        <v>116050.18859999995</v>
      </c>
      <c r="P111" s="160">
        <f>+K111*'COSTOS INDIVIDUALES'!$J$8*J111</f>
        <v>336505.97485789197</v>
      </c>
      <c r="Q111" s="160">
        <f>+L111*'COSTOS INDIVIDUALES'!$J$8*J111</f>
        <v>632968.09916788794</v>
      </c>
      <c r="R111" s="160">
        <f>+P111+Q111</f>
        <v>969474.07402577996</v>
      </c>
      <c r="S111" s="161"/>
    </row>
    <row r="112" spans="1:19" ht="17.399999999999999" hidden="1" thickTop="1" thickBot="1" x14ac:dyDescent="0.4">
      <c r="A112" s="316"/>
      <c r="B112" s="151"/>
      <c r="C112" s="152" t="s">
        <v>40</v>
      </c>
      <c r="D112" s="153">
        <v>1</v>
      </c>
      <c r="E112" s="179"/>
      <c r="F112" s="180">
        <v>2.6</v>
      </c>
      <c r="G112" s="156">
        <v>2.7</v>
      </c>
      <c r="H112" s="181"/>
      <c r="I112" s="177">
        <f>+D112*F112*G112</f>
        <v>7.0200000000000005</v>
      </c>
      <c r="J112" s="159"/>
      <c r="K112" s="160"/>
      <c r="L112" s="160"/>
      <c r="M112" s="159"/>
      <c r="N112" s="159"/>
      <c r="O112" s="159"/>
      <c r="P112" s="159"/>
      <c r="Q112" s="159"/>
      <c r="R112" s="160"/>
      <c r="S112" s="161"/>
    </row>
    <row r="113" spans="1:19" ht="17.399999999999999" hidden="1" thickTop="1" thickBot="1" x14ac:dyDescent="0.4">
      <c r="A113" s="316"/>
      <c r="B113" s="151"/>
      <c r="C113" s="152" t="s">
        <v>14</v>
      </c>
      <c r="D113" s="153">
        <v>1</v>
      </c>
      <c r="E113" s="179"/>
      <c r="F113" s="180">
        <v>5.6</v>
      </c>
      <c r="G113" s="156">
        <v>2.7</v>
      </c>
      <c r="H113" s="181"/>
      <c r="I113" s="177">
        <f>+D113*F113*G113</f>
        <v>15.12</v>
      </c>
      <c r="J113" s="159"/>
      <c r="K113" s="160"/>
      <c r="L113" s="160"/>
      <c r="M113" s="159"/>
      <c r="N113" s="159"/>
      <c r="O113" s="159"/>
      <c r="P113" s="159"/>
      <c r="Q113" s="159"/>
      <c r="R113" s="160"/>
      <c r="S113" s="161"/>
    </row>
    <row r="114" spans="1:19" ht="17.399999999999999" thickTop="1" thickBot="1" x14ac:dyDescent="0.4">
      <c r="A114" s="316"/>
      <c r="B114" s="151" t="s">
        <v>125</v>
      </c>
      <c r="C114" s="152" t="s">
        <v>400</v>
      </c>
      <c r="D114" s="153"/>
      <c r="E114" s="154"/>
      <c r="F114" s="155"/>
      <c r="G114" s="156"/>
      <c r="H114" s="157" t="s">
        <v>14</v>
      </c>
      <c r="I114" s="158"/>
      <c r="J114" s="309">
        <f>SUM(I115:I118)</f>
        <v>39.879000000000005</v>
      </c>
      <c r="K114" s="160">
        <v>10269</v>
      </c>
      <c r="L114" s="160">
        <v>19316</v>
      </c>
      <c r="M114" s="301">
        <f>+K114+L114*J114</f>
        <v>780571.76400000008</v>
      </c>
      <c r="N114" s="301">
        <f>+M114*'COSTOS INDIVIDUALES'!$J$8</f>
        <v>1155313.4960060569</v>
      </c>
      <c r="O114" s="301">
        <f>+M114*'COSTOS INDIVIDUALES'!$J$9</f>
        <v>206851.51745999994</v>
      </c>
      <c r="P114" s="160">
        <f>+K114*'COSTOS INDIVIDUALES'!$J$8*J114</f>
        <v>606121.12788427621</v>
      </c>
      <c r="Q114" s="160">
        <f>+L114*'COSTOS INDIVIDUALES'!$J$8*J114</f>
        <v>1140114.4908182567</v>
      </c>
      <c r="R114" s="160">
        <f>+P114+Q114</f>
        <v>1746235.618702533</v>
      </c>
      <c r="S114" s="161"/>
    </row>
    <row r="115" spans="1:19" ht="17.399999999999999" hidden="1" thickTop="1" thickBot="1" x14ac:dyDescent="0.4">
      <c r="A115" s="316"/>
      <c r="B115" s="151"/>
      <c r="C115" s="152" t="s">
        <v>40</v>
      </c>
      <c r="D115" s="153">
        <v>1</v>
      </c>
      <c r="E115" s="179"/>
      <c r="F115" s="180">
        <v>4.5</v>
      </c>
      <c r="G115" s="156">
        <v>2.7</v>
      </c>
      <c r="H115" s="181"/>
      <c r="I115" s="177">
        <f>+D115*F115*G115</f>
        <v>12.15</v>
      </c>
      <c r="J115" s="159"/>
      <c r="K115" s="160">
        <v>10269</v>
      </c>
      <c r="L115" s="160">
        <v>19316</v>
      </c>
      <c r="M115" s="159"/>
      <c r="N115" s="159"/>
      <c r="O115" s="159"/>
      <c r="P115" s="159"/>
      <c r="Q115" s="159"/>
      <c r="R115" s="160"/>
      <c r="S115" s="161"/>
    </row>
    <row r="116" spans="1:19" ht="17.399999999999999" hidden="1" thickTop="1" thickBot="1" x14ac:dyDescent="0.4">
      <c r="A116" s="316"/>
      <c r="B116" s="151"/>
      <c r="C116" s="152" t="s">
        <v>14</v>
      </c>
      <c r="D116" s="153">
        <v>1</v>
      </c>
      <c r="E116" s="179"/>
      <c r="F116" s="180">
        <v>5.77</v>
      </c>
      <c r="G116" s="156">
        <v>2.7</v>
      </c>
      <c r="H116" s="181"/>
      <c r="I116" s="177">
        <f>+D116*F116*G116</f>
        <v>15.579000000000001</v>
      </c>
      <c r="J116" s="159"/>
      <c r="K116" s="160">
        <v>10269</v>
      </c>
      <c r="L116" s="160">
        <v>19316</v>
      </c>
      <c r="M116" s="159"/>
      <c r="N116" s="159"/>
      <c r="O116" s="159"/>
      <c r="P116" s="159"/>
      <c r="Q116" s="159"/>
      <c r="R116" s="160"/>
      <c r="S116" s="161"/>
    </row>
    <row r="117" spans="1:19" ht="17.399999999999999" hidden="1" thickTop="1" thickBot="1" x14ac:dyDescent="0.4">
      <c r="A117" s="316"/>
      <c r="B117" s="151"/>
      <c r="C117" s="152" t="s">
        <v>31</v>
      </c>
      <c r="D117" s="153">
        <v>1</v>
      </c>
      <c r="E117" s="179"/>
      <c r="F117" s="180">
        <v>2.25</v>
      </c>
      <c r="G117" s="156">
        <v>2.7</v>
      </c>
      <c r="H117" s="181"/>
      <c r="I117" s="177">
        <f>+D117*F117*G117</f>
        <v>6.0750000000000002</v>
      </c>
      <c r="J117" s="159"/>
      <c r="K117" s="160">
        <v>10269</v>
      </c>
      <c r="L117" s="160">
        <v>19316</v>
      </c>
      <c r="M117" s="159"/>
      <c r="N117" s="159"/>
      <c r="O117" s="159"/>
      <c r="P117" s="159"/>
      <c r="Q117" s="159"/>
      <c r="R117" s="160"/>
      <c r="S117" s="161"/>
    </row>
    <row r="118" spans="1:19" ht="17.399999999999999" hidden="1" thickTop="1" thickBot="1" x14ac:dyDescent="0.4">
      <c r="A118" s="316"/>
      <c r="B118" s="151"/>
      <c r="C118" s="152" t="s">
        <v>41</v>
      </c>
      <c r="D118" s="153">
        <v>1</v>
      </c>
      <c r="E118" s="179"/>
      <c r="F118" s="180">
        <v>2.25</v>
      </c>
      <c r="G118" s="156">
        <v>2.7</v>
      </c>
      <c r="H118" s="181"/>
      <c r="I118" s="177">
        <f>+D118*F118*G118</f>
        <v>6.0750000000000002</v>
      </c>
      <c r="J118" s="159"/>
      <c r="K118" s="160">
        <v>10269</v>
      </c>
      <c r="L118" s="160">
        <v>19316</v>
      </c>
      <c r="M118" s="159"/>
      <c r="N118" s="159"/>
      <c r="O118" s="159"/>
      <c r="P118" s="159"/>
      <c r="Q118" s="159"/>
      <c r="R118" s="160"/>
      <c r="S118" s="161"/>
    </row>
    <row r="119" spans="1:19" ht="17.399999999999999" thickTop="1" thickBot="1" x14ac:dyDescent="0.4">
      <c r="A119" s="316"/>
      <c r="B119" s="151" t="s">
        <v>126</v>
      </c>
      <c r="C119" s="152" t="s">
        <v>401</v>
      </c>
      <c r="D119" s="153"/>
      <c r="E119" s="156"/>
      <c r="F119" s="156"/>
      <c r="G119" s="156"/>
      <c r="H119" s="157" t="s">
        <v>14</v>
      </c>
      <c r="I119" s="158"/>
      <c r="J119" s="309">
        <f>SUM(I120:I124)</f>
        <v>92.042999999999992</v>
      </c>
      <c r="K119" s="160">
        <v>10269</v>
      </c>
      <c r="L119" s="160">
        <v>19316</v>
      </c>
      <c r="M119" s="301">
        <f>+K119+L119*J119</f>
        <v>1788171.5879999998</v>
      </c>
      <c r="N119" s="301">
        <f>+M119*'COSTOS INDIVIDUALES'!$J$8</f>
        <v>2646648.0906308852</v>
      </c>
      <c r="O119" s="301">
        <f>+M119*'COSTOS INDIVIDUALES'!$J$9</f>
        <v>473865.47081999975</v>
      </c>
      <c r="P119" s="160">
        <f>+K119*'COSTOS INDIVIDUALES'!$J$8*J119</f>
        <v>1398962.0345006753</v>
      </c>
      <c r="Q119" s="160">
        <f>+L119*'COSTOS INDIVIDUALES'!$J$8*J119</f>
        <v>2631449.0854430851</v>
      </c>
      <c r="R119" s="160">
        <f>+P119+Q119</f>
        <v>4030411.1199437603</v>
      </c>
      <c r="S119" s="161"/>
    </row>
    <row r="120" spans="1:19" ht="17.399999999999999" hidden="1" thickTop="1" thickBot="1" x14ac:dyDescent="0.4">
      <c r="A120" s="316"/>
      <c r="B120" s="151"/>
      <c r="C120" s="152" t="s">
        <v>403</v>
      </c>
      <c r="D120" s="153">
        <v>2</v>
      </c>
      <c r="E120" s="179"/>
      <c r="F120" s="180">
        <v>6.85</v>
      </c>
      <c r="G120" s="156">
        <f>+(3+2.6)/2</f>
        <v>2.8</v>
      </c>
      <c r="H120" s="181"/>
      <c r="I120" s="177">
        <f>+D120*F120*G120</f>
        <v>38.359999999999992</v>
      </c>
      <c r="J120" s="159"/>
      <c r="K120" s="160">
        <v>10269</v>
      </c>
      <c r="L120" s="160">
        <v>19316</v>
      </c>
      <c r="M120" s="159"/>
      <c r="N120" s="159"/>
      <c r="O120" s="159"/>
      <c r="P120" s="159"/>
      <c r="Q120" s="159"/>
      <c r="R120" s="160"/>
      <c r="S120" s="161"/>
    </row>
    <row r="121" spans="1:19" ht="17.399999999999999" hidden="1" thickTop="1" thickBot="1" x14ac:dyDescent="0.4">
      <c r="A121" s="316"/>
      <c r="B121" s="151"/>
      <c r="C121" s="152" t="s">
        <v>14</v>
      </c>
      <c r="D121" s="153">
        <v>1</v>
      </c>
      <c r="E121" s="179"/>
      <c r="F121" s="180">
        <v>10.43</v>
      </c>
      <c r="G121" s="156">
        <v>2.6</v>
      </c>
      <c r="H121" s="181"/>
      <c r="I121" s="177">
        <f>+D121*F121*G121-((4.4+3.7)*2.5)</f>
        <v>6.867999999999995</v>
      </c>
      <c r="J121" s="159"/>
      <c r="K121" s="160">
        <v>10269</v>
      </c>
      <c r="L121" s="160">
        <v>19316</v>
      </c>
      <c r="M121" s="159"/>
      <c r="N121" s="159"/>
      <c r="O121" s="159"/>
      <c r="P121" s="159"/>
      <c r="Q121" s="159"/>
      <c r="R121" s="160"/>
      <c r="S121" s="161"/>
    </row>
    <row r="122" spans="1:19" ht="17.399999999999999" hidden="1" thickTop="1" thickBot="1" x14ac:dyDescent="0.4">
      <c r="A122" s="316"/>
      <c r="B122" s="151"/>
      <c r="C122" s="152" t="s">
        <v>404</v>
      </c>
      <c r="D122" s="153">
        <v>2</v>
      </c>
      <c r="E122" s="179"/>
      <c r="F122" s="180">
        <v>2.4500000000000002</v>
      </c>
      <c r="G122" s="156">
        <v>6.7</v>
      </c>
      <c r="H122" s="181"/>
      <c r="I122" s="177">
        <f>+D122*F122*G122-(2*2*3)</f>
        <v>20.830000000000005</v>
      </c>
      <c r="J122" s="159"/>
      <c r="K122" s="160">
        <v>10269</v>
      </c>
      <c r="L122" s="160">
        <v>19316</v>
      </c>
      <c r="M122" s="159"/>
      <c r="N122" s="159"/>
      <c r="O122" s="159"/>
      <c r="P122" s="159"/>
      <c r="Q122" s="159"/>
      <c r="R122" s="160"/>
      <c r="S122" s="161"/>
    </row>
    <row r="123" spans="1:19" ht="17.399999999999999" hidden="1" thickTop="1" thickBot="1" x14ac:dyDescent="0.4">
      <c r="A123" s="316"/>
      <c r="B123" s="151"/>
      <c r="C123" s="152" t="s">
        <v>42</v>
      </c>
      <c r="D123" s="153">
        <v>1</v>
      </c>
      <c r="E123" s="179"/>
      <c r="F123" s="180">
        <v>4.8</v>
      </c>
      <c r="G123" s="156">
        <v>6.7</v>
      </c>
      <c r="H123" s="181"/>
      <c r="I123" s="177">
        <f>+D123*F123*G123-(2*2*3)</f>
        <v>20.159999999999997</v>
      </c>
      <c r="J123" s="159"/>
      <c r="K123" s="160">
        <v>10269</v>
      </c>
      <c r="L123" s="160">
        <v>19316</v>
      </c>
      <c r="M123" s="159"/>
      <c r="N123" s="159"/>
      <c r="O123" s="159"/>
      <c r="P123" s="159"/>
      <c r="Q123" s="159"/>
      <c r="R123" s="160"/>
      <c r="S123" s="161"/>
    </row>
    <row r="124" spans="1:19" ht="17.399999999999999" hidden="1" thickTop="1" thickBot="1" x14ac:dyDescent="0.4">
      <c r="A124" s="316"/>
      <c r="B124" s="151"/>
      <c r="C124" s="152" t="s">
        <v>43</v>
      </c>
      <c r="D124" s="153">
        <v>1</v>
      </c>
      <c r="E124" s="179"/>
      <c r="F124" s="180">
        <v>5.75</v>
      </c>
      <c r="G124" s="156">
        <v>3.1</v>
      </c>
      <c r="H124" s="181"/>
      <c r="I124" s="177">
        <f>+D124*F124*G124-(2*2*3)</f>
        <v>5.8249999999999993</v>
      </c>
      <c r="J124" s="159"/>
      <c r="K124" s="160">
        <v>10269</v>
      </c>
      <c r="L124" s="160">
        <v>19316</v>
      </c>
      <c r="M124" s="159"/>
      <c r="N124" s="159"/>
      <c r="O124" s="159"/>
      <c r="P124" s="159"/>
      <c r="Q124" s="159"/>
      <c r="R124" s="160"/>
      <c r="S124" s="161"/>
    </row>
    <row r="125" spans="1:19" ht="17.399999999999999" thickTop="1" thickBot="1" x14ac:dyDescent="0.4">
      <c r="A125" s="316"/>
      <c r="B125" s="151" t="s">
        <v>127</v>
      </c>
      <c r="C125" s="152" t="s">
        <v>405</v>
      </c>
      <c r="D125" s="153"/>
      <c r="E125" s="156"/>
      <c r="F125" s="156"/>
      <c r="G125" s="156"/>
      <c r="H125" s="157" t="s">
        <v>14</v>
      </c>
      <c r="I125" s="158"/>
      <c r="J125" s="309">
        <f>SUM(I126:I128)</f>
        <v>47.929999999999993</v>
      </c>
      <c r="K125" s="160">
        <v>10269</v>
      </c>
      <c r="L125" s="160">
        <v>19316</v>
      </c>
      <c r="M125" s="301">
        <f>+K125+L125*J125</f>
        <v>936084.87999999989</v>
      </c>
      <c r="N125" s="301">
        <f>+M125*'COSTOS INDIVIDUALES'!$J$8</f>
        <v>1385486.3129166558</v>
      </c>
      <c r="O125" s="301">
        <f>+M125*'COSTOS INDIVIDUALES'!$J$9</f>
        <v>248062.49319999988</v>
      </c>
      <c r="P125" s="160">
        <f>+K125*'COSTOS INDIVIDUALES'!$J$8*J125</f>
        <v>728488.31865125382</v>
      </c>
      <c r="Q125" s="160">
        <f>+L125*'COSTOS INDIVIDUALES'!$J$8*J125</f>
        <v>1370287.3077288556</v>
      </c>
      <c r="R125" s="160">
        <f>+P125+Q125</f>
        <v>2098775.6263801092</v>
      </c>
      <c r="S125" s="161"/>
    </row>
    <row r="126" spans="1:19" ht="17.399999999999999" hidden="1" thickTop="1" thickBot="1" x14ac:dyDescent="0.4">
      <c r="A126" s="316"/>
      <c r="B126" s="151"/>
      <c r="C126" s="152" t="s">
        <v>406</v>
      </c>
      <c r="D126" s="153">
        <v>2</v>
      </c>
      <c r="E126" s="179"/>
      <c r="F126" s="180">
        <v>6.85</v>
      </c>
      <c r="G126" s="156">
        <v>2.8</v>
      </c>
      <c r="H126" s="181"/>
      <c r="I126" s="177">
        <f>+D126*F126*G126-(0.7*2*2)</f>
        <v>35.559999999999995</v>
      </c>
      <c r="J126" s="159"/>
      <c r="K126" s="160"/>
      <c r="L126" s="160"/>
      <c r="M126" s="159"/>
      <c r="N126" s="159"/>
      <c r="O126" s="159"/>
      <c r="P126" s="159"/>
      <c r="Q126" s="159"/>
      <c r="R126" s="160"/>
      <c r="S126" s="161"/>
    </row>
    <row r="127" spans="1:19" ht="17.399999999999999" hidden="1" thickTop="1" thickBot="1" x14ac:dyDescent="0.4">
      <c r="A127" s="316"/>
      <c r="B127" s="151"/>
      <c r="C127" s="152" t="s">
        <v>31</v>
      </c>
      <c r="D127" s="153">
        <v>1</v>
      </c>
      <c r="E127" s="179"/>
      <c r="F127" s="180">
        <v>1.85</v>
      </c>
      <c r="G127" s="156">
        <v>2.6</v>
      </c>
      <c r="H127" s="181"/>
      <c r="I127" s="177">
        <f>+D127*F127*G127-(0.7*2*2)</f>
        <v>2.0100000000000007</v>
      </c>
      <c r="J127" s="159"/>
      <c r="K127" s="160"/>
      <c r="L127" s="160"/>
      <c r="M127" s="159"/>
      <c r="N127" s="159"/>
      <c r="O127" s="159"/>
      <c r="P127" s="159"/>
      <c r="Q127" s="159"/>
      <c r="R127" s="160"/>
      <c r="S127" s="161"/>
    </row>
    <row r="128" spans="1:19" ht="17.399999999999999" hidden="1" thickTop="1" thickBot="1" x14ac:dyDescent="0.4">
      <c r="A128" s="316"/>
      <c r="B128" s="151"/>
      <c r="C128" s="152" t="s">
        <v>41</v>
      </c>
      <c r="D128" s="153">
        <v>1</v>
      </c>
      <c r="E128" s="179"/>
      <c r="F128" s="180">
        <v>5.8</v>
      </c>
      <c r="G128" s="156">
        <v>3</v>
      </c>
      <c r="H128" s="181"/>
      <c r="I128" s="177">
        <f>+D128*F128*G128-(1.6*2.2*2)</f>
        <v>10.359999999999998</v>
      </c>
      <c r="J128" s="159"/>
      <c r="K128" s="160"/>
      <c r="L128" s="160"/>
      <c r="M128" s="159"/>
      <c r="N128" s="159"/>
      <c r="O128" s="159"/>
      <c r="P128" s="159"/>
      <c r="Q128" s="159"/>
      <c r="R128" s="160"/>
      <c r="S128" s="161"/>
    </row>
    <row r="129" spans="1:19" ht="16.8" thickTop="1" x14ac:dyDescent="0.35">
      <c r="A129" s="332">
        <v>6</v>
      </c>
      <c r="B129" s="172" t="s">
        <v>105</v>
      </c>
      <c r="C129" s="173"/>
      <c r="D129" s="153"/>
      <c r="E129" s="154"/>
      <c r="F129" s="155"/>
      <c r="G129" s="155"/>
      <c r="H129" s="157"/>
      <c r="I129" s="158"/>
      <c r="J129" s="182"/>
      <c r="K129" s="200"/>
      <c r="L129" s="200"/>
      <c r="M129" s="182"/>
      <c r="N129" s="182"/>
      <c r="O129" s="182"/>
      <c r="P129" s="182"/>
      <c r="Q129" s="182"/>
      <c r="R129" s="175"/>
      <c r="S129" s="176">
        <f>SUM(R130)</f>
        <v>673152.08427719981</v>
      </c>
    </row>
    <row r="130" spans="1:19" ht="16.8" thickBot="1" x14ac:dyDescent="0.4">
      <c r="A130" s="333"/>
      <c r="B130" s="151" t="s">
        <v>15</v>
      </c>
      <c r="C130" s="152" t="s">
        <v>106</v>
      </c>
      <c r="D130" s="153"/>
      <c r="E130" s="154"/>
      <c r="F130" s="155"/>
      <c r="G130" s="156"/>
      <c r="H130" s="157" t="s">
        <v>14</v>
      </c>
      <c r="I130" s="158"/>
      <c r="J130" s="309">
        <f>SUM(I131:I136)</f>
        <v>13.781999999999998</v>
      </c>
      <c r="K130" s="160">
        <v>15000</v>
      </c>
      <c r="L130" s="160">
        <v>18000</v>
      </c>
      <c r="M130" s="301">
        <f>+K130+L130*J130</f>
        <v>263076</v>
      </c>
      <c r="N130" s="301">
        <f>+M130*'COSTOS INDIVIDUALES'!$J$8</f>
        <v>389375.15715119999</v>
      </c>
      <c r="O130" s="301">
        <f>+M130*'COSTOS INDIVIDUALES'!$J$9</f>
        <v>69715.13999999997</v>
      </c>
      <c r="P130" s="160">
        <f>+K130*'COSTOS INDIVIDUALES'!$J$8*J130</f>
        <v>305978.22012599994</v>
      </c>
      <c r="Q130" s="160">
        <f>+L130*'COSTOS INDIVIDUALES'!$J$8*J130</f>
        <v>367173.86415119993</v>
      </c>
      <c r="R130" s="160">
        <f>+P130+Q130</f>
        <v>673152.08427719981</v>
      </c>
      <c r="S130" s="161"/>
    </row>
    <row r="131" spans="1:19" ht="16.2" hidden="1" x14ac:dyDescent="0.35">
      <c r="A131" s="333"/>
      <c r="B131" s="151"/>
      <c r="C131" s="152" t="s">
        <v>40</v>
      </c>
      <c r="D131" s="153">
        <v>1</v>
      </c>
      <c r="E131" s="179">
        <v>0.6</v>
      </c>
      <c r="F131" s="180">
        <v>2.6</v>
      </c>
      <c r="G131" s="156"/>
      <c r="H131" s="181"/>
      <c r="I131" s="177">
        <f t="shared" ref="I131:I136" si="0">+D131*E131*F131</f>
        <v>1.56</v>
      </c>
      <c r="J131" s="159"/>
      <c r="K131" s="160"/>
      <c r="L131" s="160"/>
      <c r="M131" s="159"/>
      <c r="N131" s="159"/>
      <c r="O131" s="159"/>
      <c r="P131" s="159"/>
      <c r="Q131" s="159"/>
      <c r="R131" s="160"/>
      <c r="S131" s="161"/>
    </row>
    <row r="132" spans="1:19" ht="16.2" hidden="1" x14ac:dyDescent="0.35">
      <c r="A132" s="333"/>
      <c r="B132" s="151"/>
      <c r="C132" s="152" t="s">
        <v>14</v>
      </c>
      <c r="D132" s="153">
        <v>1</v>
      </c>
      <c r="E132" s="179">
        <v>0.6</v>
      </c>
      <c r="F132" s="180">
        <v>5.6</v>
      </c>
      <c r="G132" s="156"/>
      <c r="H132" s="181"/>
      <c r="I132" s="177">
        <f t="shared" si="0"/>
        <v>3.36</v>
      </c>
      <c r="J132" s="159"/>
      <c r="K132" s="160"/>
      <c r="L132" s="160"/>
      <c r="M132" s="159"/>
      <c r="N132" s="159"/>
      <c r="O132" s="159"/>
      <c r="P132" s="159"/>
      <c r="Q132" s="159"/>
      <c r="R132" s="160"/>
      <c r="S132" s="161"/>
    </row>
    <row r="133" spans="1:19" ht="16.2" hidden="1" x14ac:dyDescent="0.35">
      <c r="A133" s="333"/>
      <c r="B133" s="151"/>
      <c r="C133" s="152" t="s">
        <v>31</v>
      </c>
      <c r="D133" s="153">
        <v>1</v>
      </c>
      <c r="E133" s="179">
        <v>0.6</v>
      </c>
      <c r="F133" s="180">
        <v>4.5</v>
      </c>
      <c r="G133" s="156"/>
      <c r="H133" s="181"/>
      <c r="I133" s="177">
        <f t="shared" si="0"/>
        <v>2.6999999999999997</v>
      </c>
      <c r="J133" s="159"/>
      <c r="K133" s="160"/>
      <c r="L133" s="160"/>
      <c r="M133" s="159"/>
      <c r="N133" s="159"/>
      <c r="O133" s="159"/>
      <c r="P133" s="159"/>
      <c r="Q133" s="159"/>
      <c r="R133" s="160"/>
      <c r="S133" s="161"/>
    </row>
    <row r="134" spans="1:19" ht="16.2" hidden="1" x14ac:dyDescent="0.35">
      <c r="A134" s="333"/>
      <c r="B134" s="151"/>
      <c r="C134" s="152" t="s">
        <v>165</v>
      </c>
      <c r="D134" s="153">
        <v>1</v>
      </c>
      <c r="E134" s="179">
        <v>0.6</v>
      </c>
      <c r="F134" s="180">
        <v>5.77</v>
      </c>
      <c r="G134" s="156"/>
      <c r="H134" s="181"/>
      <c r="I134" s="177">
        <f t="shared" si="0"/>
        <v>3.4619999999999997</v>
      </c>
      <c r="J134" s="159"/>
      <c r="K134" s="160"/>
      <c r="L134" s="160"/>
      <c r="M134" s="159"/>
      <c r="N134" s="159"/>
      <c r="O134" s="159"/>
      <c r="P134" s="159"/>
      <c r="Q134" s="159"/>
      <c r="R134" s="160"/>
      <c r="S134" s="161"/>
    </row>
    <row r="135" spans="1:19" ht="16.2" hidden="1" x14ac:dyDescent="0.35">
      <c r="A135" s="333"/>
      <c r="B135" s="151"/>
      <c r="C135" s="152" t="s">
        <v>166</v>
      </c>
      <c r="D135" s="153">
        <v>1</v>
      </c>
      <c r="E135" s="179">
        <v>0.6</v>
      </c>
      <c r="F135" s="180">
        <v>2.25</v>
      </c>
      <c r="G135" s="156"/>
      <c r="H135" s="181"/>
      <c r="I135" s="177">
        <f t="shared" si="0"/>
        <v>1.3499999999999999</v>
      </c>
      <c r="J135" s="159"/>
      <c r="K135" s="160"/>
      <c r="L135" s="160"/>
      <c r="M135" s="159"/>
      <c r="N135" s="159"/>
      <c r="O135" s="159"/>
      <c r="P135" s="159"/>
      <c r="Q135" s="159"/>
      <c r="R135" s="160"/>
      <c r="S135" s="161"/>
    </row>
    <row r="136" spans="1:19" ht="16.8" hidden="1" thickBot="1" x14ac:dyDescent="0.4">
      <c r="A136" s="333"/>
      <c r="B136" s="151"/>
      <c r="C136" s="152" t="s">
        <v>164</v>
      </c>
      <c r="D136" s="153">
        <v>1</v>
      </c>
      <c r="E136" s="179">
        <v>0.6</v>
      </c>
      <c r="F136" s="180">
        <v>2.25</v>
      </c>
      <c r="G136" s="156"/>
      <c r="H136" s="181"/>
      <c r="I136" s="177">
        <f t="shared" si="0"/>
        <v>1.3499999999999999</v>
      </c>
      <c r="J136" s="159"/>
      <c r="K136" s="160"/>
      <c r="L136" s="160"/>
      <c r="M136" s="159"/>
      <c r="N136" s="159"/>
      <c r="O136" s="159"/>
      <c r="P136" s="159"/>
      <c r="Q136" s="159"/>
      <c r="R136" s="160"/>
      <c r="S136" s="161"/>
    </row>
    <row r="137" spans="1:19" ht="17.399999999999999" thickTop="1" thickBot="1" x14ac:dyDescent="0.4">
      <c r="A137" s="316">
        <v>7</v>
      </c>
      <c r="B137" s="172" t="s">
        <v>107</v>
      </c>
      <c r="C137" s="173"/>
      <c r="D137" s="153"/>
      <c r="E137" s="154"/>
      <c r="F137" s="155"/>
      <c r="G137" s="155"/>
      <c r="H137" s="157"/>
      <c r="I137" s="158"/>
      <c r="J137" s="182"/>
      <c r="K137" s="200"/>
      <c r="L137" s="200"/>
      <c r="M137" s="182"/>
      <c r="N137" s="182"/>
      <c r="O137" s="182"/>
      <c r="P137" s="182"/>
      <c r="Q137" s="182"/>
      <c r="R137" s="175"/>
      <c r="S137" s="176">
        <f>SUM(R138:R146)</f>
        <v>9757561.3502007723</v>
      </c>
    </row>
    <row r="138" spans="1:19" ht="17.399999999999999" thickTop="1" thickBot="1" x14ac:dyDescent="0.4">
      <c r="A138" s="316"/>
      <c r="B138" s="151" t="s">
        <v>16</v>
      </c>
      <c r="C138" s="152" t="s">
        <v>108</v>
      </c>
      <c r="D138" s="153"/>
      <c r="E138" s="156"/>
      <c r="F138" s="156"/>
      <c r="G138" s="156"/>
      <c r="H138" s="157" t="s">
        <v>14</v>
      </c>
      <c r="I138" s="158"/>
      <c r="J138" s="309">
        <f>SUM(I139:I141)</f>
        <v>113.0955</v>
      </c>
      <c r="K138" s="160">
        <v>29764</v>
      </c>
      <c r="L138" s="160">
        <v>28528</v>
      </c>
      <c r="M138" s="301">
        <f>+K138+L138*J138</f>
        <v>3256152.4240000001</v>
      </c>
      <c r="N138" s="301">
        <f>+M138*'COSTOS INDIVIDUALES'!$J$8</f>
        <v>4819386.2678589486</v>
      </c>
      <c r="O138" s="301">
        <f>+M138*'COSTOS INDIVIDUALES'!$J$9</f>
        <v>862880.39235999971</v>
      </c>
      <c r="P138" s="160">
        <f>+K138*'COSTOS INDIVIDUALES'!$J$8*J138</f>
        <v>4982228.3679986242</v>
      </c>
      <c r="Q138" s="160">
        <f>+L138*'COSTOS INDIVIDUALES'!$J$8*J138</f>
        <v>4775332.9822021481</v>
      </c>
      <c r="R138" s="160">
        <f>+P138+Q138</f>
        <v>9757561.3502007723</v>
      </c>
      <c r="S138" s="161"/>
    </row>
    <row r="139" spans="1:19" ht="17.399999999999999" hidden="1" thickTop="1" thickBot="1" x14ac:dyDescent="0.4">
      <c r="A139" s="316"/>
      <c r="B139" s="151"/>
      <c r="C139" s="152" t="s">
        <v>407</v>
      </c>
      <c r="D139" s="153">
        <v>1</v>
      </c>
      <c r="E139" s="156">
        <v>3.65</v>
      </c>
      <c r="F139" s="156">
        <v>4.03</v>
      </c>
      <c r="G139" s="156"/>
      <c r="H139" s="157"/>
      <c r="I139" s="177">
        <f>+D139*E139*F139</f>
        <v>14.7095</v>
      </c>
      <c r="J139" s="159"/>
      <c r="K139" s="160"/>
      <c r="L139" s="160"/>
      <c r="M139" s="159"/>
      <c r="N139" s="159"/>
      <c r="O139" s="159"/>
      <c r="P139" s="159"/>
      <c r="Q139" s="159"/>
      <c r="R139" s="160"/>
      <c r="S139" s="161"/>
    </row>
    <row r="140" spans="1:19" ht="17.399999999999999" hidden="1" thickTop="1" thickBot="1" x14ac:dyDescent="0.4">
      <c r="A140" s="316"/>
      <c r="B140" s="151"/>
      <c r="C140" s="152" t="s">
        <v>408</v>
      </c>
      <c r="D140" s="153">
        <v>1</v>
      </c>
      <c r="E140" s="156">
        <v>5.82</v>
      </c>
      <c r="F140" s="156">
        <v>2.2999999999999998</v>
      </c>
      <c r="G140" s="156"/>
      <c r="H140" s="157"/>
      <c r="I140" s="177">
        <f>+D140*E140*F140</f>
        <v>13.385999999999999</v>
      </c>
      <c r="J140" s="159"/>
      <c r="K140" s="160"/>
      <c r="L140" s="160"/>
      <c r="M140" s="159"/>
      <c r="N140" s="159"/>
      <c r="O140" s="159"/>
      <c r="P140" s="159"/>
      <c r="Q140" s="159"/>
      <c r="R140" s="160"/>
      <c r="S140" s="161"/>
    </row>
    <row r="141" spans="1:19" ht="17.399999999999999" hidden="1" thickTop="1" thickBot="1" x14ac:dyDescent="0.4">
      <c r="A141" s="316"/>
      <c r="B141" s="151"/>
      <c r="C141" s="152" t="s">
        <v>409</v>
      </c>
      <c r="D141" s="153">
        <v>1</v>
      </c>
      <c r="E141" s="156">
        <v>7</v>
      </c>
      <c r="F141" s="156">
        <v>7</v>
      </c>
      <c r="G141" s="156"/>
      <c r="H141" s="157"/>
      <c r="I141" s="177">
        <v>85</v>
      </c>
      <c r="J141" s="159"/>
      <c r="K141" s="160"/>
      <c r="L141" s="160"/>
      <c r="M141" s="159"/>
      <c r="N141" s="159"/>
      <c r="O141" s="159"/>
      <c r="P141" s="159"/>
      <c r="Q141" s="159"/>
      <c r="R141" s="160"/>
      <c r="S141" s="161"/>
    </row>
    <row r="142" spans="1:19" ht="17.399999999999999" hidden="1" thickTop="1" thickBot="1" x14ac:dyDescent="0.4">
      <c r="A142" s="316"/>
      <c r="B142" s="151" t="s">
        <v>128</v>
      </c>
      <c r="C142" s="152" t="s">
        <v>109</v>
      </c>
      <c r="D142" s="153"/>
      <c r="E142" s="156"/>
      <c r="F142" s="156"/>
      <c r="G142" s="156"/>
      <c r="H142" s="157" t="s">
        <v>51</v>
      </c>
      <c r="I142" s="158"/>
      <c r="J142" s="310">
        <f>SUM(I143:I145)</f>
        <v>18.060000000000002</v>
      </c>
      <c r="K142" s="160"/>
      <c r="L142" s="160"/>
      <c r="M142" s="301">
        <f>+K142+L142*J142</f>
        <v>0</v>
      </c>
      <c r="N142" s="301">
        <f>+M142*'COSTOS INDIVIDUALES'!$J$8</f>
        <v>0</v>
      </c>
      <c r="O142" s="301">
        <f>+M142*'COSTOS INDIVIDUALES'!$J$9</f>
        <v>0</v>
      </c>
      <c r="P142" s="160">
        <f>+K142*'COSTOS INDIVIDUALES'!$J$8*J142</f>
        <v>0</v>
      </c>
      <c r="Q142" s="160">
        <f>+L142*'COSTOS INDIVIDUALES'!$J$8*J142</f>
        <v>0</v>
      </c>
      <c r="R142" s="160">
        <f>+P142+Q142</f>
        <v>0</v>
      </c>
      <c r="S142" s="161"/>
    </row>
    <row r="143" spans="1:19" ht="17.399999999999999" hidden="1" thickTop="1" thickBot="1" x14ac:dyDescent="0.4">
      <c r="A143" s="316"/>
      <c r="B143" s="151"/>
      <c r="C143" s="152" t="s">
        <v>171</v>
      </c>
      <c r="D143" s="153"/>
      <c r="E143" s="156"/>
      <c r="F143" s="156"/>
      <c r="G143" s="156"/>
      <c r="H143" s="157"/>
      <c r="I143" s="158">
        <v>4.8</v>
      </c>
      <c r="J143" s="159"/>
      <c r="K143" s="160"/>
      <c r="L143" s="160"/>
      <c r="M143" s="159"/>
      <c r="N143" s="159"/>
      <c r="O143" s="159"/>
      <c r="P143" s="159"/>
      <c r="Q143" s="159"/>
      <c r="R143" s="160"/>
      <c r="S143" s="161"/>
    </row>
    <row r="144" spans="1:19" ht="17.399999999999999" hidden="1" thickTop="1" thickBot="1" x14ac:dyDescent="0.4">
      <c r="A144" s="316"/>
      <c r="B144" s="151"/>
      <c r="C144" s="152" t="s">
        <v>172</v>
      </c>
      <c r="D144" s="153"/>
      <c r="E144" s="156"/>
      <c r="F144" s="156"/>
      <c r="G144" s="156"/>
      <c r="H144" s="157"/>
      <c r="I144" s="158">
        <v>2.6</v>
      </c>
      <c r="J144" s="159"/>
      <c r="K144" s="160"/>
      <c r="L144" s="160"/>
      <c r="M144" s="159"/>
      <c r="N144" s="159"/>
      <c r="O144" s="159"/>
      <c r="P144" s="159"/>
      <c r="Q144" s="159"/>
      <c r="R144" s="160"/>
      <c r="S144" s="161"/>
    </row>
    <row r="145" spans="1:19" ht="17.399999999999999" hidden="1" thickTop="1" thickBot="1" x14ac:dyDescent="0.4">
      <c r="A145" s="316"/>
      <c r="B145" s="151"/>
      <c r="C145" s="152" t="s">
        <v>173</v>
      </c>
      <c r="D145" s="153"/>
      <c r="E145" s="156"/>
      <c r="F145" s="156"/>
      <c r="G145" s="156"/>
      <c r="H145" s="157"/>
      <c r="I145" s="158">
        <v>10.66</v>
      </c>
      <c r="J145" s="159"/>
      <c r="K145" s="160"/>
      <c r="L145" s="160"/>
      <c r="M145" s="159"/>
      <c r="N145" s="159"/>
      <c r="O145" s="159"/>
      <c r="P145" s="159"/>
      <c r="Q145" s="159"/>
      <c r="R145" s="160"/>
      <c r="S145" s="161"/>
    </row>
    <row r="146" spans="1:19" ht="17.399999999999999" hidden="1" thickTop="1" thickBot="1" x14ac:dyDescent="0.4">
      <c r="A146" s="316"/>
      <c r="B146" s="151" t="s">
        <v>129</v>
      </c>
      <c r="C146" s="152" t="s">
        <v>110</v>
      </c>
      <c r="D146" s="153"/>
      <c r="E146" s="156"/>
      <c r="F146" s="156"/>
      <c r="G146" s="156"/>
      <c r="H146" s="157" t="s">
        <v>14</v>
      </c>
      <c r="I146" s="158"/>
      <c r="J146" s="310">
        <f>SUM(I147:I149)</f>
        <v>55.5</v>
      </c>
      <c r="K146" s="160"/>
      <c r="L146" s="160"/>
      <c r="M146" s="301">
        <f>+K146+L146*J146</f>
        <v>0</v>
      </c>
      <c r="N146" s="301">
        <f>+M146*'COSTOS INDIVIDUALES'!$J$8</f>
        <v>0</v>
      </c>
      <c r="O146" s="301">
        <f>+M146*'COSTOS INDIVIDUALES'!$J$9</f>
        <v>0</v>
      </c>
      <c r="P146" s="160">
        <f>+K146*'COSTOS INDIVIDUALES'!$J$8*J146</f>
        <v>0</v>
      </c>
      <c r="Q146" s="160">
        <f>+L146*'COSTOS INDIVIDUALES'!$J$8*J146</f>
        <v>0</v>
      </c>
      <c r="R146" s="160">
        <f>+P146+Q146</f>
        <v>0</v>
      </c>
      <c r="S146" s="161"/>
    </row>
    <row r="147" spans="1:19" ht="17.399999999999999" hidden="1" thickTop="1" thickBot="1" x14ac:dyDescent="0.4">
      <c r="A147" s="316"/>
      <c r="B147" s="151"/>
      <c r="C147" s="152" t="s">
        <v>171</v>
      </c>
      <c r="D147" s="153">
        <v>1</v>
      </c>
      <c r="E147" s="156"/>
      <c r="F147" s="156"/>
      <c r="G147" s="156">
        <v>29.2</v>
      </c>
      <c r="H147" s="157"/>
      <c r="I147" s="158">
        <f>+D147*G147</f>
        <v>29.2</v>
      </c>
      <c r="J147" s="159"/>
      <c r="K147" s="160"/>
      <c r="L147" s="160"/>
      <c r="M147" s="159"/>
      <c r="N147" s="159"/>
      <c r="O147" s="159"/>
      <c r="P147" s="159"/>
      <c r="Q147" s="159"/>
      <c r="R147" s="160"/>
      <c r="S147" s="161"/>
    </row>
    <row r="148" spans="1:19" ht="17.399999999999999" hidden="1" thickTop="1" thickBot="1" x14ac:dyDescent="0.4">
      <c r="A148" s="316"/>
      <c r="B148" s="151"/>
      <c r="C148" s="152" t="s">
        <v>175</v>
      </c>
      <c r="D148" s="153">
        <v>1</v>
      </c>
      <c r="E148" s="156"/>
      <c r="F148" s="156"/>
      <c r="G148" s="156">
        <v>14.4</v>
      </c>
      <c r="H148" s="157"/>
      <c r="I148" s="158">
        <f>+D148*G148</f>
        <v>14.4</v>
      </c>
      <c r="J148" s="159"/>
      <c r="K148" s="160"/>
      <c r="L148" s="160"/>
      <c r="M148" s="159"/>
      <c r="N148" s="159"/>
      <c r="O148" s="159"/>
      <c r="P148" s="159"/>
      <c r="Q148" s="159"/>
      <c r="R148" s="160"/>
      <c r="S148" s="161"/>
    </row>
    <row r="149" spans="1:19" ht="17.399999999999999" hidden="1" thickTop="1" thickBot="1" x14ac:dyDescent="0.4">
      <c r="A149" s="316"/>
      <c r="B149" s="151"/>
      <c r="C149" s="152" t="s">
        <v>174</v>
      </c>
      <c r="D149" s="153">
        <v>1</v>
      </c>
      <c r="E149" s="156"/>
      <c r="F149" s="156"/>
      <c r="G149" s="156">
        <v>11.9</v>
      </c>
      <c r="H149" s="157"/>
      <c r="I149" s="158">
        <f>+D149*G149</f>
        <v>11.9</v>
      </c>
      <c r="J149" s="159"/>
      <c r="K149" s="160"/>
      <c r="L149" s="160"/>
      <c r="M149" s="159"/>
      <c r="N149" s="159"/>
      <c r="O149" s="159"/>
      <c r="P149" s="159"/>
      <c r="Q149" s="159"/>
      <c r="R149" s="160"/>
      <c r="S149" s="161"/>
    </row>
    <row r="150" spans="1:19" ht="17.399999999999999" thickTop="1" thickBot="1" x14ac:dyDescent="0.4">
      <c r="A150" s="316">
        <v>8</v>
      </c>
      <c r="B150" s="172" t="s">
        <v>111</v>
      </c>
      <c r="C150" s="173"/>
      <c r="D150" s="153"/>
      <c r="E150" s="154"/>
      <c r="F150" s="155"/>
      <c r="G150" s="155"/>
      <c r="H150" s="157"/>
      <c r="I150" s="158"/>
      <c r="J150" s="182"/>
      <c r="K150" s="200"/>
      <c r="L150" s="200"/>
      <c r="M150" s="182"/>
      <c r="N150" s="182"/>
      <c r="O150" s="182"/>
      <c r="P150" s="182"/>
      <c r="Q150" s="182"/>
      <c r="R150" s="175"/>
      <c r="S150" s="176">
        <f>SUM(R151:R162)</f>
        <v>10588984.507441705</v>
      </c>
    </row>
    <row r="151" spans="1:19" ht="17.399999999999999" thickTop="1" thickBot="1" x14ac:dyDescent="0.4">
      <c r="A151" s="316"/>
      <c r="B151" s="151" t="s">
        <v>32</v>
      </c>
      <c r="C151" s="152" t="s">
        <v>410</v>
      </c>
      <c r="D151" s="153"/>
      <c r="E151" s="154"/>
      <c r="F151" s="155"/>
      <c r="G151" s="156"/>
      <c r="H151" s="157" t="s">
        <v>14</v>
      </c>
      <c r="I151" s="158"/>
      <c r="J151" s="309">
        <f>SUM(I152)</f>
        <v>22.14</v>
      </c>
      <c r="K151" s="160">
        <v>3456</v>
      </c>
      <c r="L151" s="160">
        <v>20194</v>
      </c>
      <c r="M151" s="301">
        <f>+K151+L151*J151</f>
        <v>450551.16000000003</v>
      </c>
      <c r="N151" s="301">
        <f>+M151*'COSTOS INDIVIDUALES'!$J$8</f>
        <v>666854.554309992</v>
      </c>
      <c r="O151" s="301">
        <f>+M151*'COSTOS INDIVIDUALES'!$J$9</f>
        <v>119396.05739999996</v>
      </c>
      <c r="P151" s="160">
        <f>+K151*'COSTOS INDIVIDUALES'!$J$8*J151</f>
        <v>113250.038865408</v>
      </c>
      <c r="Q151" s="160">
        <f>+L151*'COSTOS INDIVIDUALES'!$J$8*J151</f>
        <v>661739.37640279194</v>
      </c>
      <c r="R151" s="160">
        <f>+P151+Q151</f>
        <v>774989.41526819998</v>
      </c>
      <c r="S151" s="161"/>
    </row>
    <row r="152" spans="1:19" ht="17.399999999999999" hidden="1" thickTop="1" thickBot="1" x14ac:dyDescent="0.4">
      <c r="A152" s="316"/>
      <c r="B152" s="151"/>
      <c r="C152" s="152" t="s">
        <v>40</v>
      </c>
      <c r="D152" s="153">
        <v>1</v>
      </c>
      <c r="E152" s="179"/>
      <c r="F152" s="180"/>
      <c r="G152" s="156"/>
      <c r="H152" s="181"/>
      <c r="I152" s="177">
        <f>+J111</f>
        <v>22.14</v>
      </c>
      <c r="J152" s="159"/>
      <c r="K152" s="160"/>
      <c r="L152" s="160"/>
      <c r="M152" s="159"/>
      <c r="N152" s="159"/>
      <c r="O152" s="159"/>
      <c r="P152" s="159"/>
      <c r="Q152" s="159"/>
      <c r="R152" s="160"/>
      <c r="S152" s="161"/>
    </row>
    <row r="153" spans="1:19" ht="17.399999999999999" thickTop="1" thickBot="1" x14ac:dyDescent="0.4">
      <c r="A153" s="316"/>
      <c r="B153" s="151" t="s">
        <v>130</v>
      </c>
      <c r="C153" s="152" t="s">
        <v>411</v>
      </c>
      <c r="D153" s="153"/>
      <c r="E153" s="154"/>
      <c r="F153" s="155"/>
      <c r="G153" s="156"/>
      <c r="H153" s="157" t="s">
        <v>14</v>
      </c>
      <c r="I153" s="158"/>
      <c r="J153" s="309">
        <f>SUM(I154)*2+I152-J159</f>
        <v>76.848000000000013</v>
      </c>
      <c r="K153" s="160">
        <v>2100</v>
      </c>
      <c r="L153" s="160">
        <v>10708</v>
      </c>
      <c r="M153" s="301">
        <f>+K153+L153*J153</f>
        <v>824988.38400000019</v>
      </c>
      <c r="N153" s="301">
        <f>+M153*'COSTOS INDIVIDUALES'!$J$8</f>
        <v>1221053.9223187009</v>
      </c>
      <c r="O153" s="301">
        <f>+M153*'COSTOS INDIVIDUALES'!$J$9</f>
        <v>218621.92175999997</v>
      </c>
      <c r="P153" s="160">
        <f>+K153*'COSTOS INDIVIDUALES'!$J$8*J153</f>
        <v>238857.49502496005</v>
      </c>
      <c r="Q153" s="160">
        <f>+L153*'COSTOS INDIVIDUALES'!$J$8*J153</f>
        <v>1217945.7412987009</v>
      </c>
      <c r="R153" s="160">
        <f>+P153+Q153</f>
        <v>1456803.2363236609</v>
      </c>
      <c r="S153" s="161"/>
    </row>
    <row r="154" spans="1:19" ht="17.399999999999999" hidden="1" thickTop="1" thickBot="1" x14ac:dyDescent="0.4">
      <c r="A154" s="316"/>
      <c r="B154" s="151"/>
      <c r="C154" s="152" t="s">
        <v>40</v>
      </c>
      <c r="D154" s="153">
        <v>1</v>
      </c>
      <c r="E154" s="179"/>
      <c r="F154" s="180"/>
      <c r="G154" s="156"/>
      <c r="H154" s="181"/>
      <c r="I154" s="177">
        <f>+J114</f>
        <v>39.879000000000005</v>
      </c>
      <c r="J154" s="159"/>
      <c r="K154" s="160"/>
      <c r="L154" s="160"/>
      <c r="M154" s="159"/>
      <c r="N154" s="159"/>
      <c r="O154" s="159"/>
      <c r="P154" s="159"/>
      <c r="Q154" s="159"/>
      <c r="R154" s="160"/>
      <c r="S154" s="161"/>
    </row>
    <row r="155" spans="1:19" ht="17.399999999999999" thickTop="1" thickBot="1" x14ac:dyDescent="0.4">
      <c r="A155" s="316"/>
      <c r="B155" s="151" t="s">
        <v>131</v>
      </c>
      <c r="C155" s="152" t="s">
        <v>412</v>
      </c>
      <c r="D155" s="153"/>
      <c r="E155" s="154"/>
      <c r="F155" s="155"/>
      <c r="G155" s="156"/>
      <c r="H155" s="157" t="s">
        <v>14</v>
      </c>
      <c r="I155" s="158"/>
      <c r="J155" s="309">
        <f>SUM(I156)</f>
        <v>112.538</v>
      </c>
      <c r="K155" s="160">
        <v>3456</v>
      </c>
      <c r="L155" s="160">
        <v>20194</v>
      </c>
      <c r="M155" s="301">
        <f>+K155+L155*J155</f>
        <v>2276048.372</v>
      </c>
      <c r="N155" s="301">
        <f>+M155*'COSTOS INDIVIDUALES'!$J$8</f>
        <v>3368747.7859296664</v>
      </c>
      <c r="O155" s="301">
        <f>+M155*'COSTOS INDIVIDUALES'!$J$9</f>
        <v>603152.81857999973</v>
      </c>
      <c r="P155" s="160">
        <f>+K155*'COSTOS INDIVIDUALES'!$J$8*J155</f>
        <v>575651.89132047363</v>
      </c>
      <c r="Q155" s="160">
        <f>+L155*'COSTOS INDIVIDUALES'!$J$8*J155</f>
        <v>3363632.6080224658</v>
      </c>
      <c r="R155" s="160">
        <f>+P155+Q155</f>
        <v>3939284.4993429394</v>
      </c>
      <c r="S155" s="161"/>
    </row>
    <row r="156" spans="1:19" ht="17.399999999999999" hidden="1" thickTop="1" thickBot="1" x14ac:dyDescent="0.4">
      <c r="A156" s="316"/>
      <c r="B156" s="151"/>
      <c r="C156" s="152" t="s">
        <v>40</v>
      </c>
      <c r="D156" s="153">
        <v>1</v>
      </c>
      <c r="E156" s="179"/>
      <c r="F156" s="180"/>
      <c r="G156" s="156"/>
      <c r="H156" s="181"/>
      <c r="I156" s="177">
        <f>+J119+((I122+I123)/2)</f>
        <v>112.538</v>
      </c>
      <c r="J156" s="159"/>
      <c r="K156" s="160"/>
      <c r="L156" s="160"/>
      <c r="M156" s="159"/>
      <c r="N156" s="159"/>
      <c r="O156" s="159"/>
      <c r="P156" s="159"/>
      <c r="Q156" s="159"/>
      <c r="R156" s="160"/>
      <c r="S156" s="161"/>
    </row>
    <row r="157" spans="1:19" ht="17.399999999999999" thickTop="1" thickBot="1" x14ac:dyDescent="0.4">
      <c r="A157" s="316"/>
      <c r="B157" s="151" t="s">
        <v>414</v>
      </c>
      <c r="C157" s="152" t="s">
        <v>413</v>
      </c>
      <c r="D157" s="153"/>
      <c r="E157" s="154"/>
      <c r="F157" s="155"/>
      <c r="G157" s="156"/>
      <c r="H157" s="157" t="s">
        <v>14</v>
      </c>
      <c r="I157" s="158"/>
      <c r="J157" s="309">
        <f>SUM(I158)-J162</f>
        <v>174.58599999999998</v>
      </c>
      <c r="K157" s="160">
        <v>2100</v>
      </c>
      <c r="L157" s="160">
        <v>10708</v>
      </c>
      <c r="M157" s="301">
        <f>+K157+L157*J157</f>
        <v>1871566.8879999998</v>
      </c>
      <c r="N157" s="301">
        <f>+M157*'COSTOS INDIVIDUALES'!$J$8</f>
        <v>2770080.3233057451</v>
      </c>
      <c r="O157" s="301">
        <f>+M157*'COSTOS INDIVIDUALES'!$J$9</f>
        <v>495965.22531999974</v>
      </c>
      <c r="P157" s="160">
        <f>+K157*'COSTOS INDIVIDUALES'!$J$8*J157</f>
        <v>542644.89155771991</v>
      </c>
      <c r="Q157" s="160">
        <f>+L157*'COSTOS INDIVIDUALES'!$J$8*J157</f>
        <v>2766972.1422857451</v>
      </c>
      <c r="R157" s="160">
        <f>+P157+Q157</f>
        <v>3309617.0338434651</v>
      </c>
      <c r="S157" s="161"/>
    </row>
    <row r="158" spans="1:19" ht="17.399999999999999" hidden="1" thickTop="1" thickBot="1" x14ac:dyDescent="0.4">
      <c r="A158" s="316"/>
      <c r="B158" s="151"/>
      <c r="C158" s="152" t="s">
        <v>40</v>
      </c>
      <c r="D158" s="153">
        <v>1</v>
      </c>
      <c r="E158" s="179"/>
      <c r="F158" s="180"/>
      <c r="G158" s="156"/>
      <c r="H158" s="181"/>
      <c r="I158" s="177">
        <f>(+(J125+I120+I121+I124)*2)+((I122+I123)/2)</f>
        <v>218.46099999999998</v>
      </c>
      <c r="J158" s="159"/>
      <c r="K158" s="160"/>
      <c r="L158" s="160"/>
      <c r="M158" s="159"/>
      <c r="N158" s="159"/>
      <c r="O158" s="159"/>
      <c r="P158" s="159"/>
      <c r="Q158" s="159"/>
      <c r="R158" s="160"/>
      <c r="S158" s="161"/>
    </row>
    <row r="159" spans="1:19" ht="17.399999999999999" thickTop="1" thickBot="1" x14ac:dyDescent="0.4">
      <c r="A159" s="316"/>
      <c r="B159" s="151" t="s">
        <v>416</v>
      </c>
      <c r="C159" s="152" t="s">
        <v>415</v>
      </c>
      <c r="D159" s="153"/>
      <c r="E159" s="156"/>
      <c r="F159" s="156"/>
      <c r="G159" s="156"/>
      <c r="H159" s="157" t="s">
        <v>14</v>
      </c>
      <c r="I159" s="158"/>
      <c r="J159" s="310">
        <f>SUM(I160:I161)</f>
        <v>25.05</v>
      </c>
      <c r="K159" s="160">
        <v>2737</v>
      </c>
      <c r="L159" s="160">
        <v>8127</v>
      </c>
      <c r="M159" s="301">
        <f>+K159+L159*J159</f>
        <v>206318.35</v>
      </c>
      <c r="N159" s="301">
        <f>+M159*'COSTOS INDIVIDUALES'!$J$8</f>
        <v>305368.94264177</v>
      </c>
      <c r="O159" s="301">
        <f>+M159*'COSTOS INDIVIDUALES'!$J$9</f>
        <v>54674.362749999978</v>
      </c>
      <c r="P159" s="160">
        <f>+K159*'COSTOS INDIVIDUALES'!$J$8*J159</f>
        <v>101477.44803146999</v>
      </c>
      <c r="Q159" s="160">
        <f>+L159*'COSTOS INDIVIDUALES'!$J$8*J159</f>
        <v>301317.94671236997</v>
      </c>
      <c r="R159" s="160">
        <f>+P159+Q159</f>
        <v>402795.39474383998</v>
      </c>
      <c r="S159" s="161"/>
    </row>
    <row r="160" spans="1:19" ht="17.399999999999999" hidden="1" thickTop="1" thickBot="1" x14ac:dyDescent="0.4">
      <c r="A160" s="316"/>
      <c r="B160" s="151"/>
      <c r="C160" s="152" t="s">
        <v>38</v>
      </c>
      <c r="D160" s="153">
        <v>1</v>
      </c>
      <c r="E160" s="156"/>
      <c r="F160" s="185">
        <v>6.6</v>
      </c>
      <c r="G160" s="156">
        <v>2.5</v>
      </c>
      <c r="H160" s="157"/>
      <c r="I160" s="158">
        <f>+D160*F160*G160</f>
        <v>16.5</v>
      </c>
      <c r="J160" s="159"/>
      <c r="K160" s="160"/>
      <c r="L160" s="160"/>
      <c r="M160" s="159"/>
      <c r="N160" s="159"/>
      <c r="O160" s="159"/>
      <c r="P160" s="159"/>
      <c r="Q160" s="159"/>
      <c r="R160" s="160"/>
      <c r="S160" s="161"/>
    </row>
    <row r="161" spans="1:19" ht="17.399999999999999" hidden="1" thickTop="1" thickBot="1" x14ac:dyDescent="0.4">
      <c r="A161" s="316"/>
      <c r="B161" s="151"/>
      <c r="C161" s="152" t="s">
        <v>39</v>
      </c>
      <c r="D161" s="153">
        <v>1</v>
      </c>
      <c r="E161" s="156"/>
      <c r="F161" s="185">
        <v>5.7</v>
      </c>
      <c r="G161" s="156">
        <v>1.5</v>
      </c>
      <c r="H161" s="157"/>
      <c r="I161" s="158">
        <f>+D161*F161*G161</f>
        <v>8.5500000000000007</v>
      </c>
      <c r="J161" s="159"/>
      <c r="K161" s="160"/>
      <c r="L161" s="160"/>
      <c r="M161" s="159"/>
      <c r="N161" s="159"/>
      <c r="O161" s="159"/>
      <c r="P161" s="159"/>
      <c r="Q161" s="159"/>
      <c r="R161" s="160"/>
      <c r="S161" s="161"/>
    </row>
    <row r="162" spans="1:19" ht="17.399999999999999" thickTop="1" thickBot="1" x14ac:dyDescent="0.4">
      <c r="A162" s="316"/>
      <c r="B162" s="151" t="s">
        <v>418</v>
      </c>
      <c r="C162" s="152" t="s">
        <v>417</v>
      </c>
      <c r="D162" s="153"/>
      <c r="E162" s="156"/>
      <c r="F162" s="156"/>
      <c r="G162" s="156"/>
      <c r="H162" s="157" t="s">
        <v>14</v>
      </c>
      <c r="I162" s="158"/>
      <c r="J162" s="310">
        <f>SUM(I163:I163)</f>
        <v>43.875</v>
      </c>
      <c r="K162" s="160">
        <v>2737</v>
      </c>
      <c r="L162" s="160">
        <v>8127</v>
      </c>
      <c r="M162" s="301">
        <f>+K162+L162*J162</f>
        <v>359309.125</v>
      </c>
      <c r="N162" s="301">
        <f>+M162*'COSTOS INDIVIDUALES'!$J$8</f>
        <v>531808.47744657495</v>
      </c>
      <c r="O162" s="301">
        <f>+M162*'COSTOS INDIVIDUALES'!$J$9</f>
        <v>95216.918124999967</v>
      </c>
      <c r="P162" s="160">
        <f>+K162*'COSTOS INDIVIDUALES'!$J$8*J162</f>
        <v>177737.44640242498</v>
      </c>
      <c r="Q162" s="160">
        <f>+L162*'COSTOS INDIVIDUALES'!$J$8*J162</f>
        <v>527757.48151717498</v>
      </c>
      <c r="R162" s="160">
        <f>+P162+Q162</f>
        <v>705494.92791959993</v>
      </c>
      <c r="S162" s="161"/>
    </row>
    <row r="163" spans="1:19" ht="17.399999999999999" hidden="1" thickTop="1" thickBot="1" x14ac:dyDescent="0.4">
      <c r="A163" s="316"/>
      <c r="B163" s="151"/>
      <c r="C163" s="152" t="s">
        <v>40</v>
      </c>
      <c r="D163" s="153">
        <v>1</v>
      </c>
      <c r="E163" s="156"/>
      <c r="F163" s="185">
        <f>8.9+8.65</f>
        <v>17.55</v>
      </c>
      <c r="G163" s="156">
        <v>2.5</v>
      </c>
      <c r="H163" s="157"/>
      <c r="I163" s="158">
        <f>+D163*F163*G163</f>
        <v>43.875</v>
      </c>
      <c r="J163" s="159"/>
      <c r="K163" s="160"/>
      <c r="L163" s="160"/>
      <c r="M163" s="159"/>
      <c r="N163" s="159"/>
      <c r="O163" s="159"/>
      <c r="P163" s="159"/>
      <c r="Q163" s="159"/>
      <c r="R163" s="160"/>
      <c r="S163" s="161"/>
    </row>
    <row r="164" spans="1:19" ht="17.399999999999999" thickTop="1" thickBot="1" x14ac:dyDescent="0.4">
      <c r="A164" s="316">
        <v>9</v>
      </c>
      <c r="B164" s="172" t="s">
        <v>88</v>
      </c>
      <c r="C164" s="173"/>
      <c r="D164" s="153"/>
      <c r="E164" s="154"/>
      <c r="F164" s="155"/>
      <c r="G164" s="155"/>
      <c r="H164" s="157"/>
      <c r="I164" s="158"/>
      <c r="J164" s="182"/>
      <c r="K164" s="200"/>
      <c r="L164" s="200"/>
      <c r="M164" s="182"/>
      <c r="N164" s="182"/>
      <c r="O164" s="182"/>
      <c r="P164" s="182"/>
      <c r="Q164" s="182"/>
      <c r="R164" s="175"/>
      <c r="S164" s="176">
        <f>SUM(R165:R167)</f>
        <v>10039695.550374599</v>
      </c>
    </row>
    <row r="165" spans="1:19" ht="17.399999999999999" thickTop="1" thickBot="1" x14ac:dyDescent="0.4">
      <c r="A165" s="316"/>
      <c r="B165" s="151" t="s">
        <v>45</v>
      </c>
      <c r="C165" s="152" t="s">
        <v>419</v>
      </c>
      <c r="D165" s="153"/>
      <c r="E165" s="154"/>
      <c r="F165" s="155"/>
      <c r="G165" s="156"/>
      <c r="H165" s="157" t="s">
        <v>14</v>
      </c>
      <c r="I165" s="177">
        <f>+J99</f>
        <v>68.3</v>
      </c>
      <c r="J165" s="309">
        <f>+I165</f>
        <v>68.3</v>
      </c>
      <c r="K165" s="160"/>
      <c r="L165" s="160">
        <v>37260</v>
      </c>
      <c r="M165" s="301">
        <f>+K165+L165*J165</f>
        <v>2544858</v>
      </c>
      <c r="N165" s="301">
        <f>+M165*'COSTOS INDIVIDUALES'!$J$8</f>
        <v>3766609.2067596</v>
      </c>
      <c r="O165" s="301">
        <f>+M165*'COSTOS INDIVIDUALES'!$J$9</f>
        <v>674387.36999999976</v>
      </c>
      <c r="P165" s="160">
        <f>+K165*'COSTOS INDIVIDUALES'!$J$8*J165</f>
        <v>0</v>
      </c>
      <c r="Q165" s="160">
        <f>+L165*'COSTOS INDIVIDUALES'!$J$8*J165</f>
        <v>3766609.2067595995</v>
      </c>
      <c r="R165" s="160">
        <f>+P165+Q165</f>
        <v>3766609.2067595995</v>
      </c>
      <c r="S165" s="161"/>
    </row>
    <row r="166" spans="1:19" ht="17.399999999999999" thickTop="1" thickBot="1" x14ac:dyDescent="0.4">
      <c r="A166" s="316"/>
      <c r="B166" s="151" t="s">
        <v>132</v>
      </c>
      <c r="C166" s="152" t="s">
        <v>420</v>
      </c>
      <c r="D166" s="153"/>
      <c r="E166" s="154"/>
      <c r="F166" s="155"/>
      <c r="G166" s="156"/>
      <c r="H166" s="157" t="s">
        <v>14</v>
      </c>
      <c r="I166" s="177">
        <v>38</v>
      </c>
      <c r="J166" s="309">
        <f>+I166</f>
        <v>38</v>
      </c>
      <c r="K166" s="160"/>
      <c r="L166" s="160">
        <v>37260</v>
      </c>
      <c r="M166" s="301">
        <f>+K166+L166*J166</f>
        <v>1415880</v>
      </c>
      <c r="N166" s="301">
        <f>+M166*'COSTOS INDIVIDUALES'!$J$8</f>
        <v>2095624.4488559999</v>
      </c>
      <c r="O166" s="301">
        <f>+M166*'COSTOS INDIVIDUALES'!$J$9</f>
        <v>375208.19999999984</v>
      </c>
      <c r="P166" s="160">
        <f>+K166*'COSTOS INDIVIDUALES'!$J$8*J166</f>
        <v>0</v>
      </c>
      <c r="Q166" s="160">
        <f>+L166*'COSTOS INDIVIDUALES'!$J$8*J166</f>
        <v>2095624.4488559999</v>
      </c>
      <c r="R166" s="160">
        <f>+P166+Q166</f>
        <v>2095624.4488559999</v>
      </c>
      <c r="S166" s="161"/>
    </row>
    <row r="167" spans="1:19" ht="17.399999999999999" thickTop="1" thickBot="1" x14ac:dyDescent="0.4">
      <c r="A167" s="316"/>
      <c r="B167" s="151" t="s">
        <v>133</v>
      </c>
      <c r="C167" s="152" t="s">
        <v>421</v>
      </c>
      <c r="D167" s="153"/>
      <c r="E167" s="154"/>
      <c r="F167" s="155"/>
      <c r="G167" s="156"/>
      <c r="H167" s="157" t="s">
        <v>14</v>
      </c>
      <c r="I167" s="177">
        <f>+I104+(2.5*2.5)</f>
        <v>75.75</v>
      </c>
      <c r="J167" s="309">
        <f>+I167</f>
        <v>75.75</v>
      </c>
      <c r="K167" s="160"/>
      <c r="L167" s="160">
        <v>37260</v>
      </c>
      <c r="M167" s="301">
        <f>+K167+L167*J167</f>
        <v>2822445</v>
      </c>
      <c r="N167" s="301">
        <f>+M167*'COSTOS INDIVIDUALES'!$J$8</f>
        <v>4177461.8947589998</v>
      </c>
      <c r="O167" s="301">
        <f>+M167*'COSTOS INDIVIDUALES'!$J$9</f>
        <v>747947.9249999997</v>
      </c>
      <c r="P167" s="160">
        <f>+K167*'COSTOS INDIVIDUALES'!$J$8*J167</f>
        <v>0</v>
      </c>
      <c r="Q167" s="160">
        <f>+L167*'COSTOS INDIVIDUALES'!$J$8*J167</f>
        <v>4177461.8947589998</v>
      </c>
      <c r="R167" s="160">
        <f>+P167+Q167</f>
        <v>4177461.8947589998</v>
      </c>
      <c r="S167" s="161"/>
    </row>
    <row r="168" spans="1:19" ht="17.399999999999999" thickTop="1" thickBot="1" x14ac:dyDescent="0.4">
      <c r="A168" s="316">
        <v>10</v>
      </c>
      <c r="B168" s="172" t="s">
        <v>23</v>
      </c>
      <c r="C168" s="173"/>
      <c r="D168" s="153"/>
      <c r="E168" s="154"/>
      <c r="F168" s="155"/>
      <c r="G168" s="155"/>
      <c r="H168" s="157"/>
      <c r="I168" s="158"/>
      <c r="J168" s="182"/>
      <c r="K168" s="200"/>
      <c r="L168" s="200"/>
      <c r="M168" s="182"/>
      <c r="N168" s="182"/>
      <c r="O168" s="182"/>
      <c r="P168" s="182"/>
      <c r="Q168" s="182"/>
      <c r="R168" s="175"/>
      <c r="S168" s="176">
        <f>SUM(R169:R171)</f>
        <v>30733693.925759997</v>
      </c>
    </row>
    <row r="169" spans="1:19" ht="17.399999999999999" thickTop="1" thickBot="1" x14ac:dyDescent="0.4">
      <c r="A169" s="316"/>
      <c r="B169" s="186" t="s">
        <v>33</v>
      </c>
      <c r="C169" s="152" t="s">
        <v>134</v>
      </c>
      <c r="D169" s="153"/>
      <c r="E169" s="154"/>
      <c r="F169" s="155"/>
      <c r="G169" s="156"/>
      <c r="H169" s="157" t="s">
        <v>18</v>
      </c>
      <c r="I169" s="158"/>
      <c r="J169" s="159">
        <v>1</v>
      </c>
      <c r="K169" s="160">
        <v>6505400</v>
      </c>
      <c r="L169" s="160">
        <v>7800400</v>
      </c>
      <c r="M169" s="301">
        <f>+K169+L169*J169</f>
        <v>14305800</v>
      </c>
      <c r="N169" s="301">
        <f>+M169*'COSTOS INDIVIDUALES'!$J$8</f>
        <v>21173817.159959998</v>
      </c>
      <c r="O169" s="301">
        <f>+M169*'COSTOS INDIVIDUALES'!$J$9</f>
        <v>3791036.9999999986</v>
      </c>
      <c r="P169" s="160">
        <f>+K169*'COSTOS INDIVIDUALES'!$J$8*J169</f>
        <v>9628552.7654799987</v>
      </c>
      <c r="Q169" s="160">
        <f>+L169*'COSTOS INDIVIDUALES'!$J$8*J169</f>
        <v>11545264.394479999</v>
      </c>
      <c r="R169" s="160">
        <f>+P169+Q169</f>
        <v>21173817.159959998</v>
      </c>
      <c r="S169" s="161"/>
    </row>
    <row r="170" spans="1:19" ht="17.399999999999999" thickTop="1" thickBot="1" x14ac:dyDescent="0.4">
      <c r="A170" s="316"/>
      <c r="B170" s="186" t="s">
        <v>112</v>
      </c>
      <c r="C170" s="152" t="s">
        <v>135</v>
      </c>
      <c r="D170" s="153"/>
      <c r="E170" s="154"/>
      <c r="F170" s="155"/>
      <c r="G170" s="156"/>
      <c r="H170" s="157" t="s">
        <v>18</v>
      </c>
      <c r="I170" s="158"/>
      <c r="J170" s="159">
        <v>1</v>
      </c>
      <c r="K170" s="160">
        <v>3309000</v>
      </c>
      <c r="L170" s="160">
        <v>3150000</v>
      </c>
      <c r="M170" s="301">
        <f>+K170+L170*J170</f>
        <v>6459000</v>
      </c>
      <c r="N170" s="301">
        <f>+M170*'COSTOS INDIVIDUALES'!$J$8</f>
        <v>9559876.7657999992</v>
      </c>
      <c r="O170" s="301">
        <f>+M170*'COSTOS INDIVIDUALES'!$J$9</f>
        <v>1711634.9999999993</v>
      </c>
      <c r="P170" s="160">
        <f>+K170*'COSTOS INDIVIDUALES'!$J$8*J170</f>
        <v>4897605.2357999999</v>
      </c>
      <c r="Q170" s="160">
        <f>+L170*'COSTOS INDIVIDUALES'!$J$8*J170</f>
        <v>4662271.5299999993</v>
      </c>
      <c r="R170" s="160">
        <f>+P170+Q170</f>
        <v>9559876.7657999992</v>
      </c>
      <c r="S170" s="161"/>
    </row>
    <row r="171" spans="1:19" ht="17.399999999999999" hidden="1" thickTop="1" thickBot="1" x14ac:dyDescent="0.4">
      <c r="A171" s="316"/>
      <c r="B171" s="186" t="s">
        <v>113</v>
      </c>
      <c r="C171" s="152" t="s">
        <v>136</v>
      </c>
      <c r="D171" s="153"/>
      <c r="E171" s="156"/>
      <c r="F171" s="156"/>
      <c r="G171" s="156"/>
      <c r="H171" s="157" t="s">
        <v>18</v>
      </c>
      <c r="I171" s="158"/>
      <c r="J171" s="159">
        <v>1</v>
      </c>
      <c r="K171" s="160"/>
      <c r="L171" s="160"/>
      <c r="M171" s="301">
        <f>+K171+L171*J171</f>
        <v>0</v>
      </c>
      <c r="N171" s="301">
        <f>+M171*'COSTOS INDIVIDUALES'!$J$8</f>
        <v>0</v>
      </c>
      <c r="O171" s="301">
        <f>+M171*'COSTOS INDIVIDUALES'!$J$9</f>
        <v>0</v>
      </c>
      <c r="P171" s="160">
        <f>+K171*'COSTOS INDIVIDUALES'!$J$8*J171</f>
        <v>0</v>
      </c>
      <c r="Q171" s="160">
        <f>+L171*'COSTOS INDIVIDUALES'!$J$8*J171</f>
        <v>0</v>
      </c>
      <c r="R171" s="160">
        <f>+P171+Q171</f>
        <v>0</v>
      </c>
      <c r="S171" s="161"/>
    </row>
    <row r="172" spans="1:19" ht="17.399999999999999" thickTop="1" thickBot="1" x14ac:dyDescent="0.4">
      <c r="A172" s="316">
        <v>11</v>
      </c>
      <c r="B172" s="172" t="s">
        <v>137</v>
      </c>
      <c r="C172" s="173"/>
      <c r="D172" s="153"/>
      <c r="E172" s="154"/>
      <c r="F172" s="155"/>
      <c r="G172" s="155"/>
      <c r="H172" s="157"/>
      <c r="I172" s="158"/>
      <c r="J172" s="182"/>
      <c r="K172" s="200"/>
      <c r="L172" s="200"/>
      <c r="M172" s="182"/>
      <c r="N172" s="182"/>
      <c r="O172" s="182"/>
      <c r="P172" s="182"/>
      <c r="Q172" s="182"/>
      <c r="R172" s="175"/>
      <c r="S172" s="176"/>
    </row>
    <row r="173" spans="1:19" ht="17.399999999999999" thickTop="1" thickBot="1" x14ac:dyDescent="0.4">
      <c r="A173" s="316"/>
      <c r="B173" s="151" t="s">
        <v>34</v>
      </c>
      <c r="C173" s="152" t="s">
        <v>141</v>
      </c>
      <c r="D173" s="153"/>
      <c r="E173" s="154"/>
      <c r="F173" s="155"/>
      <c r="G173" s="156"/>
      <c r="H173" s="157" t="s">
        <v>18</v>
      </c>
      <c r="I173" s="158"/>
      <c r="J173" s="159"/>
      <c r="K173" s="160"/>
      <c r="L173" s="160"/>
      <c r="M173" s="159"/>
      <c r="N173" s="159"/>
      <c r="O173" s="159"/>
      <c r="P173" s="159"/>
      <c r="Q173" s="159"/>
      <c r="R173" s="160"/>
      <c r="S173" s="161"/>
    </row>
    <row r="174" spans="1:19" ht="17.399999999999999" thickTop="1" thickBot="1" x14ac:dyDescent="0.4">
      <c r="A174" s="316"/>
      <c r="B174" s="151" t="s">
        <v>138</v>
      </c>
      <c r="C174" s="152" t="s">
        <v>144</v>
      </c>
      <c r="D174" s="153"/>
      <c r="E174" s="154"/>
      <c r="F174" s="155"/>
      <c r="G174" s="156"/>
      <c r="H174" s="157" t="s">
        <v>18</v>
      </c>
      <c r="I174" s="158"/>
      <c r="J174" s="159"/>
      <c r="K174" s="160"/>
      <c r="L174" s="160"/>
      <c r="M174" s="159"/>
      <c r="N174" s="159"/>
      <c r="O174" s="159"/>
      <c r="P174" s="159"/>
      <c r="Q174" s="159"/>
      <c r="R174" s="160"/>
      <c r="S174" s="161"/>
    </row>
    <row r="175" spans="1:19" ht="17.399999999999999" thickTop="1" thickBot="1" x14ac:dyDescent="0.4">
      <c r="A175" s="316"/>
      <c r="B175" s="151" t="s">
        <v>139</v>
      </c>
      <c r="C175" s="152" t="s">
        <v>142</v>
      </c>
      <c r="D175" s="153"/>
      <c r="E175" s="156"/>
      <c r="F175" s="156"/>
      <c r="G175" s="156"/>
      <c r="H175" s="157" t="s">
        <v>18</v>
      </c>
      <c r="I175" s="158"/>
      <c r="J175" s="159"/>
      <c r="K175" s="160"/>
      <c r="L175" s="160"/>
      <c r="M175" s="159"/>
      <c r="N175" s="159"/>
      <c r="O175" s="159"/>
      <c r="P175" s="159"/>
      <c r="Q175" s="159"/>
      <c r="R175" s="160"/>
      <c r="S175" s="161"/>
    </row>
    <row r="176" spans="1:19" ht="17.399999999999999" thickTop="1" thickBot="1" x14ac:dyDescent="0.4">
      <c r="A176" s="316"/>
      <c r="B176" s="151" t="s">
        <v>140</v>
      </c>
      <c r="C176" s="152" t="s">
        <v>143</v>
      </c>
      <c r="D176" s="153"/>
      <c r="E176" s="156"/>
      <c r="F176" s="156"/>
      <c r="G176" s="156"/>
      <c r="H176" s="157" t="s">
        <v>18</v>
      </c>
      <c r="I176" s="158"/>
      <c r="J176" s="159"/>
      <c r="K176" s="160"/>
      <c r="L176" s="160"/>
      <c r="M176" s="159"/>
      <c r="N176" s="159"/>
      <c r="O176" s="159"/>
      <c r="P176" s="159"/>
      <c r="Q176" s="159"/>
      <c r="R176" s="160"/>
      <c r="S176" s="161"/>
    </row>
    <row r="177" spans="1:19" ht="17.399999999999999" thickTop="1" thickBot="1" x14ac:dyDescent="0.4">
      <c r="A177" s="316">
        <v>12</v>
      </c>
      <c r="B177" s="172" t="s">
        <v>145</v>
      </c>
      <c r="C177" s="173"/>
      <c r="D177" s="153"/>
      <c r="E177" s="154"/>
      <c r="F177" s="155"/>
      <c r="G177" s="155"/>
      <c r="H177" s="157"/>
      <c r="I177" s="158"/>
      <c r="J177" s="182"/>
      <c r="K177" s="200"/>
      <c r="L177" s="200"/>
      <c r="M177" s="182"/>
      <c r="N177" s="182"/>
      <c r="O177" s="182"/>
      <c r="P177" s="182"/>
      <c r="Q177" s="182"/>
      <c r="R177" s="175"/>
      <c r="S177" s="176">
        <f>SUM(R178:R180)</f>
        <v>4698616.0323784091</v>
      </c>
    </row>
    <row r="178" spans="1:19" ht="17.399999999999999" thickTop="1" thickBot="1" x14ac:dyDescent="0.4">
      <c r="A178" s="316"/>
      <c r="B178" s="151" t="s">
        <v>146</v>
      </c>
      <c r="C178" s="152" t="s">
        <v>422</v>
      </c>
      <c r="D178" s="153"/>
      <c r="E178" s="154"/>
      <c r="F178" s="155"/>
      <c r="G178" s="156"/>
      <c r="H178" s="157" t="s">
        <v>14</v>
      </c>
      <c r="I178" s="158"/>
      <c r="J178" s="310">
        <f>+J159</f>
        <v>25.05</v>
      </c>
      <c r="K178" s="160">
        <v>23454</v>
      </c>
      <c r="L178" s="160">
        <v>18836</v>
      </c>
      <c r="M178" s="301">
        <f>+K178+L178*J178</f>
        <v>495295.8</v>
      </c>
      <c r="N178" s="301">
        <f>+M178*'COSTOS INDIVIDUALES'!$J$8</f>
        <v>733080.47849795991</v>
      </c>
      <c r="O178" s="301">
        <f>+M178*'COSTOS INDIVIDUALES'!$J$9</f>
        <v>131253.38699999996</v>
      </c>
      <c r="P178" s="160">
        <f>+K178*'COSTOS INDIVIDUALES'!$J$8*J178</f>
        <v>869584.24045674002</v>
      </c>
      <c r="Q178" s="160">
        <f>+L178*'COSTOS INDIVIDUALES'!$J$8*J178</f>
        <v>698366.53676316002</v>
      </c>
      <c r="R178" s="160">
        <f>+P178+Q178</f>
        <v>1567950.7772198999</v>
      </c>
      <c r="S178" s="161"/>
    </row>
    <row r="179" spans="1:19" ht="17.399999999999999" thickTop="1" thickBot="1" x14ac:dyDescent="0.4">
      <c r="A179" s="316"/>
      <c r="B179" s="151" t="s">
        <v>147</v>
      </c>
      <c r="C179" s="152" t="s">
        <v>423</v>
      </c>
      <c r="D179" s="153"/>
      <c r="E179" s="154"/>
      <c r="F179" s="155"/>
      <c r="G179" s="156"/>
      <c r="H179" s="157" t="s">
        <v>14</v>
      </c>
      <c r="I179" s="158"/>
      <c r="J179" s="310">
        <f>+J162</f>
        <v>43.875</v>
      </c>
      <c r="K179" s="160">
        <v>23454</v>
      </c>
      <c r="L179" s="160">
        <v>18836</v>
      </c>
      <c r="M179" s="301">
        <f>+K179+L179*J179</f>
        <v>849883.5</v>
      </c>
      <c r="N179" s="301">
        <f>+M179*'COSTOS INDIVIDUALES'!$J$8</f>
        <v>1257900.8399576999</v>
      </c>
      <c r="O179" s="301">
        <f>+M179*'COSTOS INDIVIDUALES'!$J$9</f>
        <v>225219.12749999992</v>
      </c>
      <c r="P179" s="160">
        <f>+K179*'COSTOS INDIVIDUALES'!$J$8*J179</f>
        <v>1523074.1936143499</v>
      </c>
      <c r="Q179" s="160">
        <f>+L179*'COSTOS INDIVIDUALES'!$J$8*J179</f>
        <v>1223186.8982229</v>
      </c>
      <c r="R179" s="160">
        <f>+P179+Q179</f>
        <v>2746261.0918372497</v>
      </c>
      <c r="S179" s="161"/>
    </row>
    <row r="180" spans="1:19" ht="17.399999999999999" thickTop="1" thickBot="1" x14ac:dyDescent="0.4">
      <c r="A180" s="316"/>
      <c r="B180" s="151" t="s">
        <v>148</v>
      </c>
      <c r="C180" s="152" t="s">
        <v>149</v>
      </c>
      <c r="D180" s="153"/>
      <c r="E180" s="156"/>
      <c r="F180" s="156"/>
      <c r="G180" s="156"/>
      <c r="H180" s="157" t="s">
        <v>14</v>
      </c>
      <c r="I180" s="158"/>
      <c r="J180" s="310">
        <f>(0.6*2.77)*2</f>
        <v>3.3239999999999998</v>
      </c>
      <c r="K180" s="160">
        <v>59298</v>
      </c>
      <c r="L180" s="160">
        <v>18836</v>
      </c>
      <c r="M180" s="301">
        <f>+K180+L180*J180</f>
        <v>121908.864</v>
      </c>
      <c r="N180" s="301">
        <f>+M180*'COSTOS INDIVIDUALES'!$J$8</f>
        <v>180435.62726407679</v>
      </c>
      <c r="O180" s="301">
        <f>+M180*'COSTOS INDIVIDUALES'!$J$9</f>
        <v>32305.848959999988</v>
      </c>
      <c r="P180" s="160">
        <f>+K180*'COSTOS INDIVIDUALES'!$J$8*J180</f>
        <v>291734.68754478241</v>
      </c>
      <c r="Q180" s="160">
        <f>+L180*'COSTOS INDIVIDUALES'!$J$8*J180</f>
        <v>92669.475776476786</v>
      </c>
      <c r="R180" s="160">
        <f>+P180+Q180</f>
        <v>384404.1633212592</v>
      </c>
      <c r="S180" s="161"/>
    </row>
    <row r="181" spans="1:19" ht="17.399999999999999" thickTop="1" thickBot="1" x14ac:dyDescent="0.4">
      <c r="A181" s="316">
        <v>13</v>
      </c>
      <c r="B181" s="172" t="s">
        <v>150</v>
      </c>
      <c r="C181" s="173"/>
      <c r="D181" s="153"/>
      <c r="E181" s="154"/>
      <c r="F181" s="155"/>
      <c r="G181" s="155"/>
      <c r="H181" s="157"/>
      <c r="I181" s="158"/>
      <c r="J181" s="182"/>
      <c r="K181" s="200"/>
      <c r="L181" s="200"/>
      <c r="M181" s="182"/>
      <c r="N181" s="182"/>
      <c r="O181" s="182"/>
      <c r="P181" s="182"/>
      <c r="Q181" s="182"/>
      <c r="R181" s="175"/>
      <c r="S181" s="176"/>
    </row>
    <row r="182" spans="1:19" ht="17.399999999999999" thickTop="1" thickBot="1" x14ac:dyDescent="0.4">
      <c r="A182" s="316"/>
      <c r="B182" s="151" t="s">
        <v>83</v>
      </c>
      <c r="C182" s="152" t="s">
        <v>151</v>
      </c>
      <c r="D182" s="153"/>
      <c r="E182" s="154"/>
      <c r="F182" s="155"/>
      <c r="G182" s="156"/>
      <c r="H182" s="157" t="s">
        <v>18</v>
      </c>
      <c r="I182" s="158"/>
      <c r="J182" s="159">
        <v>1</v>
      </c>
      <c r="K182" s="160"/>
      <c r="L182" s="160"/>
      <c r="M182" s="159"/>
      <c r="N182" s="159"/>
      <c r="O182" s="159"/>
      <c r="P182" s="159"/>
      <c r="Q182" s="159"/>
      <c r="R182" s="160"/>
      <c r="S182" s="161"/>
    </row>
    <row r="183" spans="1:19" ht="17.399999999999999" thickTop="1" thickBot="1" x14ac:dyDescent="0.4">
      <c r="A183" s="316"/>
      <c r="B183" s="151" t="s">
        <v>84</v>
      </c>
      <c r="C183" s="152" t="s">
        <v>424</v>
      </c>
      <c r="D183" s="153"/>
      <c r="E183" s="154"/>
      <c r="F183" s="155"/>
      <c r="G183" s="156"/>
      <c r="H183" s="157" t="s">
        <v>18</v>
      </c>
      <c r="I183" s="158"/>
      <c r="J183" s="159">
        <v>1</v>
      </c>
      <c r="K183" s="160"/>
      <c r="L183" s="160"/>
      <c r="M183" s="159"/>
      <c r="N183" s="159"/>
      <c r="O183" s="159"/>
      <c r="P183" s="159"/>
      <c r="Q183" s="159"/>
      <c r="R183" s="160"/>
      <c r="S183" s="161"/>
    </row>
    <row r="184" spans="1:19" ht="17.399999999999999" thickTop="1" thickBot="1" x14ac:dyDescent="0.4">
      <c r="A184" s="316"/>
      <c r="B184" s="151" t="s">
        <v>445</v>
      </c>
      <c r="C184" s="152" t="s">
        <v>428</v>
      </c>
      <c r="D184" s="153"/>
      <c r="E184" s="154"/>
      <c r="F184" s="155"/>
      <c r="G184" s="156"/>
      <c r="H184" s="157" t="s">
        <v>18</v>
      </c>
      <c r="I184" s="158"/>
      <c r="J184" s="159">
        <v>1</v>
      </c>
      <c r="K184" s="160"/>
      <c r="L184" s="160"/>
      <c r="M184" s="159"/>
      <c r="N184" s="159"/>
      <c r="O184" s="159"/>
      <c r="P184" s="159"/>
      <c r="Q184" s="159"/>
      <c r="R184" s="160"/>
      <c r="S184" s="161"/>
    </row>
    <row r="185" spans="1:19" ht="17.399999999999999" thickTop="1" thickBot="1" x14ac:dyDescent="0.4">
      <c r="A185" s="316">
        <v>14</v>
      </c>
      <c r="B185" s="172" t="s">
        <v>152</v>
      </c>
      <c r="C185" s="173"/>
      <c r="D185" s="153"/>
      <c r="E185" s="154"/>
      <c r="F185" s="155"/>
      <c r="G185" s="155"/>
      <c r="H185" s="157"/>
      <c r="I185" s="158"/>
      <c r="J185" s="182"/>
      <c r="K185" s="200"/>
      <c r="L185" s="200"/>
      <c r="M185" s="182"/>
      <c r="N185" s="182"/>
      <c r="O185" s="182"/>
      <c r="P185" s="182"/>
      <c r="Q185" s="182"/>
      <c r="R185" s="175"/>
      <c r="S185" s="176">
        <f>SUM(R186:R187)</f>
        <v>6696442.6429428626</v>
      </c>
    </row>
    <row r="186" spans="1:19" ht="17.399999999999999" thickTop="1" thickBot="1" x14ac:dyDescent="0.4">
      <c r="A186" s="316"/>
      <c r="B186" s="151" t="s">
        <v>85</v>
      </c>
      <c r="C186" s="152" t="s">
        <v>154</v>
      </c>
      <c r="D186" s="153"/>
      <c r="E186" s="154"/>
      <c r="F186" s="155"/>
      <c r="G186" s="156"/>
      <c r="H186" s="157" t="s">
        <v>14</v>
      </c>
      <c r="I186" s="158"/>
      <c r="J186" s="304">
        <f>+J153+J157+J165</f>
        <v>319.73399999999998</v>
      </c>
      <c r="K186" s="160">
        <v>3207</v>
      </c>
      <c r="L186" s="160">
        <v>4074</v>
      </c>
      <c r="M186" s="301">
        <f>+K186+L186*J186</f>
        <v>1305803.3159999999</v>
      </c>
      <c r="N186" s="301">
        <f>+M186*'COSTOS INDIVIDUALES'!$J$8</f>
        <v>1932701.4679258389</v>
      </c>
      <c r="O186" s="301">
        <f>+M186*'COSTOS INDIVIDUALES'!$J$9</f>
        <v>346037.87873999984</v>
      </c>
      <c r="P186" s="160">
        <f>+K186*'COSTOS INDIVIDUALES'!$J$8*J186</f>
        <v>1517661.0565940554</v>
      </c>
      <c r="Q186" s="160">
        <f>+L186*'COSTOS INDIVIDUALES'!$J$8*J186</f>
        <v>1927954.8314824391</v>
      </c>
      <c r="R186" s="160">
        <f>+P186+Q186</f>
        <v>3445615.8880764944</v>
      </c>
      <c r="S186" s="161"/>
    </row>
    <row r="187" spans="1:19" ht="17.399999999999999" thickTop="1" thickBot="1" x14ac:dyDescent="0.4">
      <c r="A187" s="316"/>
      <c r="B187" s="151" t="s">
        <v>153</v>
      </c>
      <c r="C187" s="152" t="s">
        <v>176</v>
      </c>
      <c r="D187" s="153"/>
      <c r="E187" s="156"/>
      <c r="F187" s="156"/>
      <c r="G187" s="156"/>
      <c r="H187" s="157" t="s">
        <v>14</v>
      </c>
      <c r="I187" s="158"/>
      <c r="J187" s="304">
        <f>+J151+J155+J165+J167</f>
        <v>278.72800000000001</v>
      </c>
      <c r="K187" s="160">
        <v>3806</v>
      </c>
      <c r="L187" s="160">
        <v>4074</v>
      </c>
      <c r="M187" s="301">
        <f>+K187+L187*J187</f>
        <v>1139343.872</v>
      </c>
      <c r="N187" s="301">
        <f>+M187*'COSTOS INDIVIDUALES'!$J$8</f>
        <v>1686327.1420017662</v>
      </c>
      <c r="O187" s="301">
        <f>+M187*'COSTOS INDIVIDUALES'!$J$9</f>
        <v>301926.1260799999</v>
      </c>
      <c r="P187" s="160">
        <f>+K187*'COSTOS INDIVIDUALES'!$J$8*J187</f>
        <v>1570132.8209418016</v>
      </c>
      <c r="Q187" s="160">
        <f>+L187*'COSTOS INDIVIDUALES'!$J$8*J187</f>
        <v>1680693.9339245665</v>
      </c>
      <c r="R187" s="160">
        <f>+P187+Q187</f>
        <v>3250826.7548663681</v>
      </c>
      <c r="S187" s="161"/>
    </row>
    <row r="188" spans="1:19" ht="17.399999999999999" thickTop="1" thickBot="1" x14ac:dyDescent="0.4">
      <c r="A188" s="316">
        <v>15</v>
      </c>
      <c r="B188" s="172" t="s">
        <v>155</v>
      </c>
      <c r="C188" s="173"/>
      <c r="D188" s="153"/>
      <c r="E188" s="154"/>
      <c r="F188" s="155"/>
      <c r="G188" s="155"/>
      <c r="H188" s="157"/>
      <c r="I188" s="158"/>
      <c r="J188" s="182"/>
      <c r="K188" s="200"/>
      <c r="L188" s="200"/>
      <c r="M188" s="182"/>
      <c r="N188" s="182"/>
      <c r="O188" s="182"/>
      <c r="P188" s="182"/>
      <c r="Q188" s="182"/>
      <c r="R188" s="175"/>
      <c r="S188" s="176">
        <f>SUM(S189:S192)</f>
        <v>0</v>
      </c>
    </row>
    <row r="189" spans="1:19" ht="17.399999999999999" thickTop="1" thickBot="1" x14ac:dyDescent="0.4">
      <c r="A189" s="316"/>
      <c r="B189" s="151" t="s">
        <v>86</v>
      </c>
      <c r="C189" s="152" t="s">
        <v>158</v>
      </c>
      <c r="D189" s="153"/>
      <c r="E189" s="154"/>
      <c r="F189" s="155"/>
      <c r="G189" s="156"/>
      <c r="H189" s="157" t="s">
        <v>18</v>
      </c>
      <c r="I189" s="158"/>
      <c r="J189" s="159">
        <v>1</v>
      </c>
      <c r="K189" s="160"/>
      <c r="L189" s="160"/>
      <c r="M189" s="159"/>
      <c r="N189" s="159"/>
      <c r="O189" s="159"/>
      <c r="P189" s="159"/>
      <c r="Q189" s="159"/>
      <c r="R189" s="160"/>
      <c r="S189" s="161"/>
    </row>
    <row r="190" spans="1:19" ht="17.399999999999999" thickTop="1" thickBot="1" x14ac:dyDescent="0.4">
      <c r="A190" s="316"/>
      <c r="B190" s="151" t="s">
        <v>156</v>
      </c>
      <c r="C190" s="152" t="s">
        <v>159</v>
      </c>
      <c r="D190" s="153"/>
      <c r="E190" s="154"/>
      <c r="F190" s="155"/>
      <c r="G190" s="156"/>
      <c r="H190" s="157" t="s">
        <v>18</v>
      </c>
      <c r="I190" s="158"/>
      <c r="J190" s="159">
        <v>1</v>
      </c>
      <c r="K190" s="160"/>
      <c r="L190" s="160"/>
      <c r="M190" s="159"/>
      <c r="N190" s="159"/>
      <c r="O190" s="159"/>
      <c r="P190" s="159"/>
      <c r="Q190" s="159"/>
      <c r="R190" s="160"/>
      <c r="S190" s="161"/>
    </row>
    <row r="191" spans="1:19" ht="17.399999999999999" thickTop="1" thickBot="1" x14ac:dyDescent="0.4">
      <c r="A191" s="316"/>
      <c r="B191" s="151" t="s">
        <v>157</v>
      </c>
      <c r="C191" s="152" t="s">
        <v>160</v>
      </c>
      <c r="D191" s="153"/>
      <c r="E191" s="156"/>
      <c r="F191" s="156"/>
      <c r="G191" s="156"/>
      <c r="H191" s="157" t="s">
        <v>18</v>
      </c>
      <c r="I191" s="158"/>
      <c r="J191" s="159">
        <v>1</v>
      </c>
      <c r="K191" s="160"/>
      <c r="L191" s="160"/>
      <c r="M191" s="159"/>
      <c r="N191" s="159"/>
      <c r="O191" s="159"/>
      <c r="P191" s="159"/>
      <c r="Q191" s="159"/>
      <c r="R191" s="160"/>
      <c r="S191" s="161"/>
    </row>
    <row r="192" spans="1:19" ht="17.399999999999999" thickTop="1" thickBot="1" x14ac:dyDescent="0.4">
      <c r="A192" s="316"/>
      <c r="B192" s="151" t="s">
        <v>446</v>
      </c>
      <c r="C192" s="152" t="s">
        <v>161</v>
      </c>
      <c r="D192" s="153"/>
      <c r="E192" s="156"/>
      <c r="F192" s="156"/>
      <c r="G192" s="156"/>
      <c r="H192" s="157" t="s">
        <v>18</v>
      </c>
      <c r="I192" s="158"/>
      <c r="J192" s="159">
        <v>1</v>
      </c>
      <c r="K192" s="160"/>
      <c r="L192" s="160"/>
      <c r="M192" s="159"/>
      <c r="N192" s="159"/>
      <c r="O192" s="159"/>
      <c r="P192" s="159"/>
      <c r="Q192" s="159"/>
      <c r="R192" s="160"/>
      <c r="S192" s="161"/>
    </row>
    <row r="193" spans="1:19" ht="17.399999999999999" thickTop="1" thickBot="1" x14ac:dyDescent="0.4">
      <c r="A193" s="316">
        <v>16</v>
      </c>
      <c r="B193" s="172" t="s">
        <v>167</v>
      </c>
      <c r="C193" s="173"/>
      <c r="D193" s="153"/>
      <c r="E193" s="154"/>
      <c r="F193" s="155"/>
      <c r="G193" s="155"/>
      <c r="H193" s="157"/>
      <c r="I193" s="158"/>
      <c r="J193" s="182"/>
      <c r="K193" s="200"/>
      <c r="L193" s="200"/>
      <c r="M193" s="182"/>
      <c r="N193" s="182"/>
      <c r="O193" s="182"/>
      <c r="P193" s="182"/>
      <c r="Q193" s="182"/>
      <c r="R193" s="175"/>
      <c r="S193" s="176">
        <f>+S196</f>
        <v>0</v>
      </c>
    </row>
    <row r="194" spans="1:19" ht="17.399999999999999" thickTop="1" thickBot="1" x14ac:dyDescent="0.4">
      <c r="A194" s="316"/>
      <c r="B194" s="151" t="s">
        <v>87</v>
      </c>
      <c r="C194" s="152" t="s">
        <v>427</v>
      </c>
      <c r="D194" s="153"/>
      <c r="E194" s="156"/>
      <c r="F194" s="156"/>
      <c r="G194" s="156"/>
      <c r="H194" s="157" t="s">
        <v>18</v>
      </c>
      <c r="I194" s="305"/>
      <c r="J194" s="311">
        <v>1</v>
      </c>
      <c r="K194" s="312"/>
      <c r="L194" s="312"/>
      <c r="M194" s="306"/>
      <c r="N194" s="306"/>
      <c r="O194" s="306"/>
      <c r="P194" s="306"/>
      <c r="Q194" s="306"/>
      <c r="R194" s="307"/>
      <c r="S194" s="308"/>
    </row>
    <row r="195" spans="1:19" ht="17.399999999999999" thickTop="1" thickBot="1" x14ac:dyDescent="0.4">
      <c r="A195" s="316"/>
      <c r="B195" s="151" t="s">
        <v>425</v>
      </c>
      <c r="C195" s="152" t="s">
        <v>429</v>
      </c>
      <c r="D195" s="153"/>
      <c r="E195" s="156"/>
      <c r="F195" s="156"/>
      <c r="G195" s="156"/>
      <c r="H195" s="157" t="s">
        <v>18</v>
      </c>
      <c r="I195" s="305"/>
      <c r="J195" s="311">
        <v>1</v>
      </c>
      <c r="K195" s="312"/>
      <c r="L195" s="312"/>
      <c r="M195" s="306"/>
      <c r="N195" s="306"/>
      <c r="O195" s="306"/>
      <c r="P195" s="306"/>
      <c r="Q195" s="306"/>
      <c r="R195" s="307"/>
      <c r="S195" s="308"/>
    </row>
    <row r="196" spans="1:19" ht="17.399999999999999" thickTop="1" thickBot="1" x14ac:dyDescent="0.4">
      <c r="A196" s="316"/>
      <c r="B196" s="187" t="s">
        <v>426</v>
      </c>
      <c r="C196" s="188" t="s">
        <v>168</v>
      </c>
      <c r="D196" s="189"/>
      <c r="E196" s="190"/>
      <c r="F196" s="191"/>
      <c r="G196" s="192"/>
      <c r="H196" s="193" t="s">
        <v>18</v>
      </c>
      <c r="I196" s="194"/>
      <c r="J196" s="195">
        <v>1</v>
      </c>
      <c r="K196" s="196"/>
      <c r="L196" s="196"/>
      <c r="M196" s="195"/>
      <c r="N196" s="195"/>
      <c r="O196" s="195"/>
      <c r="P196" s="195"/>
      <c r="Q196" s="195"/>
      <c r="R196" s="196"/>
      <c r="S196" s="197"/>
    </row>
    <row r="197" spans="1:19" ht="23.4" thickTop="1" thickBot="1" x14ac:dyDescent="0.35">
      <c r="A197" s="334" t="s">
        <v>170</v>
      </c>
      <c r="B197" s="335"/>
      <c r="C197" s="335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6"/>
      <c r="S197" s="198">
        <f>SUM(S12:S195)</f>
        <v>131268157.39661269</v>
      </c>
    </row>
    <row r="198" spans="1:19" ht="14.4" thickTop="1" x14ac:dyDescent="0.3"/>
  </sheetData>
  <mergeCells count="37">
    <mergeCell ref="N10:N11"/>
    <mergeCell ref="P10:Q10"/>
    <mergeCell ref="O10:O11"/>
    <mergeCell ref="M10:M11"/>
    <mergeCell ref="A17:A30"/>
    <mergeCell ref="I10:J10"/>
    <mergeCell ref="B12:C12"/>
    <mergeCell ref="A10:A11"/>
    <mergeCell ref="E10:G10"/>
    <mergeCell ref="A31:A82"/>
    <mergeCell ref="A83:A109"/>
    <mergeCell ref="A110:A128"/>
    <mergeCell ref="A129:A136"/>
    <mergeCell ref="A197:R197"/>
    <mergeCell ref="A137:A149"/>
    <mergeCell ref="A177:A180"/>
    <mergeCell ref="A181:A184"/>
    <mergeCell ref="D10:D11"/>
    <mergeCell ref="A12:A16"/>
    <mergeCell ref="A1:S1"/>
    <mergeCell ref="A2:S2"/>
    <mergeCell ref="A3:S3"/>
    <mergeCell ref="A4:S4"/>
    <mergeCell ref="A5:S5"/>
    <mergeCell ref="A6:S6"/>
    <mergeCell ref="R10:S10"/>
    <mergeCell ref="K10:L10"/>
    <mergeCell ref="A9:S9"/>
    <mergeCell ref="H10:H11"/>
    <mergeCell ref="A185:A187"/>
    <mergeCell ref="A188:A192"/>
    <mergeCell ref="A193:A196"/>
    <mergeCell ref="A150:A163"/>
    <mergeCell ref="A164:A167"/>
    <mergeCell ref="A168:A171"/>
    <mergeCell ref="A172:A176"/>
    <mergeCell ref="B10:C11"/>
  </mergeCells>
  <phoneticPr fontId="2" type="noConversion"/>
  <pageMargins left="0.25" right="0.25" top="0.75" bottom="0.75" header="0.3" footer="0.3"/>
  <pageSetup paperSize="9" scale="31" fitToHeight="0" orientation="portrait" r:id="rId1"/>
  <rowBreaks count="1" manualBreakCount="1">
    <brk id="171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9152-58D5-4C94-AAC0-6AD0394B2CEF}">
  <dimension ref="A1:J218"/>
  <sheetViews>
    <sheetView view="pageBreakPreview" topLeftCell="A182" zoomScaleNormal="85" zoomScaleSheetLayoutView="100" workbookViewId="0">
      <selection activeCell="E214" sqref="E214"/>
    </sheetView>
  </sheetViews>
  <sheetFormatPr baseColWidth="10" defaultColWidth="11.44140625" defaultRowHeight="14.4" x14ac:dyDescent="0.35"/>
  <cols>
    <col min="1" max="1" width="5.33203125" style="199" customWidth="1"/>
    <col min="2" max="2" width="5.6640625" style="199" customWidth="1"/>
    <col min="3" max="3" width="53.44140625" style="199" bestFit="1" customWidth="1"/>
    <col min="4" max="4" width="6.6640625" style="199" customWidth="1"/>
    <col min="5" max="5" width="9.44140625" style="199" bestFit="1" customWidth="1"/>
    <col min="6" max="6" width="13.6640625" style="199" customWidth="1"/>
    <col min="7" max="7" width="18.5546875" style="199" customWidth="1"/>
    <col min="8" max="8" width="14.6640625" style="199" bestFit="1" customWidth="1"/>
    <col min="9" max="16384" width="11.44140625" style="199"/>
  </cols>
  <sheetData>
    <row r="1" spans="1:7" ht="16.8" x14ac:dyDescent="0.35">
      <c r="A1" s="352" t="str">
        <f>+'COSTO+COMPUTO'!A1:S1</f>
        <v>REALE.arq</v>
      </c>
      <c r="B1" s="353"/>
      <c r="C1" s="353"/>
      <c r="D1" s="353"/>
      <c r="E1" s="353"/>
      <c r="F1" s="353"/>
      <c r="G1" s="354"/>
    </row>
    <row r="2" spans="1:7" x14ac:dyDescent="0.35">
      <c r="A2" s="355" t="str">
        <f>+'COSTO+COMPUTO'!A2:S2</f>
        <v>Tel./Fax.: 376-154397658 / Email: reale.arq@gmail.com</v>
      </c>
      <c r="B2" s="356"/>
      <c r="C2" s="356"/>
      <c r="D2" s="356"/>
      <c r="E2" s="356"/>
      <c r="F2" s="356"/>
      <c r="G2" s="357"/>
    </row>
    <row r="3" spans="1:7" x14ac:dyDescent="0.35">
      <c r="A3" s="355" t="str">
        <f>+'COSTO+COMPUTO'!A3:S3</f>
        <v>COMITENTE: Marcela Alegre</v>
      </c>
      <c r="B3" s="356"/>
      <c r="C3" s="356"/>
      <c r="D3" s="356"/>
      <c r="E3" s="356"/>
      <c r="F3" s="356"/>
      <c r="G3" s="357"/>
    </row>
    <row r="4" spans="1:7" x14ac:dyDescent="0.35">
      <c r="A4" s="355" t="str">
        <f>+'COSTO+COMPUTO'!A4:S4</f>
        <v>OBRA: Vivienda Familiar tipo duplex</v>
      </c>
      <c r="B4" s="356"/>
      <c r="C4" s="356"/>
      <c r="D4" s="356"/>
      <c r="E4" s="356"/>
      <c r="F4" s="356"/>
      <c r="G4" s="357"/>
    </row>
    <row r="5" spans="1:7" x14ac:dyDescent="0.35">
      <c r="A5" s="355" t="str">
        <f>+'COSTO+COMPUTO'!A5:S5</f>
        <v>DIRECCION: POSADAS</v>
      </c>
      <c r="B5" s="356"/>
      <c r="C5" s="356"/>
      <c r="D5" s="356"/>
      <c r="E5" s="356"/>
      <c r="F5" s="356"/>
      <c r="G5" s="357"/>
    </row>
    <row r="6" spans="1:7" ht="15" thickBot="1" x14ac:dyDescent="0.4">
      <c r="A6" s="358" t="str">
        <f>+'COSTO+COMPUTO'!A6:S6</f>
        <v>FECHA: 13/12/2024</v>
      </c>
      <c r="B6" s="359"/>
      <c r="C6" s="359"/>
      <c r="D6" s="359"/>
      <c r="E6" s="359"/>
      <c r="F6" s="359"/>
      <c r="G6" s="360"/>
    </row>
    <row r="8" spans="1:7" ht="15" thickBot="1" x14ac:dyDescent="0.4"/>
    <row r="9" spans="1:7" ht="15" thickBot="1" x14ac:dyDescent="0.4">
      <c r="A9" s="361" t="s">
        <v>230</v>
      </c>
      <c r="B9" s="362"/>
      <c r="C9" s="363" t="s">
        <v>231</v>
      </c>
      <c r="D9" s="364"/>
      <c r="E9" s="364"/>
      <c r="F9" s="364"/>
      <c r="G9" s="365"/>
    </row>
    <row r="10" spans="1:7" ht="15.6" customHeight="1" thickBot="1" x14ac:dyDescent="0.4">
      <c r="A10" s="350" t="s">
        <v>306</v>
      </c>
      <c r="B10" s="351"/>
      <c r="C10" s="373" t="s">
        <v>90</v>
      </c>
      <c r="D10" s="379"/>
      <c r="E10" s="380"/>
      <c r="F10" s="279" t="s">
        <v>18</v>
      </c>
      <c r="G10" s="280">
        <f>+G40</f>
        <v>190843.07240727273</v>
      </c>
    </row>
    <row r="11" spans="1:7" ht="15.6" thickTop="1" thickBot="1" x14ac:dyDescent="0.4">
      <c r="A11" s="202"/>
      <c r="B11" s="203" t="s">
        <v>233</v>
      </c>
      <c r="C11" s="204" t="s">
        <v>1</v>
      </c>
      <c r="D11" s="204" t="s">
        <v>3</v>
      </c>
      <c r="E11" s="204" t="s">
        <v>4</v>
      </c>
      <c r="F11" s="204" t="s">
        <v>234</v>
      </c>
      <c r="G11" s="205" t="s">
        <v>235</v>
      </c>
    </row>
    <row r="12" spans="1:7" ht="14.4" customHeight="1" x14ac:dyDescent="0.35">
      <c r="A12" s="206"/>
      <c r="B12" s="207">
        <v>1</v>
      </c>
      <c r="C12" s="208" t="str">
        <f>+'COSTOS INDIVIDUALES'!B8</f>
        <v>Servicio de desratizacion</v>
      </c>
      <c r="D12" s="209" t="s">
        <v>18</v>
      </c>
      <c r="E12" s="210">
        <v>1</v>
      </c>
      <c r="F12" s="211">
        <f>+'COSTOS INDIVIDUALES'!G8</f>
        <v>8264.4628099173551</v>
      </c>
      <c r="G12" s="212">
        <f>+E12*F12</f>
        <v>8264.4628099173551</v>
      </c>
    </row>
    <row r="13" spans="1:7" x14ac:dyDescent="0.35">
      <c r="A13" s="206"/>
      <c r="B13" s="213">
        <v>2</v>
      </c>
      <c r="C13" s="208" t="str">
        <f>+'COSTOS INDIVIDUALES'!B9</f>
        <v>Contenedor</v>
      </c>
      <c r="D13" s="209" t="s">
        <v>286</v>
      </c>
      <c r="E13" s="210">
        <v>2</v>
      </c>
      <c r="F13" s="211">
        <f>+'COSTOS INDIVIDUALES'!G9</f>
        <v>33057.85123966942</v>
      </c>
      <c r="G13" s="212">
        <f>+E13*F13</f>
        <v>66115.702479338841</v>
      </c>
    </row>
    <row r="14" spans="1:7" ht="15" thickBot="1" x14ac:dyDescent="0.4">
      <c r="A14" s="206"/>
      <c r="B14" s="213">
        <v>3</v>
      </c>
      <c r="C14" s="208"/>
      <c r="D14" s="209"/>
      <c r="E14" s="210"/>
      <c r="F14" s="211"/>
      <c r="G14" s="212">
        <f>+E14*F14</f>
        <v>0</v>
      </c>
    </row>
    <row r="15" spans="1:7" ht="15" thickBot="1" x14ac:dyDescent="0.4">
      <c r="A15" s="369" t="s">
        <v>307</v>
      </c>
      <c r="B15" s="370"/>
      <c r="C15" s="370"/>
      <c r="D15" s="370"/>
      <c r="E15" s="370"/>
      <c r="F15" s="371"/>
      <c r="G15" s="220">
        <f>SUM(G12:G14)</f>
        <v>74380.165289256198</v>
      </c>
    </row>
    <row r="16" spans="1:7" ht="15" thickBot="1" x14ac:dyDescent="0.4">
      <c r="A16" s="213"/>
      <c r="B16" s="221" t="s">
        <v>233</v>
      </c>
      <c r="C16" s="222" t="s">
        <v>1</v>
      </c>
      <c r="D16" s="222" t="s">
        <v>3</v>
      </c>
      <c r="E16" s="223" t="s">
        <v>4</v>
      </c>
      <c r="F16" s="224" t="s">
        <v>234</v>
      </c>
      <c r="G16" s="225" t="s">
        <v>235</v>
      </c>
    </row>
    <row r="17" spans="1:8" x14ac:dyDescent="0.35">
      <c r="A17" s="213"/>
      <c r="B17" s="241">
        <v>1</v>
      </c>
      <c r="C17" s="265"/>
      <c r="D17" s="266"/>
      <c r="E17" s="267"/>
      <c r="F17" s="268"/>
      <c r="G17" s="228">
        <f>+E17*F17</f>
        <v>0</v>
      </c>
    </row>
    <row r="18" spans="1:8" x14ac:dyDescent="0.35">
      <c r="A18" s="213"/>
      <c r="B18" s="206">
        <v>2</v>
      </c>
      <c r="C18" s="269"/>
      <c r="D18" s="201"/>
      <c r="E18" s="236"/>
      <c r="F18" s="270"/>
      <c r="G18" s="230">
        <f>+E18*F18</f>
        <v>0</v>
      </c>
    </row>
    <row r="19" spans="1:8" ht="15" thickBot="1" x14ac:dyDescent="0.4">
      <c r="A19" s="213"/>
      <c r="B19" s="206">
        <v>3</v>
      </c>
      <c r="C19" s="269"/>
      <c r="D19" s="201"/>
      <c r="E19" s="236"/>
      <c r="F19" s="270"/>
      <c r="G19" s="230">
        <f>+E19*F19</f>
        <v>0</v>
      </c>
    </row>
    <row r="20" spans="1:8" ht="15" thickBot="1" x14ac:dyDescent="0.4">
      <c r="A20" s="238"/>
      <c r="B20" s="215"/>
      <c r="C20" s="216" t="s">
        <v>308</v>
      </c>
      <c r="D20" s="217"/>
      <c r="E20" s="218"/>
      <c r="F20" s="219"/>
      <c r="G20" s="239">
        <f>+SUM(G17:G19)</f>
        <v>0</v>
      </c>
      <c r="H20" s="295"/>
    </row>
    <row r="21" spans="1:8" ht="15" thickBot="1" x14ac:dyDescent="0.4">
      <c r="A21"/>
      <c r="B21" s="213" t="s">
        <v>233</v>
      </c>
      <c r="C21" s="240" t="s">
        <v>1</v>
      </c>
      <c r="D21" s="222" t="s">
        <v>261</v>
      </c>
      <c r="E21" s="223" t="s">
        <v>4</v>
      </c>
      <c r="F21" s="224" t="s">
        <v>234</v>
      </c>
      <c r="G21" s="225" t="s">
        <v>235</v>
      </c>
      <c r="H21" s="285"/>
    </row>
    <row r="22" spans="1:8" ht="15" thickBot="1" x14ac:dyDescent="0.4">
      <c r="A22" s="347"/>
      <c r="B22" s="241">
        <v>1</v>
      </c>
      <c r="C22" s="242" t="s">
        <v>262</v>
      </c>
      <c r="D22" s="243" t="s">
        <v>263</v>
      </c>
      <c r="E22" s="210">
        <v>0</v>
      </c>
      <c r="F22" s="244">
        <f>+'COSTOS INDIVIDUALES'!$N$8</f>
        <v>4100</v>
      </c>
      <c r="G22" s="245">
        <f>+E22*F22</f>
        <v>0</v>
      </c>
    </row>
    <row r="23" spans="1:8" ht="15" thickBot="1" x14ac:dyDescent="0.4">
      <c r="A23" s="348"/>
      <c r="B23" s="241">
        <v>2</v>
      </c>
      <c r="C23" s="208" t="s">
        <v>264</v>
      </c>
      <c r="D23" s="209" t="s">
        <v>263</v>
      </c>
      <c r="E23" s="210">
        <v>0</v>
      </c>
      <c r="F23" s="246">
        <f>+'COSTOS INDIVIDUALES'!$N$9</f>
        <v>3500</v>
      </c>
      <c r="G23" s="212">
        <f>+E23*F23</f>
        <v>0</v>
      </c>
      <c r="H23" s="285"/>
    </row>
    <row r="24" spans="1:8" ht="15" thickBot="1" x14ac:dyDescent="0.4">
      <c r="A24" s="348"/>
      <c r="B24" s="241">
        <v>3</v>
      </c>
      <c r="C24" s="208" t="s">
        <v>265</v>
      </c>
      <c r="D24" s="209" t="s">
        <v>263</v>
      </c>
      <c r="E24" s="210">
        <v>0</v>
      </c>
      <c r="F24" s="246">
        <f>+'COSTOS INDIVIDUALES'!$N$10</f>
        <v>3200</v>
      </c>
      <c r="G24" s="212">
        <f>+E24*F24</f>
        <v>0</v>
      </c>
    </row>
    <row r="25" spans="1:8" ht="15" thickBot="1" x14ac:dyDescent="0.4">
      <c r="A25" s="349"/>
      <c r="B25" s="241">
        <v>4</v>
      </c>
      <c r="C25" s="208" t="s">
        <v>37</v>
      </c>
      <c r="D25" s="209" t="s">
        <v>263</v>
      </c>
      <c r="E25" s="210">
        <v>16</v>
      </c>
      <c r="F25" s="246">
        <f>+'COSTOS INDIVIDUALES'!$N$11</f>
        <v>2900</v>
      </c>
      <c r="G25" s="212">
        <f>+E25*F25</f>
        <v>46400</v>
      </c>
    </row>
    <row r="26" spans="1:8" ht="15" thickBot="1" x14ac:dyDescent="0.4">
      <c r="A26" s="238"/>
      <c r="B26" s="215"/>
      <c r="C26" s="216" t="s">
        <v>309</v>
      </c>
      <c r="D26" s="217"/>
      <c r="E26" s="218"/>
      <c r="F26" s="219"/>
      <c r="G26" s="239">
        <f>SUM(G22:G25)</f>
        <v>46400</v>
      </c>
      <c r="H26" s="294"/>
    </row>
    <row r="27" spans="1:8" ht="15" thickBot="1" x14ac:dyDescent="0.4">
      <c r="A27" s="247"/>
      <c r="B27" s="248"/>
      <c r="C27" s="249"/>
      <c r="D27" s="209"/>
      <c r="E27" s="250"/>
      <c r="F27" s="211"/>
      <c r="G27" s="251"/>
    </row>
    <row r="28" spans="1:8" ht="15" thickBot="1" x14ac:dyDescent="0.4">
      <c r="A28" s="238"/>
      <c r="B28" s="215" t="s">
        <v>267</v>
      </c>
      <c r="C28" s="252"/>
      <c r="D28" s="253" t="s">
        <v>268</v>
      </c>
      <c r="E28" s="218"/>
      <c r="F28" s="254"/>
      <c r="G28" s="255">
        <f>+G26+G20+G15</f>
        <v>120780.1652892562</v>
      </c>
    </row>
    <row r="29" spans="1:8" x14ac:dyDescent="0.35">
      <c r="A29"/>
      <c r="B29"/>
      <c r="C29"/>
      <c r="D29"/>
      <c r="E29" s="256"/>
      <c r="F29"/>
      <c r="G29"/>
    </row>
    <row r="30" spans="1:8" ht="16.2" x14ac:dyDescent="0.35">
      <c r="A30" s="366" t="s">
        <v>269</v>
      </c>
      <c r="B30" s="366"/>
      <c r="C30" s="366"/>
      <c r="D30" s="366"/>
      <c r="E30" s="366"/>
      <c r="F30" s="366"/>
      <c r="G30" s="296">
        <f>+G28</f>
        <v>120780.1652892562</v>
      </c>
    </row>
    <row r="31" spans="1:8" ht="16.2" x14ac:dyDescent="0.35">
      <c r="A31" s="366" t="s">
        <v>270</v>
      </c>
      <c r="B31" s="366"/>
      <c r="C31" s="366"/>
      <c r="D31" s="366"/>
      <c r="E31" s="366"/>
      <c r="F31" s="258">
        <v>0</v>
      </c>
      <c r="G31" s="296">
        <f>+F31*G30</f>
        <v>0</v>
      </c>
    </row>
    <row r="32" spans="1:8" ht="16.2" x14ac:dyDescent="0.35">
      <c r="A32" s="367" t="s">
        <v>271</v>
      </c>
      <c r="B32" s="367"/>
      <c r="C32" s="367"/>
      <c r="D32" s="367"/>
      <c r="E32" s="367"/>
      <c r="F32" s="367"/>
      <c r="G32" s="296">
        <f>+G30+G31</f>
        <v>120780.1652892562</v>
      </c>
    </row>
    <row r="33" spans="1:10" ht="16.2" x14ac:dyDescent="0.35">
      <c r="A33" s="366" t="s">
        <v>272</v>
      </c>
      <c r="B33" s="366"/>
      <c r="C33" s="366"/>
      <c r="D33" s="366"/>
      <c r="E33" s="366"/>
      <c r="F33" s="258">
        <v>0.15</v>
      </c>
      <c r="G33" s="296">
        <f>+G32*F33</f>
        <v>18117.024793388427</v>
      </c>
    </row>
    <row r="34" spans="1:10" ht="16.2" customHeight="1" x14ac:dyDescent="0.35">
      <c r="A34" s="368" t="s">
        <v>273</v>
      </c>
      <c r="B34" s="368"/>
      <c r="C34" s="368"/>
      <c r="D34" s="368"/>
      <c r="E34" s="368"/>
      <c r="F34" s="368"/>
      <c r="G34" s="296">
        <f>+G32+G33</f>
        <v>138897.19008264464</v>
      </c>
      <c r="H34" s="294">
        <f>+G36-G30</f>
        <v>32006.74380165289</v>
      </c>
    </row>
    <row r="35" spans="1:10" ht="16.2" x14ac:dyDescent="0.35">
      <c r="A35" s="366" t="s">
        <v>274</v>
      </c>
      <c r="B35" s="366"/>
      <c r="C35" s="366"/>
      <c r="D35" s="366"/>
      <c r="E35" s="366"/>
      <c r="F35" s="258">
        <v>0.1</v>
      </c>
      <c r="G35" s="296">
        <f>+G34*F35</f>
        <v>13889.719008264465</v>
      </c>
    </row>
    <row r="36" spans="1:10" ht="16.2" customHeight="1" x14ac:dyDescent="0.35">
      <c r="A36" s="368" t="s">
        <v>275</v>
      </c>
      <c r="B36" s="368"/>
      <c r="C36" s="368"/>
      <c r="D36" s="368"/>
      <c r="E36" s="368"/>
      <c r="F36" s="368"/>
      <c r="G36" s="296">
        <f>+G34+G35</f>
        <v>152786.90909090909</v>
      </c>
      <c r="H36" s="302">
        <f>+G36/G30</f>
        <v>1.2649999999999999</v>
      </c>
      <c r="I36" s="295">
        <f>+H36-1</f>
        <v>0.2649999999999999</v>
      </c>
      <c r="J36" s="199" t="s">
        <v>334</v>
      </c>
    </row>
    <row r="37" spans="1:10" ht="16.2" x14ac:dyDescent="0.35">
      <c r="A37" s="366" t="s">
        <v>276</v>
      </c>
      <c r="B37" s="366"/>
      <c r="C37" s="366"/>
      <c r="D37" s="366"/>
      <c r="E37" s="366"/>
      <c r="F37" s="260">
        <v>0.21</v>
      </c>
      <c r="G37" s="296">
        <f>+G36*F37</f>
        <v>32085.250909090908</v>
      </c>
      <c r="H37" s="294">
        <f>+G40/G30</f>
        <v>1.5800862</v>
      </c>
      <c r="I37" s="285">
        <f>+H37-1</f>
        <v>0.5800862</v>
      </c>
      <c r="J37" s="199" t="s">
        <v>177</v>
      </c>
    </row>
    <row r="38" spans="1:10" ht="16.2" x14ac:dyDescent="0.35">
      <c r="A38" s="366" t="s">
        <v>277</v>
      </c>
      <c r="B38" s="366"/>
      <c r="C38" s="366"/>
      <c r="D38" s="366"/>
      <c r="E38" s="366"/>
      <c r="F38" s="261">
        <v>3.9E-2</v>
      </c>
      <c r="G38" s="296">
        <f>+G36*F38</f>
        <v>5958.6894545454543</v>
      </c>
    </row>
    <row r="39" spans="1:10" ht="16.2" x14ac:dyDescent="0.35">
      <c r="A39" s="366" t="s">
        <v>278</v>
      </c>
      <c r="B39" s="366"/>
      <c r="C39" s="366"/>
      <c r="D39" s="366"/>
      <c r="E39" s="366"/>
      <c r="F39" s="262">
        <v>8.0000000000000007E-5</v>
      </c>
      <c r="G39" s="296">
        <f>+G36*F39</f>
        <v>12.222952727272729</v>
      </c>
    </row>
    <row r="40" spans="1:10" ht="16.8" customHeight="1" x14ac:dyDescent="0.35">
      <c r="A40" s="372" t="s">
        <v>279</v>
      </c>
      <c r="B40" s="372"/>
      <c r="C40" s="372"/>
      <c r="D40" s="372"/>
      <c r="E40" s="372"/>
      <c r="F40" s="372"/>
      <c r="G40" s="297">
        <f>+G36+G37+G38+G39</f>
        <v>190843.07240727273</v>
      </c>
      <c r="H40" s="285"/>
    </row>
    <row r="43" spans="1:10" ht="15" thickBot="1" x14ac:dyDescent="0.4"/>
    <row r="44" spans="1:10" ht="15" thickBot="1" x14ac:dyDescent="0.4">
      <c r="A44" s="381" t="s">
        <v>230</v>
      </c>
      <c r="B44" s="382"/>
      <c r="C44" s="383" t="s">
        <v>231</v>
      </c>
      <c r="D44" s="383"/>
      <c r="E44" s="383"/>
      <c r="F44" s="383"/>
      <c r="G44" s="384"/>
    </row>
    <row r="45" spans="1:10" ht="15" thickBot="1" x14ac:dyDescent="0.4">
      <c r="A45" s="350" t="s">
        <v>310</v>
      </c>
      <c r="B45" s="351"/>
      <c r="C45" s="373" t="s">
        <v>301</v>
      </c>
      <c r="D45" s="374"/>
      <c r="E45" s="375"/>
      <c r="F45" s="279" t="s">
        <v>232</v>
      </c>
      <c r="G45" s="280">
        <f>+G95</f>
        <v>554831.33849852392</v>
      </c>
    </row>
    <row r="46" spans="1:10" ht="15.6" thickTop="1" thickBot="1" x14ac:dyDescent="0.4">
      <c r="A46" s="202"/>
      <c r="B46" s="203" t="s">
        <v>233</v>
      </c>
      <c r="C46" s="204" t="s">
        <v>1</v>
      </c>
      <c r="D46" s="204" t="s">
        <v>3</v>
      </c>
      <c r="E46" s="204" t="s">
        <v>4</v>
      </c>
      <c r="F46" s="204" t="s">
        <v>234</v>
      </c>
      <c r="G46" s="205" t="s">
        <v>235</v>
      </c>
    </row>
    <row r="47" spans="1:10" x14ac:dyDescent="0.35">
      <c r="A47" s="376" t="s">
        <v>36</v>
      </c>
      <c r="B47" s="207">
        <v>1</v>
      </c>
      <c r="C47" s="208"/>
      <c r="D47" s="209"/>
      <c r="E47" s="210"/>
      <c r="F47" s="211"/>
      <c r="G47" s="212">
        <f t="shared" ref="G47:G53" si="0">+E47*F47</f>
        <v>0</v>
      </c>
    </row>
    <row r="48" spans="1:10" x14ac:dyDescent="0.35">
      <c r="A48" s="385"/>
      <c r="B48" s="213">
        <v>2</v>
      </c>
      <c r="C48" s="208"/>
      <c r="D48" s="209"/>
      <c r="E48" s="210"/>
      <c r="F48" s="211"/>
      <c r="G48" s="212">
        <f t="shared" si="0"/>
        <v>0</v>
      </c>
    </row>
    <row r="49" spans="1:7" x14ac:dyDescent="0.35">
      <c r="A49" s="385"/>
      <c r="B49" s="213">
        <v>3</v>
      </c>
      <c r="C49" s="208"/>
      <c r="D49" s="209"/>
      <c r="E49" s="210"/>
      <c r="F49" s="211"/>
      <c r="G49" s="212">
        <f t="shared" si="0"/>
        <v>0</v>
      </c>
    </row>
    <row r="50" spans="1:7" x14ac:dyDescent="0.35">
      <c r="A50" s="385"/>
      <c r="B50" s="213">
        <v>4</v>
      </c>
      <c r="C50" s="208"/>
      <c r="D50" s="209"/>
      <c r="E50" s="210"/>
      <c r="F50" s="211"/>
      <c r="G50" s="212">
        <f t="shared" si="0"/>
        <v>0</v>
      </c>
    </row>
    <row r="51" spans="1:7" x14ac:dyDescent="0.35">
      <c r="A51" s="385"/>
      <c r="B51" s="213">
        <v>5</v>
      </c>
      <c r="C51" s="208"/>
      <c r="D51" s="209"/>
      <c r="E51" s="210"/>
      <c r="F51" s="211"/>
      <c r="G51" s="212">
        <f t="shared" si="0"/>
        <v>0</v>
      </c>
    </row>
    <row r="52" spans="1:7" x14ac:dyDescent="0.35">
      <c r="A52" s="385"/>
      <c r="B52" s="213">
        <v>6</v>
      </c>
      <c r="C52" s="208"/>
      <c r="D52" s="209"/>
      <c r="E52" s="210"/>
      <c r="F52" s="211"/>
      <c r="G52" s="212">
        <f t="shared" si="0"/>
        <v>0</v>
      </c>
    </row>
    <row r="53" spans="1:7" ht="15" thickBot="1" x14ac:dyDescent="0.4">
      <c r="A53" s="386"/>
      <c r="B53" s="213">
        <v>7</v>
      </c>
      <c r="C53" s="208"/>
      <c r="D53" s="209"/>
      <c r="E53" s="210"/>
      <c r="F53" s="211"/>
      <c r="G53" s="214">
        <f t="shared" si="0"/>
        <v>0</v>
      </c>
    </row>
    <row r="54" spans="1:7" ht="15" thickBot="1" x14ac:dyDescent="0.4">
      <c r="A54" s="202"/>
      <c r="B54" s="215"/>
      <c r="C54" s="216" t="s">
        <v>243</v>
      </c>
      <c r="D54" s="217"/>
      <c r="E54" s="218"/>
      <c r="F54" s="219"/>
      <c r="G54" s="220">
        <f>SUM(G47:G53)</f>
        <v>0</v>
      </c>
    </row>
    <row r="55" spans="1:7" ht="15" customHeight="1" thickBot="1" x14ac:dyDescent="0.4">
      <c r="A55" s="376" t="s">
        <v>27</v>
      </c>
      <c r="B55" s="221" t="s">
        <v>233</v>
      </c>
      <c r="C55" s="282" t="s">
        <v>1</v>
      </c>
      <c r="D55" s="282" t="s">
        <v>3</v>
      </c>
      <c r="E55" s="283" t="s">
        <v>4</v>
      </c>
      <c r="F55" s="284" t="s">
        <v>234</v>
      </c>
      <c r="G55" s="225" t="s">
        <v>235</v>
      </c>
    </row>
    <row r="56" spans="1:7" ht="15" thickBot="1" x14ac:dyDescent="0.4">
      <c r="A56" s="385"/>
      <c r="B56" s="221">
        <v>1</v>
      </c>
      <c r="C56" s="226" t="str">
        <f>+'COSTOS INDIVIDUALES'!B15</f>
        <v>CEMENTO DE ALBAÑILERIA</v>
      </c>
      <c r="D56" s="26" t="s">
        <v>246</v>
      </c>
      <c r="E56" s="227">
        <v>50</v>
      </c>
      <c r="F56" s="281">
        <f>+'COSTOS INDIVIDUALES'!G15</f>
        <v>278.45125000000002</v>
      </c>
      <c r="G56" s="228">
        <f>+E56*F56</f>
        <v>13922.5625</v>
      </c>
    </row>
    <row r="57" spans="1:7" ht="15" thickBot="1" x14ac:dyDescent="0.4">
      <c r="A57" s="385"/>
      <c r="B57" s="221">
        <v>2</v>
      </c>
      <c r="C57" s="226" t="str">
        <f>+'COSTOS INDIVIDUALES'!B20</f>
        <v>ARENA MEDIANA</v>
      </c>
      <c r="D57" s="26" t="s">
        <v>31</v>
      </c>
      <c r="E57" s="227">
        <v>0.21</v>
      </c>
      <c r="F57" s="229">
        <f>+'COSTOS INDIVIDUALES'!G20</f>
        <v>18181.818181818184</v>
      </c>
      <c r="G57" s="230">
        <f t="shared" ref="G57:G74" si="1">+E57*F57</f>
        <v>3818.1818181818185</v>
      </c>
    </row>
    <row r="58" spans="1:7" ht="15" thickBot="1" x14ac:dyDescent="0.4">
      <c r="A58" s="385"/>
      <c r="B58" s="221">
        <v>3</v>
      </c>
      <c r="C58" s="226" t="str">
        <f>+'COSTOS INDIVIDUALES'!B21</f>
        <v>PIEDRA PARTIDA 6-19</v>
      </c>
      <c r="D58" s="26" t="s">
        <v>31</v>
      </c>
      <c r="E58" s="227">
        <v>0.85</v>
      </c>
      <c r="F58" s="229">
        <f>+'COSTOS INDIVIDUALES'!G21</f>
        <v>25206.611570247933</v>
      </c>
      <c r="G58" s="230">
        <f t="shared" si="1"/>
        <v>21425.619834710742</v>
      </c>
    </row>
    <row r="59" spans="1:7" ht="15" thickBot="1" x14ac:dyDescent="0.4">
      <c r="A59" s="385"/>
      <c r="B59" s="221">
        <v>4</v>
      </c>
      <c r="C59" s="226" t="str">
        <f>+'COSTOS INDIVIDUALES'!B23</f>
        <v>Machimbre de pino Elliottis esp: 1/2"</v>
      </c>
      <c r="D59" s="26" t="s">
        <v>14</v>
      </c>
      <c r="E59" s="227">
        <v>36</v>
      </c>
      <c r="F59" s="229">
        <f>+'COSTOS INDIVIDUALES'!G23</f>
        <v>3230.5785123966944</v>
      </c>
      <c r="G59" s="230">
        <f t="shared" si="1"/>
        <v>116300.82644628099</v>
      </c>
    </row>
    <row r="60" spans="1:7" ht="15" thickBot="1" x14ac:dyDescent="0.4">
      <c r="A60" s="385"/>
      <c r="B60" s="221">
        <v>5</v>
      </c>
      <c r="C60" s="226" t="str">
        <f>+'COSTOS INDIVIDUALES'!B24</f>
        <v>Liston de pino Elliottis 2" x 3"</v>
      </c>
      <c r="D60" s="26" t="s">
        <v>48</v>
      </c>
      <c r="E60" s="227">
        <v>72</v>
      </c>
      <c r="F60" s="229">
        <f>+'COSTOS INDIVIDUALES'!G24</f>
        <v>848.76033057851237</v>
      </c>
      <c r="G60" s="230">
        <f t="shared" si="1"/>
        <v>61110.74380165289</v>
      </c>
    </row>
    <row r="61" spans="1:7" ht="15" thickBot="1" x14ac:dyDescent="0.4">
      <c r="A61" s="385"/>
      <c r="B61" s="221">
        <v>6</v>
      </c>
      <c r="C61" s="231" t="str">
        <f>+'COSTOS INDIVIDUALES'!B33</f>
        <v>Clavo punta paris 2"</v>
      </c>
      <c r="D61" s="232" t="s">
        <v>246</v>
      </c>
      <c r="E61" s="233">
        <v>9</v>
      </c>
      <c r="F61" s="229">
        <f>+'COSTOS INDIVIDUALES'!G33</f>
        <v>2593.3884297520663</v>
      </c>
      <c r="G61" s="230">
        <f t="shared" si="1"/>
        <v>23340.495867768597</v>
      </c>
    </row>
    <row r="62" spans="1:7" ht="15" thickBot="1" x14ac:dyDescent="0.4">
      <c r="A62" s="385"/>
      <c r="B62" s="221">
        <v>7</v>
      </c>
      <c r="C62" s="231" t="str">
        <f>+'COSTOS INDIVIDUALES'!B34</f>
        <v>Chapa galv. sinusoidal n°27  3M</v>
      </c>
      <c r="D62" s="232" t="s">
        <v>50</v>
      </c>
      <c r="E62" s="233"/>
      <c r="F62" s="229">
        <f>+'COSTOS INDIVIDUALES'!G34</f>
        <v>7244.1404958677685</v>
      </c>
      <c r="G62" s="230">
        <f t="shared" si="1"/>
        <v>0</v>
      </c>
    </row>
    <row r="63" spans="1:7" ht="15" thickBot="1" x14ac:dyDescent="0.4">
      <c r="A63" s="385"/>
      <c r="B63" s="221">
        <v>8</v>
      </c>
      <c r="C63" s="231" t="str">
        <f>+'COSTOS INDIVIDUALES'!B25</f>
        <v>Tirante de pino Elliottis 2"x4"</v>
      </c>
      <c r="D63" s="232" t="s">
        <v>48</v>
      </c>
      <c r="E63" s="233">
        <v>6</v>
      </c>
      <c r="F63" s="229">
        <f>+'COSTOS INDIVIDUALES'!G25</f>
        <v>1870.2479338842975</v>
      </c>
      <c r="G63" s="230">
        <f t="shared" si="1"/>
        <v>11221.487603305784</v>
      </c>
    </row>
    <row r="64" spans="1:7" ht="15" thickBot="1" x14ac:dyDescent="0.4">
      <c r="A64" s="385"/>
      <c r="B64" s="221">
        <v>9</v>
      </c>
      <c r="C64" s="231" t="str">
        <f>+'COSTOS INDIVIDUALES'!B44</f>
        <v>Inodoro corto con Mochila</v>
      </c>
      <c r="D64" s="232" t="s">
        <v>251</v>
      </c>
      <c r="E64" s="233"/>
      <c r="F64" s="229">
        <f>+'COSTOS INDIVIDUALES'!G44</f>
        <v>53719.008264462813</v>
      </c>
      <c r="G64" s="230">
        <f t="shared" si="1"/>
        <v>0</v>
      </c>
    </row>
    <row r="65" spans="1:7" ht="15" thickBot="1" x14ac:dyDescent="0.4">
      <c r="A65" s="385"/>
      <c r="B65" s="221">
        <v>10</v>
      </c>
      <c r="C65" s="231" t="str">
        <f>+'COSTOS INDIVIDUALES'!B45</f>
        <v>Lavatorio plastico completo</v>
      </c>
      <c r="D65" s="232" t="s">
        <v>251</v>
      </c>
      <c r="E65" s="233"/>
      <c r="F65" s="229">
        <f>+'COSTOS INDIVIDUALES'!G45</f>
        <v>12561.98347107438</v>
      </c>
      <c r="G65" s="230">
        <f t="shared" si="1"/>
        <v>0</v>
      </c>
    </row>
    <row r="66" spans="1:7" ht="15" thickBot="1" x14ac:dyDescent="0.4">
      <c r="A66" s="385"/>
      <c r="B66" s="221">
        <v>11</v>
      </c>
      <c r="C66" s="231" t="str">
        <f>+'COSTOS INDIVIDUALES'!B46</f>
        <v>ducha electrica</v>
      </c>
      <c r="D66" s="232" t="s">
        <v>251</v>
      </c>
      <c r="E66" s="233"/>
      <c r="F66" s="229">
        <f>+'COSTOS INDIVIDUALES'!G46</f>
        <v>29421.487603305784</v>
      </c>
      <c r="G66" s="230">
        <f t="shared" si="1"/>
        <v>0</v>
      </c>
    </row>
    <row r="67" spans="1:7" ht="15" thickBot="1" x14ac:dyDescent="0.4">
      <c r="A67" s="385"/>
      <c r="B67" s="221">
        <v>12</v>
      </c>
      <c r="C67" s="231" t="str">
        <f>+'COSTOS INDIVIDUALES'!B47</f>
        <v>caño P.V.C. 110mm</v>
      </c>
      <c r="D67" s="232" t="s">
        <v>48</v>
      </c>
      <c r="E67" s="233"/>
      <c r="F67" s="229">
        <f>+'COSTOS INDIVIDUALES'!G47</f>
        <v>20057.85123966942</v>
      </c>
      <c r="G67" s="230">
        <f t="shared" si="1"/>
        <v>0</v>
      </c>
    </row>
    <row r="68" spans="1:7" ht="15" thickBot="1" x14ac:dyDescent="0.4">
      <c r="A68" s="385"/>
      <c r="B68" s="221">
        <v>13</v>
      </c>
      <c r="C68" s="231" t="str">
        <f>+'COSTOS INDIVIDUALES'!B48</f>
        <v>caño P.V.C. 40mm</v>
      </c>
      <c r="D68" s="232" t="s">
        <v>48</v>
      </c>
      <c r="E68" s="233"/>
      <c r="F68" s="229">
        <f>+'COSTOS INDIVIDUALES'!G50</f>
        <v>838.84297520661164</v>
      </c>
      <c r="G68" s="230">
        <f t="shared" si="1"/>
        <v>0</v>
      </c>
    </row>
    <row r="69" spans="1:7" ht="15" thickBot="1" x14ac:dyDescent="0.4">
      <c r="A69" s="385"/>
      <c r="B69" s="221">
        <v>14</v>
      </c>
      <c r="C69" s="231" t="str">
        <f>+'COSTOS INDIVIDUALES'!B49</f>
        <v>codo 90° 110mm</v>
      </c>
      <c r="D69" s="232" t="s">
        <v>251</v>
      </c>
      <c r="E69" s="233"/>
      <c r="F69" s="229">
        <f>+'COSTOS INDIVIDUALES'!G49</f>
        <v>4391.7355371900831</v>
      </c>
      <c r="G69" s="230">
        <f t="shared" si="1"/>
        <v>0</v>
      </c>
    </row>
    <row r="70" spans="1:7" ht="15" thickBot="1" x14ac:dyDescent="0.4">
      <c r="A70" s="385"/>
      <c r="B70" s="221">
        <v>15</v>
      </c>
      <c r="C70" s="231" t="str">
        <f>+'COSTOS INDIVIDUALES'!B50</f>
        <v>codo 90° 40mm</v>
      </c>
      <c r="D70" s="232" t="s">
        <v>251</v>
      </c>
      <c r="E70" s="233"/>
      <c r="F70" s="229">
        <f>+'COSTOS INDIVIDUALES'!G50</f>
        <v>838.84297520661164</v>
      </c>
      <c r="G70" s="230">
        <f t="shared" si="1"/>
        <v>0</v>
      </c>
    </row>
    <row r="71" spans="1:7" ht="15" thickBot="1" x14ac:dyDescent="0.4">
      <c r="A71" s="385"/>
      <c r="B71" s="221">
        <v>16</v>
      </c>
      <c r="C71" s="231" t="str">
        <f>+'COSTOS INDIVIDUALES'!B51</f>
        <v>codo 45° 110mm</v>
      </c>
      <c r="D71" s="232" t="s">
        <v>251</v>
      </c>
      <c r="E71" s="233"/>
      <c r="F71" s="229">
        <f>+'COSTOS INDIVIDUALES'!G52</f>
        <v>1603.3057851239671</v>
      </c>
      <c r="G71" s="230">
        <f t="shared" si="1"/>
        <v>0</v>
      </c>
    </row>
    <row r="72" spans="1:7" ht="15" thickBot="1" x14ac:dyDescent="0.4">
      <c r="A72" s="385"/>
      <c r="B72" s="221">
        <v>17</v>
      </c>
      <c r="C72" s="231" t="str">
        <f>+'COSTOS INDIVIDUALES'!B52</f>
        <v>codo 45° 40mm</v>
      </c>
      <c r="D72" s="232" t="s">
        <v>251</v>
      </c>
      <c r="E72" s="233"/>
      <c r="F72" s="229">
        <f>+'COSTOS INDIVIDUALES'!G52</f>
        <v>1603.3057851239671</v>
      </c>
      <c r="G72" s="230">
        <f t="shared" si="1"/>
        <v>0</v>
      </c>
    </row>
    <row r="73" spans="1:7" ht="15" thickBot="1" x14ac:dyDescent="0.4">
      <c r="A73" s="385"/>
      <c r="B73" s="221">
        <v>18</v>
      </c>
      <c r="C73" s="231" t="str">
        <f>+'COSTOS INDIVIDUALES'!B53</f>
        <v>ramal "Y" 110mm.</v>
      </c>
      <c r="D73" s="232" t="s">
        <v>251</v>
      </c>
      <c r="E73" s="233"/>
      <c r="F73" s="229">
        <f>+'COSTOS INDIVIDUALES'!G53</f>
        <v>4928.0991735537191</v>
      </c>
      <c r="G73" s="230">
        <f t="shared" si="1"/>
        <v>0</v>
      </c>
    </row>
    <row r="74" spans="1:7" ht="15" thickBot="1" x14ac:dyDescent="0.4">
      <c r="A74" s="386"/>
      <c r="B74" s="221">
        <v>19</v>
      </c>
      <c r="C74" s="235"/>
      <c r="D74" s="201"/>
      <c r="E74" s="236"/>
      <c r="F74" s="237"/>
      <c r="G74" s="230">
        <f t="shared" si="1"/>
        <v>0</v>
      </c>
    </row>
    <row r="75" spans="1:7" ht="15" thickBot="1" x14ac:dyDescent="0.4">
      <c r="A75" s="238"/>
      <c r="B75" s="215"/>
      <c r="C75" s="216" t="s">
        <v>260</v>
      </c>
      <c r="D75" s="217"/>
      <c r="E75" s="218"/>
      <c r="F75" s="219"/>
      <c r="G75" s="239">
        <f>+SUM(G56:G74)</f>
        <v>251139.91787190081</v>
      </c>
    </row>
    <row r="76" spans="1:7" ht="15" thickBot="1" x14ac:dyDescent="0.4">
      <c r="A76"/>
      <c r="B76" s="213" t="s">
        <v>233</v>
      </c>
      <c r="C76" s="240" t="s">
        <v>1</v>
      </c>
      <c r="D76" s="222" t="s">
        <v>261</v>
      </c>
      <c r="E76" s="293" t="s">
        <v>4</v>
      </c>
      <c r="F76" s="224" t="s">
        <v>234</v>
      </c>
      <c r="G76" s="225" t="s">
        <v>235</v>
      </c>
    </row>
    <row r="77" spans="1:7" ht="15" thickBot="1" x14ac:dyDescent="0.4">
      <c r="A77" s="376" t="s">
        <v>300</v>
      </c>
      <c r="B77" s="241">
        <v>1</v>
      </c>
      <c r="C77" s="242" t="s">
        <v>262</v>
      </c>
      <c r="D77" s="243" t="s">
        <v>263</v>
      </c>
      <c r="E77" s="210">
        <v>0</v>
      </c>
      <c r="F77" s="244">
        <f>+'COSTOS INDIVIDUALES'!$N$8</f>
        <v>4100</v>
      </c>
      <c r="G77" s="245">
        <f>+E77*F77</f>
        <v>0</v>
      </c>
    </row>
    <row r="78" spans="1:7" ht="15" thickBot="1" x14ac:dyDescent="0.4">
      <c r="A78" s="377"/>
      <c r="B78" s="241">
        <v>2</v>
      </c>
      <c r="C78" s="208" t="s">
        <v>264</v>
      </c>
      <c r="D78" s="209" t="s">
        <v>263</v>
      </c>
      <c r="E78" s="210">
        <v>8</v>
      </c>
      <c r="F78" s="246">
        <f>+'COSTOS INDIVIDUALES'!$N$9</f>
        <v>3500</v>
      </c>
      <c r="G78" s="212">
        <f>+E78*F78</f>
        <v>28000</v>
      </c>
    </row>
    <row r="79" spans="1:7" ht="15" thickBot="1" x14ac:dyDescent="0.4">
      <c r="A79" s="377"/>
      <c r="B79" s="241">
        <v>3</v>
      </c>
      <c r="C79" s="208" t="s">
        <v>265</v>
      </c>
      <c r="D79" s="209" t="s">
        <v>263</v>
      </c>
      <c r="E79" s="210">
        <v>8</v>
      </c>
      <c r="F79" s="246">
        <f>+'COSTOS INDIVIDUALES'!$N$10</f>
        <v>3200</v>
      </c>
      <c r="G79" s="212">
        <f>+E79*F79</f>
        <v>25600</v>
      </c>
    </row>
    <row r="80" spans="1:7" ht="15" thickBot="1" x14ac:dyDescent="0.4">
      <c r="A80" s="378"/>
      <c r="B80" s="241">
        <v>4</v>
      </c>
      <c r="C80" s="208" t="s">
        <v>37</v>
      </c>
      <c r="D80" s="209" t="s">
        <v>263</v>
      </c>
      <c r="E80" s="210">
        <v>16</v>
      </c>
      <c r="F80" s="246">
        <f>+'COSTOS INDIVIDUALES'!$N$11</f>
        <v>2900</v>
      </c>
      <c r="G80" s="212">
        <f>+E80*F80</f>
        <v>46400</v>
      </c>
    </row>
    <row r="81" spans="1:9" ht="15" thickBot="1" x14ac:dyDescent="0.4">
      <c r="A81" s="238"/>
      <c r="B81" s="215"/>
      <c r="C81" s="216" t="s">
        <v>266</v>
      </c>
      <c r="D81" s="217"/>
      <c r="E81" s="218"/>
      <c r="F81" s="219"/>
      <c r="G81" s="239">
        <f>SUM(G77:G80)</f>
        <v>100000</v>
      </c>
    </row>
    <row r="82" spans="1:9" ht="15" thickBot="1" x14ac:dyDescent="0.4">
      <c r="A82" s="247"/>
      <c r="B82" s="248"/>
      <c r="C82" s="249"/>
      <c r="D82" s="209"/>
      <c r="E82" s="250"/>
      <c r="F82" s="211"/>
      <c r="G82" s="251"/>
    </row>
    <row r="83" spans="1:9" ht="15" thickBot="1" x14ac:dyDescent="0.4">
      <c r="A83" s="238"/>
      <c r="B83" s="215" t="s">
        <v>267</v>
      </c>
      <c r="C83" s="252"/>
      <c r="D83" s="253" t="s">
        <v>268</v>
      </c>
      <c r="E83" s="218"/>
      <c r="F83" s="254"/>
      <c r="G83" s="255">
        <f>+G81+G75+G54</f>
        <v>351139.91787190083</v>
      </c>
    </row>
    <row r="84" spans="1:9" x14ac:dyDescent="0.35">
      <c r="A84"/>
      <c r="B84"/>
      <c r="C84"/>
      <c r="D84"/>
      <c r="E84" s="256"/>
      <c r="F84"/>
      <c r="G84"/>
    </row>
    <row r="85" spans="1:9" ht="16.2" x14ac:dyDescent="0.35">
      <c r="A85" s="366" t="s">
        <v>269</v>
      </c>
      <c r="B85" s="366"/>
      <c r="C85" s="366"/>
      <c r="D85" s="366"/>
      <c r="E85" s="366"/>
      <c r="F85" s="366"/>
      <c r="G85" s="257">
        <f>+G83</f>
        <v>351139.91787190083</v>
      </c>
    </row>
    <row r="86" spans="1:9" ht="16.2" x14ac:dyDescent="0.35">
      <c r="A86" s="366" t="s">
        <v>270</v>
      </c>
      <c r="B86" s="366"/>
      <c r="C86" s="366"/>
      <c r="D86" s="366"/>
      <c r="E86" s="366"/>
      <c r="F86" s="258">
        <v>0</v>
      </c>
      <c r="G86" s="259">
        <f>+F86*G85</f>
        <v>0</v>
      </c>
    </row>
    <row r="87" spans="1:9" ht="16.2" x14ac:dyDescent="0.35">
      <c r="A87" s="367" t="s">
        <v>271</v>
      </c>
      <c r="B87" s="367"/>
      <c r="C87" s="367"/>
      <c r="D87" s="367"/>
      <c r="E87" s="367"/>
      <c r="F87" s="367"/>
      <c r="G87" s="257">
        <f>+G85+G86</f>
        <v>351139.91787190083</v>
      </c>
    </row>
    <row r="88" spans="1:9" ht="16.2" x14ac:dyDescent="0.35">
      <c r="A88" s="366" t="s">
        <v>272</v>
      </c>
      <c r="B88" s="366"/>
      <c r="C88" s="366"/>
      <c r="D88" s="366"/>
      <c r="E88" s="366"/>
      <c r="F88" s="258">
        <v>0.15</v>
      </c>
      <c r="G88" s="257">
        <f>+G87*F88</f>
        <v>52670.987680785125</v>
      </c>
    </row>
    <row r="89" spans="1:9" ht="16.2" customHeight="1" x14ac:dyDescent="0.35">
      <c r="A89" s="368" t="s">
        <v>273</v>
      </c>
      <c r="B89" s="368"/>
      <c r="C89" s="368"/>
      <c r="D89" s="368"/>
      <c r="E89" s="368"/>
      <c r="F89" s="368"/>
      <c r="G89" s="257">
        <f>+G87+G88</f>
        <v>403810.90555268596</v>
      </c>
    </row>
    <row r="90" spans="1:9" ht="16.2" x14ac:dyDescent="0.35">
      <c r="A90" s="366" t="s">
        <v>274</v>
      </c>
      <c r="B90" s="366"/>
      <c r="C90" s="366"/>
      <c r="D90" s="366"/>
      <c r="E90" s="366"/>
      <c r="F90" s="258">
        <v>0.1</v>
      </c>
      <c r="G90" s="259">
        <f>+G89*F90</f>
        <v>40381.090555268602</v>
      </c>
      <c r="H90" s="294"/>
      <c r="I90" s="285"/>
    </row>
    <row r="91" spans="1:9" ht="16.2" customHeight="1" x14ac:dyDescent="0.35">
      <c r="A91" s="368" t="s">
        <v>275</v>
      </c>
      <c r="B91" s="368"/>
      <c r="C91" s="368"/>
      <c r="D91" s="368"/>
      <c r="E91" s="368"/>
      <c r="F91" s="368"/>
      <c r="G91" s="257">
        <f>+G89+G90</f>
        <v>444191.99610795453</v>
      </c>
    </row>
    <row r="92" spans="1:9" ht="16.2" x14ac:dyDescent="0.35">
      <c r="A92" s="366" t="s">
        <v>276</v>
      </c>
      <c r="B92" s="366"/>
      <c r="C92" s="366"/>
      <c r="D92" s="366"/>
      <c r="E92" s="366"/>
      <c r="F92" s="260">
        <v>0.21</v>
      </c>
      <c r="G92" s="259">
        <f>+G91*F92</f>
        <v>93280.319182670442</v>
      </c>
    </row>
    <row r="93" spans="1:9" ht="16.2" x14ac:dyDescent="0.35">
      <c r="A93" s="366" t="s">
        <v>277</v>
      </c>
      <c r="B93" s="366"/>
      <c r="C93" s="366"/>
      <c r="D93" s="366"/>
      <c r="E93" s="366"/>
      <c r="F93" s="261">
        <v>3.9E-2</v>
      </c>
      <c r="G93" s="259">
        <f>+G91*F93</f>
        <v>17323.487848210225</v>
      </c>
    </row>
    <row r="94" spans="1:9" ht="16.2" x14ac:dyDescent="0.35">
      <c r="A94" s="366" t="s">
        <v>278</v>
      </c>
      <c r="B94" s="366"/>
      <c r="C94" s="366"/>
      <c r="D94" s="366"/>
      <c r="E94" s="366"/>
      <c r="F94" s="262">
        <v>8.0000000000000007E-5</v>
      </c>
      <c r="G94" s="259">
        <f>+G91*F94</f>
        <v>35.535359688636369</v>
      </c>
    </row>
    <row r="95" spans="1:9" ht="16.8" customHeight="1" x14ac:dyDescent="0.35">
      <c r="A95" s="372" t="s">
        <v>279</v>
      </c>
      <c r="B95" s="372"/>
      <c r="C95" s="372"/>
      <c r="D95" s="372"/>
      <c r="E95" s="372"/>
      <c r="F95" s="372"/>
      <c r="G95" s="263">
        <f>+G91+G92+G93+G94</f>
        <v>554831.33849852392</v>
      </c>
    </row>
    <row r="97" spans="1:7" ht="15" thickBot="1" x14ac:dyDescent="0.4"/>
    <row r="98" spans="1:7" ht="15" thickBot="1" x14ac:dyDescent="0.4">
      <c r="A98" s="361" t="s">
        <v>230</v>
      </c>
      <c r="B98" s="362"/>
      <c r="C98" s="363" t="s">
        <v>231</v>
      </c>
      <c r="D98" s="364"/>
      <c r="E98" s="364"/>
      <c r="F98" s="364"/>
      <c r="G98" s="365"/>
    </row>
    <row r="99" spans="1:7" ht="15" thickBot="1" x14ac:dyDescent="0.4">
      <c r="A99" s="350" t="s">
        <v>311</v>
      </c>
      <c r="B99" s="351"/>
      <c r="C99" s="373" t="s">
        <v>91</v>
      </c>
      <c r="D99" s="379"/>
      <c r="E99" s="380"/>
      <c r="F99" s="298" t="s">
        <v>232</v>
      </c>
      <c r="G99" s="299">
        <f>+G143</f>
        <v>409604.68998267385</v>
      </c>
    </row>
    <row r="100" spans="1:7" ht="15.6" thickTop="1" thickBot="1" x14ac:dyDescent="0.4">
      <c r="A100" s="202"/>
      <c r="B100" s="203" t="s">
        <v>233</v>
      </c>
      <c r="C100" s="204" t="s">
        <v>1</v>
      </c>
      <c r="D100" s="204" t="s">
        <v>3</v>
      </c>
      <c r="E100" s="204" t="s">
        <v>4</v>
      </c>
      <c r="F100" s="202" t="s">
        <v>234</v>
      </c>
      <c r="G100" s="284" t="s">
        <v>235</v>
      </c>
    </row>
    <row r="101" spans="1:7" x14ac:dyDescent="0.35">
      <c r="A101" s="206" t="s">
        <v>236</v>
      </c>
      <c r="B101" s="207">
        <v>1</v>
      </c>
      <c r="C101" s="208"/>
      <c r="D101" s="209"/>
      <c r="E101" s="210"/>
      <c r="F101" s="211"/>
      <c r="G101" s="212">
        <f t="shared" ref="G101:G107" si="2">+E101*F101</f>
        <v>0</v>
      </c>
    </row>
    <row r="102" spans="1:7" x14ac:dyDescent="0.35">
      <c r="A102" s="206" t="s">
        <v>237</v>
      </c>
      <c r="B102" s="213">
        <v>2</v>
      </c>
      <c r="C102" s="208"/>
      <c r="D102" s="209"/>
      <c r="E102" s="210"/>
      <c r="F102" s="211"/>
      <c r="G102" s="212">
        <f t="shared" si="2"/>
        <v>0</v>
      </c>
    </row>
    <row r="103" spans="1:7" x14ac:dyDescent="0.35">
      <c r="A103" s="206" t="s">
        <v>238</v>
      </c>
      <c r="B103" s="213">
        <v>3</v>
      </c>
      <c r="C103" s="208"/>
      <c r="D103" s="209"/>
      <c r="E103" s="210"/>
      <c r="F103" s="211"/>
      <c r="G103" s="212">
        <f t="shared" si="2"/>
        <v>0</v>
      </c>
    </row>
    <row r="104" spans="1:7" x14ac:dyDescent="0.35">
      <c r="A104" s="206" t="s">
        <v>239</v>
      </c>
      <c r="B104" s="213">
        <v>4</v>
      </c>
      <c r="C104" s="208"/>
      <c r="D104" s="209"/>
      <c r="E104" s="210"/>
      <c r="F104" s="211"/>
      <c r="G104" s="212">
        <f t="shared" si="2"/>
        <v>0</v>
      </c>
    </row>
    <row r="105" spans="1:7" x14ac:dyDescent="0.35">
      <c r="A105" s="206" t="s">
        <v>240</v>
      </c>
      <c r="B105" s="213">
        <v>5</v>
      </c>
      <c r="C105" s="208"/>
      <c r="D105" s="209"/>
      <c r="E105" s="210"/>
      <c r="F105" s="211"/>
      <c r="G105" s="212">
        <f t="shared" si="2"/>
        <v>0</v>
      </c>
    </row>
    <row r="106" spans="1:7" x14ac:dyDescent="0.35">
      <c r="A106" s="206" t="s">
        <v>241</v>
      </c>
      <c r="B106" s="213">
        <v>6</v>
      </c>
      <c r="C106" s="208"/>
      <c r="D106" s="209"/>
      <c r="E106" s="210"/>
      <c r="F106" s="211"/>
      <c r="G106" s="212">
        <f t="shared" si="2"/>
        <v>0</v>
      </c>
    </row>
    <row r="107" spans="1:7" ht="15" thickBot="1" x14ac:dyDescent="0.4">
      <c r="A107" s="206" t="s">
        <v>242</v>
      </c>
      <c r="B107" s="213">
        <v>7</v>
      </c>
      <c r="C107" s="208"/>
      <c r="D107" s="209"/>
      <c r="E107" s="210"/>
      <c r="F107" s="211"/>
      <c r="G107" s="214">
        <f t="shared" si="2"/>
        <v>0</v>
      </c>
    </row>
    <row r="108" spans="1:7" ht="15" thickBot="1" x14ac:dyDescent="0.4">
      <c r="A108" s="202"/>
      <c r="B108" s="215"/>
      <c r="C108" s="216" t="s">
        <v>243</v>
      </c>
      <c r="D108" s="217"/>
      <c r="E108" s="289"/>
      <c r="F108" s="228"/>
      <c r="G108" s="290">
        <f>SUM(G101:G107)</f>
        <v>0</v>
      </c>
    </row>
    <row r="109" spans="1:7" ht="15.6" thickTop="1" thickBot="1" x14ac:dyDescent="0.4">
      <c r="A109" s="213" t="s">
        <v>244</v>
      </c>
      <c r="B109" s="221" t="s">
        <v>233</v>
      </c>
      <c r="C109" s="204" t="s">
        <v>1</v>
      </c>
      <c r="D109" s="204" t="s">
        <v>3</v>
      </c>
      <c r="E109" s="202" t="s">
        <v>4</v>
      </c>
      <c r="F109" s="202" t="s">
        <v>234</v>
      </c>
      <c r="G109" s="291" t="s">
        <v>235</v>
      </c>
    </row>
    <row r="110" spans="1:7" x14ac:dyDescent="0.35">
      <c r="A110" s="213" t="s">
        <v>245</v>
      </c>
      <c r="B110" s="241">
        <v>1</v>
      </c>
      <c r="C110" s="269" t="str">
        <f>+'COSTOS INDIVIDUALES'!B26</f>
        <v>Liston de pino 1"x4" Sin cepillar</v>
      </c>
      <c r="D110" s="201" t="s">
        <v>48</v>
      </c>
      <c r="E110" s="236">
        <v>14.5</v>
      </c>
      <c r="F110" s="270">
        <f>+'COSTOS INDIVIDUALES'!G26</f>
        <v>564.46280991735534</v>
      </c>
      <c r="G110" s="230">
        <f t="shared" ref="G110:G122" si="3">+E110*F110</f>
        <v>8184.7107438016528</v>
      </c>
    </row>
    <row r="111" spans="1:7" x14ac:dyDescent="0.35">
      <c r="A111" s="213" t="s">
        <v>247</v>
      </c>
      <c r="B111" s="206">
        <v>2</v>
      </c>
      <c r="C111" s="269" t="str">
        <f>+'COSTOS INDIVIDUALES'!B27</f>
        <v>Puntal de Pino 2"x2" Sin cepillar</v>
      </c>
      <c r="D111" s="201" t="s">
        <v>48</v>
      </c>
      <c r="E111" s="236">
        <v>14.1</v>
      </c>
      <c r="F111" s="270">
        <f>+'COSTOS INDIVIDUALES'!G27</f>
        <v>564.46280991735534</v>
      </c>
      <c r="G111" s="230">
        <f t="shared" si="3"/>
        <v>7958.9256198347102</v>
      </c>
    </row>
    <row r="112" spans="1:7" x14ac:dyDescent="0.35">
      <c r="A112" s="213" t="s">
        <v>236</v>
      </c>
      <c r="B112" s="206">
        <v>3</v>
      </c>
      <c r="C112" s="269" t="str">
        <f>+'COSTOS INDIVIDUALES'!B28</f>
        <v>Puntal de Pino 3"x3" sin Cepillar</v>
      </c>
      <c r="D112" s="201" t="s">
        <v>48</v>
      </c>
      <c r="E112" s="236">
        <v>26.4</v>
      </c>
      <c r="F112" s="270">
        <f>+'COSTOS INDIVIDUALES'!G28</f>
        <v>1109.9173553719008</v>
      </c>
      <c r="G112" s="230">
        <f t="shared" si="3"/>
        <v>29301.81818181818</v>
      </c>
    </row>
    <row r="113" spans="1:7" x14ac:dyDescent="0.35">
      <c r="A113" s="213" t="s">
        <v>248</v>
      </c>
      <c r="B113" s="206">
        <v>4</v>
      </c>
      <c r="C113" s="269" t="str">
        <f>+'COSTOS INDIVIDUALES'!B29</f>
        <v>Fenolico 1,20x2,60x0,018</v>
      </c>
      <c r="D113" s="201" t="s">
        <v>50</v>
      </c>
      <c r="E113" s="236">
        <v>12</v>
      </c>
      <c r="F113" s="270">
        <f>+'COSTOS INDIVIDUALES'!G29</f>
        <v>9954.6381648654387</v>
      </c>
      <c r="G113" s="230">
        <f t="shared" si="3"/>
        <v>119455.65797838526</v>
      </c>
    </row>
    <row r="114" spans="1:7" x14ac:dyDescent="0.35">
      <c r="A114" s="213" t="s">
        <v>239</v>
      </c>
      <c r="B114" s="206">
        <v>5</v>
      </c>
      <c r="C114" s="269" t="str">
        <f>+'COSTOS INDIVIDUALES'!B33</f>
        <v>Clavo punta paris 2"</v>
      </c>
      <c r="D114" s="201" t="s">
        <v>46</v>
      </c>
      <c r="E114" s="236">
        <v>0.7</v>
      </c>
      <c r="F114" s="270">
        <f>+'COSTOS INDIVIDUALES'!G33</f>
        <v>2593.3884297520663</v>
      </c>
      <c r="G114" s="230">
        <f t="shared" si="3"/>
        <v>1815.3719008264463</v>
      </c>
    </row>
    <row r="115" spans="1:7" x14ac:dyDescent="0.35">
      <c r="A115" s="213" t="s">
        <v>245</v>
      </c>
      <c r="B115" s="206">
        <v>6</v>
      </c>
      <c r="C115" s="269" t="str">
        <f>+'COSTOS INDIVIDUALES'!B35</f>
        <v>Alambre negro recocido BWG 16</v>
      </c>
      <c r="D115" s="201" t="s">
        <v>46</v>
      </c>
      <c r="E115" s="236">
        <v>0.5</v>
      </c>
      <c r="F115" s="270">
        <f>+'COSTOS INDIVIDUALES'!G35</f>
        <v>3375.2066115702482</v>
      </c>
      <c r="G115" s="230">
        <f t="shared" si="3"/>
        <v>1687.6033057851241</v>
      </c>
    </row>
    <row r="116" spans="1:7" x14ac:dyDescent="0.35">
      <c r="A116" s="213" t="s">
        <v>250</v>
      </c>
      <c r="B116" s="206">
        <v>7</v>
      </c>
      <c r="C116" s="269" t="str">
        <f>+'COSTOS INDIVIDUALES'!B36</f>
        <v>Bisagra tipo tranquera 50x5x200 mm</v>
      </c>
      <c r="D116" s="201" t="s">
        <v>50</v>
      </c>
      <c r="E116" s="236">
        <v>2</v>
      </c>
      <c r="F116" s="270">
        <f>+'COSTOS INDIVIDUALES'!G36</f>
        <v>3966.9421487603308</v>
      </c>
      <c r="G116" s="230">
        <f t="shared" si="3"/>
        <v>7933.8842975206617</v>
      </c>
    </row>
    <row r="117" spans="1:7" x14ac:dyDescent="0.35">
      <c r="A117" s="213" t="s">
        <v>236</v>
      </c>
      <c r="B117" s="206">
        <v>8</v>
      </c>
      <c r="C117" s="269" t="str">
        <f>+'COSTOS INDIVIDUALES'!B37</f>
        <v>Bulon hexagonal 1/4x1"</v>
      </c>
      <c r="D117" s="201" t="s">
        <v>50</v>
      </c>
      <c r="E117" s="236">
        <v>4</v>
      </c>
      <c r="F117" s="270">
        <f>+'COSTOS INDIVIDUALES'!G37</f>
        <v>61.15702479338843</v>
      </c>
      <c r="G117" s="230">
        <f t="shared" si="3"/>
        <v>244.62809917355372</v>
      </c>
    </row>
    <row r="118" spans="1:7" x14ac:dyDescent="0.35">
      <c r="A118" s="213" t="s">
        <v>242</v>
      </c>
      <c r="B118" s="206">
        <v>9</v>
      </c>
      <c r="C118" s="269" t="str">
        <f>+'COSTOS INDIVIDUALES'!B38</f>
        <v>Tuerca hexagonal 1/4" zincada</v>
      </c>
      <c r="D118" s="201" t="s">
        <v>50</v>
      </c>
      <c r="E118" s="236">
        <v>4</v>
      </c>
      <c r="F118" s="270">
        <f>+'COSTOS INDIVIDUALES'!G38</f>
        <v>22.314049586776861</v>
      </c>
      <c r="G118" s="230">
        <f t="shared" si="3"/>
        <v>89.256198347107443</v>
      </c>
    </row>
    <row r="119" spans="1:7" x14ac:dyDescent="0.35">
      <c r="A119" s="213"/>
      <c r="B119" s="206">
        <v>10</v>
      </c>
      <c r="C119" s="269" t="str">
        <f>+'COSTOS INDIVIDUALES'!B39</f>
        <v>Arandela plana 1/4" zincada</v>
      </c>
      <c r="D119" s="201" t="s">
        <v>50</v>
      </c>
      <c r="E119" s="236">
        <v>4</v>
      </c>
      <c r="F119" s="270">
        <f>+'COSTOS INDIVIDUALES'!G39</f>
        <v>15.702479338842975</v>
      </c>
      <c r="G119" s="230">
        <f t="shared" si="3"/>
        <v>62.809917355371901</v>
      </c>
    </row>
    <row r="120" spans="1:7" x14ac:dyDescent="0.35">
      <c r="A120" s="213"/>
      <c r="B120" s="206">
        <v>11</v>
      </c>
      <c r="C120" s="269" t="str">
        <f>+'COSTOS INDIVIDUALES'!B40</f>
        <v>Cadena</v>
      </c>
      <c r="D120" s="201" t="s">
        <v>48</v>
      </c>
      <c r="E120" s="236">
        <v>0.5</v>
      </c>
      <c r="F120" s="270">
        <f>+'COSTOS INDIVIDUALES'!G40</f>
        <v>8189.3313298271969</v>
      </c>
      <c r="G120" s="230">
        <f t="shared" si="3"/>
        <v>4094.6656649135984</v>
      </c>
    </row>
    <row r="121" spans="1:7" x14ac:dyDescent="0.35">
      <c r="A121" s="213"/>
      <c r="B121" s="206">
        <v>12</v>
      </c>
      <c r="C121" s="269" t="str">
        <f>+'COSTOS INDIVIDUALES'!B41</f>
        <v>Candado nº 5</v>
      </c>
      <c r="D121" s="201" t="s">
        <v>50</v>
      </c>
      <c r="E121" s="236">
        <v>1</v>
      </c>
      <c r="F121" s="270">
        <f>+'COSTOS INDIVIDUALES'!F41</f>
        <v>4000</v>
      </c>
      <c r="G121" s="230">
        <f t="shared" si="3"/>
        <v>4000</v>
      </c>
    </row>
    <row r="122" spans="1:7" ht="15" thickBot="1" x14ac:dyDescent="0.4">
      <c r="A122" s="213"/>
      <c r="B122" s="206">
        <v>13</v>
      </c>
      <c r="C122" s="269"/>
      <c r="D122" s="201"/>
      <c r="E122" s="236"/>
      <c r="F122" s="271"/>
      <c r="G122" s="230">
        <f t="shared" si="3"/>
        <v>0</v>
      </c>
    </row>
    <row r="123" spans="1:7" ht="15" thickBot="1" x14ac:dyDescent="0.4">
      <c r="A123" s="238"/>
      <c r="B123" s="215"/>
      <c r="C123" s="216" t="s">
        <v>260</v>
      </c>
      <c r="D123" s="217"/>
      <c r="E123" s="218"/>
      <c r="F123" s="219"/>
      <c r="G123" s="239">
        <f>+SUM(G110:G122)</f>
        <v>184829.33190776166</v>
      </c>
    </row>
    <row r="124" spans="1:7" ht="15" thickBot="1" x14ac:dyDescent="0.4">
      <c r="A124"/>
      <c r="B124" s="213" t="s">
        <v>233</v>
      </c>
      <c r="C124" s="240" t="s">
        <v>1</v>
      </c>
      <c r="D124" s="222" t="s">
        <v>261</v>
      </c>
      <c r="E124" s="282" t="s">
        <v>4</v>
      </c>
      <c r="F124" s="224" t="s">
        <v>234</v>
      </c>
      <c r="G124" s="225" t="s">
        <v>235</v>
      </c>
    </row>
    <row r="125" spans="1:7" ht="15" thickBot="1" x14ac:dyDescent="0.4">
      <c r="A125" s="347" t="s">
        <v>28</v>
      </c>
      <c r="B125" s="241">
        <v>0</v>
      </c>
      <c r="C125" s="242" t="s">
        <v>262</v>
      </c>
      <c r="D125" s="243" t="s">
        <v>263</v>
      </c>
      <c r="E125" s="210">
        <v>0</v>
      </c>
      <c r="F125" s="244">
        <f>+'COSTOS INDIVIDUALES'!$N$8</f>
        <v>4100</v>
      </c>
      <c r="G125" s="245">
        <f>+E125*F125</f>
        <v>0</v>
      </c>
    </row>
    <row r="126" spans="1:7" ht="15" thickBot="1" x14ac:dyDescent="0.4">
      <c r="A126" s="348"/>
      <c r="B126" s="241">
        <v>1</v>
      </c>
      <c r="C126" s="208" t="s">
        <v>264</v>
      </c>
      <c r="D126" s="209" t="s">
        <v>263</v>
      </c>
      <c r="E126" s="210">
        <v>8</v>
      </c>
      <c r="F126" s="246">
        <f>+'COSTOS INDIVIDUALES'!$N$9</f>
        <v>3500</v>
      </c>
      <c r="G126" s="212">
        <f>+E126*F126</f>
        <v>28000</v>
      </c>
    </row>
    <row r="127" spans="1:7" ht="15" thickBot="1" x14ac:dyDescent="0.4">
      <c r="A127" s="348"/>
      <c r="B127" s="241">
        <v>0</v>
      </c>
      <c r="C127" s="208" t="s">
        <v>265</v>
      </c>
      <c r="D127" s="209" t="s">
        <v>263</v>
      </c>
      <c r="E127" s="210">
        <v>0</v>
      </c>
      <c r="F127" s="246">
        <f>+'COSTOS INDIVIDUALES'!$N$10</f>
        <v>3200</v>
      </c>
      <c r="G127" s="212">
        <f>+E127*F127</f>
        <v>0</v>
      </c>
    </row>
    <row r="128" spans="1:7" ht="15" thickBot="1" x14ac:dyDescent="0.4">
      <c r="A128" s="349"/>
      <c r="B128" s="241">
        <v>2</v>
      </c>
      <c r="C128" s="208" t="s">
        <v>37</v>
      </c>
      <c r="D128" s="209" t="s">
        <v>263</v>
      </c>
      <c r="E128" s="210">
        <v>16</v>
      </c>
      <c r="F128" s="246">
        <f>+'COSTOS INDIVIDUALES'!$N$11</f>
        <v>2900</v>
      </c>
      <c r="G128" s="212">
        <f>+E128*F128</f>
        <v>46400</v>
      </c>
    </row>
    <row r="129" spans="1:7" ht="15" thickBot="1" x14ac:dyDescent="0.4">
      <c r="A129" s="238"/>
      <c r="B129" s="215"/>
      <c r="C129" s="216" t="s">
        <v>266</v>
      </c>
      <c r="D129" s="217"/>
      <c r="E129" s="218"/>
      <c r="F129" s="219"/>
      <c r="G129" s="239">
        <f>SUM(G125:G128)</f>
        <v>74400</v>
      </c>
    </row>
    <row r="130" spans="1:7" ht="15" thickBot="1" x14ac:dyDescent="0.4">
      <c r="A130" s="247"/>
      <c r="B130" s="248"/>
      <c r="C130" s="249"/>
      <c r="D130" s="209"/>
      <c r="E130" s="250"/>
      <c r="F130" s="211"/>
      <c r="G130" s="251"/>
    </row>
    <row r="131" spans="1:7" ht="15" thickBot="1" x14ac:dyDescent="0.4">
      <c r="A131" s="238"/>
      <c r="B131" s="215" t="s">
        <v>267</v>
      </c>
      <c r="C131" s="252"/>
      <c r="D131" s="253" t="s">
        <v>268</v>
      </c>
      <c r="E131" s="218"/>
      <c r="F131" s="254"/>
      <c r="G131" s="255">
        <f>+G129+G123+G108</f>
        <v>259229.33190776166</v>
      </c>
    </row>
    <row r="132" spans="1:7" x14ac:dyDescent="0.35">
      <c r="A132"/>
      <c r="B132"/>
      <c r="C132"/>
      <c r="D132"/>
      <c r="E132" s="256"/>
      <c r="F132"/>
      <c r="G132"/>
    </row>
    <row r="133" spans="1:7" ht="16.2" x14ac:dyDescent="0.35">
      <c r="A133" s="366" t="s">
        <v>269</v>
      </c>
      <c r="B133" s="366"/>
      <c r="C133" s="366"/>
      <c r="D133" s="366"/>
      <c r="E133" s="366"/>
      <c r="F133" s="366"/>
      <c r="G133" s="257">
        <f>+G131</f>
        <v>259229.33190776166</v>
      </c>
    </row>
    <row r="134" spans="1:7" ht="16.2" x14ac:dyDescent="0.35">
      <c r="A134" s="366" t="s">
        <v>270</v>
      </c>
      <c r="B134" s="366"/>
      <c r="C134" s="366"/>
      <c r="D134" s="366"/>
      <c r="E134" s="366"/>
      <c r="F134" s="258">
        <v>0</v>
      </c>
      <c r="G134" s="259">
        <f>+F134*G133</f>
        <v>0</v>
      </c>
    </row>
    <row r="135" spans="1:7" ht="16.2" x14ac:dyDescent="0.35">
      <c r="A135" s="367" t="s">
        <v>271</v>
      </c>
      <c r="B135" s="367"/>
      <c r="C135" s="367"/>
      <c r="D135" s="367"/>
      <c r="E135" s="367"/>
      <c r="F135" s="367"/>
      <c r="G135" s="257">
        <f>+G133+G134</f>
        <v>259229.33190776166</v>
      </c>
    </row>
    <row r="136" spans="1:7" ht="16.2" x14ac:dyDescent="0.35">
      <c r="A136" s="366" t="s">
        <v>272</v>
      </c>
      <c r="B136" s="366"/>
      <c r="C136" s="366"/>
      <c r="D136" s="366"/>
      <c r="E136" s="366"/>
      <c r="F136" s="258">
        <v>0.15</v>
      </c>
      <c r="G136" s="257">
        <f>+G135*F136</f>
        <v>38884.399786164249</v>
      </c>
    </row>
    <row r="137" spans="1:7" ht="16.2" customHeight="1" x14ac:dyDescent="0.35">
      <c r="A137" s="368" t="s">
        <v>273</v>
      </c>
      <c r="B137" s="368"/>
      <c r="C137" s="368"/>
      <c r="D137" s="368"/>
      <c r="E137" s="368"/>
      <c r="F137" s="368"/>
      <c r="G137" s="257">
        <f>+G135+G136</f>
        <v>298113.73169392592</v>
      </c>
    </row>
    <row r="138" spans="1:7" ht="16.2" x14ac:dyDescent="0.35">
      <c r="A138" s="366" t="s">
        <v>274</v>
      </c>
      <c r="B138" s="366"/>
      <c r="C138" s="366"/>
      <c r="D138" s="366"/>
      <c r="E138" s="366"/>
      <c r="F138" s="258">
        <v>0.1</v>
      </c>
      <c r="G138" s="259">
        <f>+G137*F138</f>
        <v>29811.373169392595</v>
      </c>
    </row>
    <row r="139" spans="1:7" ht="16.2" customHeight="1" x14ac:dyDescent="0.35">
      <c r="A139" s="368" t="s">
        <v>275</v>
      </c>
      <c r="B139" s="368"/>
      <c r="C139" s="368"/>
      <c r="D139" s="368"/>
      <c r="E139" s="368"/>
      <c r="F139" s="368"/>
      <c r="G139" s="257">
        <f>+G137+G138</f>
        <v>327925.1048633185</v>
      </c>
    </row>
    <row r="140" spans="1:7" ht="16.2" x14ac:dyDescent="0.35">
      <c r="A140" s="366" t="s">
        <v>276</v>
      </c>
      <c r="B140" s="366"/>
      <c r="C140" s="366"/>
      <c r="D140" s="366"/>
      <c r="E140" s="366"/>
      <c r="F140" s="260">
        <v>0.21</v>
      </c>
      <c r="G140" s="259">
        <f>+G139*F140</f>
        <v>68864.272021296885</v>
      </c>
    </row>
    <row r="141" spans="1:7" ht="16.2" x14ac:dyDescent="0.35">
      <c r="A141" s="366" t="s">
        <v>277</v>
      </c>
      <c r="B141" s="366"/>
      <c r="C141" s="366"/>
      <c r="D141" s="366"/>
      <c r="E141" s="366"/>
      <c r="F141" s="261">
        <v>3.9E-2</v>
      </c>
      <c r="G141" s="259">
        <f>+G139*F141</f>
        <v>12789.079089669422</v>
      </c>
    </row>
    <row r="142" spans="1:7" ht="16.2" x14ac:dyDescent="0.35">
      <c r="A142" s="366" t="s">
        <v>278</v>
      </c>
      <c r="B142" s="366"/>
      <c r="C142" s="366"/>
      <c r="D142" s="366"/>
      <c r="E142" s="366"/>
      <c r="F142" s="262">
        <v>8.0000000000000007E-5</v>
      </c>
      <c r="G142" s="259">
        <f>+G139*F142</f>
        <v>26.234008389065483</v>
      </c>
    </row>
    <row r="143" spans="1:7" ht="16.8" customHeight="1" x14ac:dyDescent="0.35">
      <c r="A143" s="372" t="s">
        <v>279</v>
      </c>
      <c r="B143" s="372"/>
      <c r="C143" s="372"/>
      <c r="D143" s="372"/>
      <c r="E143" s="372"/>
      <c r="F143" s="372"/>
      <c r="G143" s="263">
        <f>+G139+G140+G141+G142</f>
        <v>409604.68998267385</v>
      </c>
    </row>
    <row r="145" spans="1:7" ht="15" thickBot="1" x14ac:dyDescent="0.4"/>
    <row r="146" spans="1:7" ht="15" thickBot="1" x14ac:dyDescent="0.4">
      <c r="A146" s="361" t="s">
        <v>230</v>
      </c>
      <c r="B146" s="362"/>
      <c r="C146" s="363" t="s">
        <v>231</v>
      </c>
      <c r="D146" s="364"/>
      <c r="E146" s="364"/>
      <c r="F146" s="364"/>
      <c r="G146" s="365"/>
    </row>
    <row r="147" spans="1:7" ht="15" thickBot="1" x14ac:dyDescent="0.4">
      <c r="A147" s="350" t="s">
        <v>312</v>
      </c>
      <c r="B147" s="351"/>
      <c r="C147" s="373" t="s">
        <v>92</v>
      </c>
      <c r="D147" s="379"/>
      <c r="E147" s="380"/>
      <c r="F147" s="279" t="s">
        <v>232</v>
      </c>
      <c r="G147" s="280" t="e">
        <f>+#REF!</f>
        <v>#REF!</v>
      </c>
    </row>
    <row r="148" spans="1:7" ht="15.6" thickTop="1" thickBot="1" x14ac:dyDescent="0.4">
      <c r="A148" s="202"/>
      <c r="B148" s="203" t="s">
        <v>233</v>
      </c>
      <c r="C148" s="204" t="s">
        <v>1</v>
      </c>
      <c r="D148" s="204" t="s">
        <v>3</v>
      </c>
      <c r="E148" s="204" t="s">
        <v>4</v>
      </c>
      <c r="F148" s="204" t="s">
        <v>234</v>
      </c>
      <c r="G148" s="205" t="s">
        <v>235</v>
      </c>
    </row>
    <row r="149" spans="1:7" x14ac:dyDescent="0.35">
      <c r="A149" s="206" t="s">
        <v>236</v>
      </c>
      <c r="B149" s="207">
        <v>1</v>
      </c>
      <c r="C149" s="208"/>
      <c r="D149" s="209"/>
      <c r="E149" s="210"/>
      <c r="F149" s="211"/>
      <c r="G149" s="212">
        <f t="shared" ref="G149:G155" si="4">+E149*F149</f>
        <v>0</v>
      </c>
    </row>
    <row r="150" spans="1:7" x14ac:dyDescent="0.35">
      <c r="A150" s="206" t="s">
        <v>237</v>
      </c>
      <c r="B150" s="213">
        <v>2</v>
      </c>
      <c r="C150" s="208"/>
      <c r="D150" s="209"/>
      <c r="E150" s="210"/>
      <c r="F150" s="211"/>
      <c r="G150" s="212">
        <f t="shared" si="4"/>
        <v>0</v>
      </c>
    </row>
    <row r="151" spans="1:7" x14ac:dyDescent="0.35">
      <c r="A151" s="206" t="s">
        <v>238</v>
      </c>
      <c r="B151" s="213">
        <v>3</v>
      </c>
      <c r="C151" s="208"/>
      <c r="D151" s="209"/>
      <c r="E151" s="210"/>
      <c r="F151" s="211"/>
      <c r="G151" s="212">
        <f t="shared" si="4"/>
        <v>0</v>
      </c>
    </row>
    <row r="152" spans="1:7" x14ac:dyDescent="0.35">
      <c r="A152" s="206" t="s">
        <v>239</v>
      </c>
      <c r="B152" s="213">
        <v>4</v>
      </c>
      <c r="C152" s="208"/>
      <c r="D152" s="209"/>
      <c r="E152" s="210"/>
      <c r="F152" s="211"/>
      <c r="G152" s="212">
        <f t="shared" si="4"/>
        <v>0</v>
      </c>
    </row>
    <row r="153" spans="1:7" x14ac:dyDescent="0.35">
      <c r="A153" s="206" t="s">
        <v>240</v>
      </c>
      <c r="B153" s="213">
        <v>5</v>
      </c>
      <c r="C153" s="208"/>
      <c r="D153" s="209"/>
      <c r="E153" s="210"/>
      <c r="F153" s="211"/>
      <c r="G153" s="212">
        <f t="shared" si="4"/>
        <v>0</v>
      </c>
    </row>
    <row r="154" spans="1:7" x14ac:dyDescent="0.35">
      <c r="A154" s="206" t="s">
        <v>241</v>
      </c>
      <c r="B154" s="213">
        <v>6</v>
      </c>
      <c r="C154" s="208"/>
      <c r="D154" s="209"/>
      <c r="E154" s="210"/>
      <c r="F154" s="211"/>
      <c r="G154" s="212">
        <f t="shared" si="4"/>
        <v>0</v>
      </c>
    </row>
    <row r="155" spans="1:7" ht="15" thickBot="1" x14ac:dyDescent="0.4">
      <c r="A155" s="206" t="s">
        <v>242</v>
      </c>
      <c r="B155" s="213">
        <v>7</v>
      </c>
      <c r="C155" s="208"/>
      <c r="D155" s="209"/>
      <c r="E155" s="210"/>
      <c r="F155" s="211"/>
      <c r="G155" s="214">
        <f t="shared" si="4"/>
        <v>0</v>
      </c>
    </row>
    <row r="156" spans="1:7" ht="15" thickBot="1" x14ac:dyDescent="0.4">
      <c r="A156" s="202"/>
      <c r="B156" s="215"/>
      <c r="C156" s="216" t="s">
        <v>243</v>
      </c>
      <c r="D156" s="217"/>
      <c r="E156" s="218"/>
      <c r="F156" s="219"/>
      <c r="G156" s="220">
        <f>SUM(G149:G155)</f>
        <v>0</v>
      </c>
    </row>
    <row r="157" spans="1:7" ht="15.6" thickTop="1" thickBot="1" x14ac:dyDescent="0.4">
      <c r="A157" s="213" t="s">
        <v>244</v>
      </c>
      <c r="B157" s="221" t="s">
        <v>233</v>
      </c>
      <c r="C157" s="204" t="s">
        <v>1</v>
      </c>
      <c r="D157" s="204" t="s">
        <v>3</v>
      </c>
      <c r="E157" s="204" t="s">
        <v>4</v>
      </c>
      <c r="F157" s="204" t="s">
        <v>234</v>
      </c>
      <c r="G157" s="225" t="s">
        <v>235</v>
      </c>
    </row>
    <row r="158" spans="1:7" x14ac:dyDescent="0.35">
      <c r="A158" s="213" t="s">
        <v>245</v>
      </c>
      <c r="B158" s="241">
        <v>1</v>
      </c>
      <c r="C158" s="269" t="str">
        <f>+'COSTOS INDIVIDUALES'!B26</f>
        <v>Liston de pino 1"x4" Sin cepillar</v>
      </c>
      <c r="D158" s="201" t="s">
        <v>48</v>
      </c>
      <c r="E158" s="236">
        <v>30</v>
      </c>
      <c r="F158" s="270">
        <f>+'COSTOS INDIVIDUALES'!G26</f>
        <v>564.46280991735534</v>
      </c>
      <c r="G158" s="230">
        <f t="shared" ref="G158:G176" si="5">+E158*F158</f>
        <v>16933.884297520661</v>
      </c>
    </row>
    <row r="159" spans="1:7" x14ac:dyDescent="0.35">
      <c r="A159" s="213" t="s">
        <v>247</v>
      </c>
      <c r="B159" s="206">
        <v>2</v>
      </c>
      <c r="C159" s="269" t="str">
        <f>+'COSTOS INDIVIDUALES'!B27</f>
        <v>Puntal de Pino 2"x2" Sin cepillar</v>
      </c>
      <c r="D159" s="201" t="s">
        <v>48</v>
      </c>
      <c r="E159" s="236">
        <v>40</v>
      </c>
      <c r="F159" s="270">
        <f>+'COSTOS INDIVIDUALES'!G27</f>
        <v>564.46280991735534</v>
      </c>
      <c r="G159" s="230">
        <f t="shared" si="5"/>
        <v>22578.512396694212</v>
      </c>
    </row>
    <row r="160" spans="1:7" x14ac:dyDescent="0.35">
      <c r="A160" s="213" t="s">
        <v>236</v>
      </c>
      <c r="B160" s="206">
        <v>3</v>
      </c>
      <c r="C160" s="269" t="str">
        <f>+'COSTOS INDIVIDUALES'!B33</f>
        <v>Clavo punta paris 2"</v>
      </c>
      <c r="D160" s="201" t="s">
        <v>46</v>
      </c>
      <c r="E160" s="236">
        <v>1.5</v>
      </c>
      <c r="F160" s="270">
        <f>+'COSTOS INDIVIDUALES'!G33</f>
        <v>2593.3884297520663</v>
      </c>
      <c r="G160" s="230">
        <f t="shared" si="5"/>
        <v>3890.0826446280994</v>
      </c>
    </row>
    <row r="161" spans="1:7" x14ac:dyDescent="0.35">
      <c r="A161" s="213" t="s">
        <v>248</v>
      </c>
      <c r="B161" s="206">
        <v>4</v>
      </c>
      <c r="C161" s="269" t="str">
        <f>+'COSTOS INDIVIDUALES'!B35</f>
        <v>Alambre negro recocido BWG 16</v>
      </c>
      <c r="D161" s="201" t="s">
        <v>46</v>
      </c>
      <c r="E161" s="236">
        <v>1.5</v>
      </c>
      <c r="F161" s="270">
        <f>+'COSTOS INDIVIDUALES'!G35</f>
        <v>3375.2066115702482</v>
      </c>
      <c r="G161" s="230">
        <f t="shared" si="5"/>
        <v>5062.8099173553728</v>
      </c>
    </row>
    <row r="162" spans="1:7" x14ac:dyDescent="0.35">
      <c r="A162" s="213" t="s">
        <v>239</v>
      </c>
      <c r="B162" s="206">
        <v>5</v>
      </c>
      <c r="C162" s="272" t="str">
        <f>+'COSTOS INDIVIDUALES'!B11</f>
        <v>Hilo de nylon 0,90 mm. Rollo x 100 m</v>
      </c>
      <c r="D162" s="201" t="s">
        <v>50</v>
      </c>
      <c r="E162" s="236">
        <v>8</v>
      </c>
      <c r="F162" s="270">
        <f>+'COSTOS INDIVIDUALES'!G11</f>
        <v>4840</v>
      </c>
      <c r="G162" s="230">
        <f t="shared" si="5"/>
        <v>38720</v>
      </c>
    </row>
    <row r="163" spans="1:7" x14ac:dyDescent="0.35">
      <c r="A163" s="213" t="s">
        <v>245</v>
      </c>
      <c r="B163" s="206">
        <v>6</v>
      </c>
      <c r="C163" s="269"/>
      <c r="D163" s="201"/>
      <c r="E163" s="236"/>
      <c r="F163" s="270"/>
      <c r="G163" s="230">
        <f t="shared" si="5"/>
        <v>0</v>
      </c>
    </row>
    <row r="164" spans="1:7" x14ac:dyDescent="0.35">
      <c r="A164" s="213" t="s">
        <v>250</v>
      </c>
      <c r="B164" s="206">
        <v>7</v>
      </c>
      <c r="C164" s="269"/>
      <c r="D164" s="201"/>
      <c r="E164" s="236"/>
      <c r="F164" s="270"/>
      <c r="G164" s="230">
        <f t="shared" si="5"/>
        <v>0</v>
      </c>
    </row>
    <row r="165" spans="1:7" x14ac:dyDescent="0.35">
      <c r="A165" s="213" t="s">
        <v>236</v>
      </c>
      <c r="B165" s="206">
        <v>8</v>
      </c>
      <c r="C165" s="269"/>
      <c r="D165" s="201"/>
      <c r="E165" s="236"/>
      <c r="F165" s="270"/>
      <c r="G165" s="230">
        <f t="shared" si="5"/>
        <v>0</v>
      </c>
    </row>
    <row r="166" spans="1:7" x14ac:dyDescent="0.35">
      <c r="A166" s="213" t="s">
        <v>242</v>
      </c>
      <c r="B166" s="206">
        <v>9</v>
      </c>
      <c r="C166" s="269"/>
      <c r="D166" s="201"/>
      <c r="E166" s="236"/>
      <c r="F166" s="270"/>
      <c r="G166" s="230">
        <f t="shared" si="5"/>
        <v>0</v>
      </c>
    </row>
    <row r="167" spans="1:7" x14ac:dyDescent="0.35">
      <c r="A167" s="213"/>
      <c r="B167" s="206">
        <v>10</v>
      </c>
      <c r="C167" s="269"/>
      <c r="D167" s="201"/>
      <c r="E167" s="236"/>
      <c r="F167" s="270"/>
      <c r="G167" s="230">
        <f t="shared" si="5"/>
        <v>0</v>
      </c>
    </row>
    <row r="168" spans="1:7" x14ac:dyDescent="0.35">
      <c r="A168" s="213"/>
      <c r="B168" s="206">
        <v>11</v>
      </c>
      <c r="C168" s="269"/>
      <c r="D168" s="201"/>
      <c r="E168" s="236"/>
      <c r="F168" s="270"/>
      <c r="G168" s="230">
        <f t="shared" si="5"/>
        <v>0</v>
      </c>
    </row>
    <row r="169" spans="1:7" x14ac:dyDescent="0.35">
      <c r="A169" s="213"/>
      <c r="B169" s="206">
        <v>12</v>
      </c>
      <c r="C169" s="269"/>
      <c r="D169" s="201"/>
      <c r="E169" s="236"/>
      <c r="F169" s="270"/>
      <c r="G169" s="230">
        <f t="shared" si="5"/>
        <v>0</v>
      </c>
    </row>
    <row r="170" spans="1:7" x14ac:dyDescent="0.35">
      <c r="A170" s="213"/>
      <c r="B170" s="206">
        <v>13</v>
      </c>
      <c r="C170" s="269"/>
      <c r="D170" s="201"/>
      <c r="E170" s="236"/>
      <c r="F170" s="271"/>
      <c r="G170" s="230">
        <f t="shared" si="5"/>
        <v>0</v>
      </c>
    </row>
    <row r="171" spans="1:7" x14ac:dyDescent="0.35">
      <c r="A171" s="213"/>
      <c r="B171" s="206">
        <v>14</v>
      </c>
      <c r="C171" s="269"/>
      <c r="D171" s="201"/>
      <c r="E171" s="236"/>
      <c r="F171" s="271"/>
      <c r="G171" s="230">
        <f t="shared" si="5"/>
        <v>0</v>
      </c>
    </row>
    <row r="172" spans="1:7" x14ac:dyDescent="0.35">
      <c r="A172" s="213"/>
      <c r="B172" s="206">
        <v>15</v>
      </c>
      <c r="C172" s="269"/>
      <c r="D172" s="201"/>
      <c r="E172" s="236"/>
      <c r="F172" s="271"/>
      <c r="G172" s="230">
        <f t="shared" si="5"/>
        <v>0</v>
      </c>
    </row>
    <row r="173" spans="1:7" x14ac:dyDescent="0.35">
      <c r="A173" s="234"/>
      <c r="B173" s="206">
        <v>16</v>
      </c>
      <c r="C173" s="269"/>
      <c r="D173" s="201"/>
      <c r="E173" s="236"/>
      <c r="F173" s="271"/>
      <c r="G173" s="230">
        <f t="shared" si="5"/>
        <v>0</v>
      </c>
    </row>
    <row r="174" spans="1:7" x14ac:dyDescent="0.35">
      <c r="A174" s="234"/>
      <c r="B174" s="206">
        <v>17</v>
      </c>
      <c r="C174" s="269"/>
      <c r="D174" s="201"/>
      <c r="E174" s="236"/>
      <c r="F174" s="237"/>
      <c r="G174" s="230">
        <f t="shared" si="5"/>
        <v>0</v>
      </c>
    </row>
    <row r="175" spans="1:7" x14ac:dyDescent="0.35">
      <c r="A175" s="234"/>
      <c r="B175" s="206">
        <v>18</v>
      </c>
      <c r="C175" s="269"/>
      <c r="D175" s="201"/>
      <c r="E175" s="236"/>
      <c r="F175" s="237"/>
      <c r="G175" s="230">
        <f t="shared" si="5"/>
        <v>0</v>
      </c>
    </row>
    <row r="176" spans="1:7" ht="15" thickBot="1" x14ac:dyDescent="0.4">
      <c r="A176" s="213"/>
      <c r="B176" s="206">
        <v>19</v>
      </c>
      <c r="C176" s="235"/>
      <c r="D176" s="201"/>
      <c r="E176" s="236"/>
      <c r="F176" s="237"/>
      <c r="G176" s="230">
        <f t="shared" si="5"/>
        <v>0</v>
      </c>
    </row>
    <row r="177" spans="1:7" ht="15" thickBot="1" x14ac:dyDescent="0.4">
      <c r="A177" s="238"/>
      <c r="B177" s="215"/>
      <c r="C177" s="216" t="s">
        <v>260</v>
      </c>
      <c r="D177" s="217"/>
      <c r="E177" s="218"/>
      <c r="F177" s="219"/>
      <c r="G177" s="239">
        <f>+SUM(G158:G176)</f>
        <v>87185.289256198332</v>
      </c>
    </row>
    <row r="178" spans="1:7" ht="15" thickBot="1" x14ac:dyDescent="0.4">
      <c r="A178"/>
      <c r="B178" s="213" t="s">
        <v>233</v>
      </c>
      <c r="C178" s="240" t="s">
        <v>1</v>
      </c>
      <c r="D178" s="222" t="s">
        <v>261</v>
      </c>
      <c r="E178" s="293" t="s">
        <v>4</v>
      </c>
      <c r="F178" s="224" t="s">
        <v>234</v>
      </c>
      <c r="G178" s="225" t="s">
        <v>235</v>
      </c>
    </row>
    <row r="179" spans="1:7" ht="15" thickBot="1" x14ac:dyDescent="0.4">
      <c r="A179" s="347" t="s">
        <v>28</v>
      </c>
      <c r="B179" s="241">
        <v>1</v>
      </c>
      <c r="C179" s="242" t="s">
        <v>262</v>
      </c>
      <c r="D179" s="243" t="s">
        <v>263</v>
      </c>
      <c r="E179" s="210">
        <v>0</v>
      </c>
      <c r="F179" s="244">
        <f>+'COSTOS INDIVIDUALES'!$N$8</f>
        <v>4100</v>
      </c>
      <c r="G179" s="245">
        <f>+E179*F179</f>
        <v>0</v>
      </c>
    </row>
    <row r="180" spans="1:7" ht="15" thickBot="1" x14ac:dyDescent="0.4">
      <c r="A180" s="348"/>
      <c r="B180" s="241">
        <v>2</v>
      </c>
      <c r="C180" s="208" t="s">
        <v>264</v>
      </c>
      <c r="D180" s="209" t="s">
        <v>263</v>
      </c>
      <c r="E180" s="210">
        <v>24</v>
      </c>
      <c r="F180" s="246">
        <f>+'COSTOS INDIVIDUALES'!$N$9</f>
        <v>3500</v>
      </c>
      <c r="G180" s="212">
        <f>+E180*F180</f>
        <v>84000</v>
      </c>
    </row>
    <row r="181" spans="1:7" ht="15" thickBot="1" x14ac:dyDescent="0.4">
      <c r="A181" s="348"/>
      <c r="B181" s="241">
        <v>3</v>
      </c>
      <c r="C181" s="208" t="s">
        <v>265</v>
      </c>
      <c r="D181" s="209" t="s">
        <v>263</v>
      </c>
      <c r="E181" s="210">
        <v>0</v>
      </c>
      <c r="F181" s="246">
        <f>+'COSTOS INDIVIDUALES'!$N$10</f>
        <v>3200</v>
      </c>
      <c r="G181" s="212">
        <f>+E181*F181</f>
        <v>0</v>
      </c>
    </row>
    <row r="182" spans="1:7" ht="15" thickBot="1" x14ac:dyDescent="0.4">
      <c r="A182" s="349"/>
      <c r="B182" s="241">
        <v>4</v>
      </c>
      <c r="C182" s="208" t="s">
        <v>37</v>
      </c>
      <c r="D182" s="209" t="s">
        <v>263</v>
      </c>
      <c r="E182" s="210">
        <v>16</v>
      </c>
      <c r="F182" s="246">
        <f>+'COSTOS INDIVIDUALES'!$N$11</f>
        <v>2900</v>
      </c>
      <c r="G182" s="212">
        <f>+E182*F182</f>
        <v>46400</v>
      </c>
    </row>
    <row r="183" spans="1:7" ht="15" thickBot="1" x14ac:dyDescent="0.4">
      <c r="A183" s="238"/>
      <c r="B183" s="215"/>
      <c r="C183" s="216" t="s">
        <v>266</v>
      </c>
      <c r="D183" s="217"/>
      <c r="E183" s="218"/>
      <c r="F183" s="219"/>
      <c r="G183" s="239">
        <f>SUM(G179:G182)</f>
        <v>130400</v>
      </c>
    </row>
    <row r="184" spans="1:7" ht="15" thickBot="1" x14ac:dyDescent="0.4">
      <c r="A184" s="247"/>
      <c r="B184" s="248"/>
      <c r="C184" s="249"/>
      <c r="D184" s="209"/>
      <c r="E184" s="250"/>
      <c r="F184" s="211"/>
      <c r="G184" s="251"/>
    </row>
    <row r="185" spans="1:7" ht="15" thickBot="1" x14ac:dyDescent="0.4">
      <c r="A185" s="238"/>
      <c r="B185" s="215" t="s">
        <v>267</v>
      </c>
      <c r="C185" s="252"/>
      <c r="D185" s="253" t="s">
        <v>268</v>
      </c>
      <c r="E185" s="218"/>
      <c r="F185" s="254"/>
      <c r="G185" s="255">
        <f>+G183+G177+G156</f>
        <v>217585.28925619833</v>
      </c>
    </row>
    <row r="186" spans="1:7" x14ac:dyDescent="0.35">
      <c r="A186"/>
      <c r="B186"/>
      <c r="C186"/>
      <c r="D186"/>
      <c r="E186" s="256"/>
      <c r="F186"/>
      <c r="G186"/>
    </row>
    <row r="188" spans="1:7" ht="15" thickBot="1" x14ac:dyDescent="0.4"/>
    <row r="189" spans="1:7" ht="15" thickBot="1" x14ac:dyDescent="0.4">
      <c r="A189" s="361" t="s">
        <v>353</v>
      </c>
      <c r="B189" s="362"/>
      <c r="C189" s="363" t="s">
        <v>354</v>
      </c>
      <c r="D189" s="364"/>
      <c r="E189" s="364"/>
      <c r="F189" s="364"/>
      <c r="G189" s="365"/>
    </row>
    <row r="190" spans="1:7" x14ac:dyDescent="0.35">
      <c r="A190" s="350" t="s">
        <v>11</v>
      </c>
      <c r="B190" s="351"/>
      <c r="C190" s="344" t="s">
        <v>355</v>
      </c>
      <c r="D190" s="345"/>
      <c r="E190" s="346"/>
      <c r="F190" s="279" t="s">
        <v>356</v>
      </c>
      <c r="G190" s="280">
        <f>+G218</f>
        <v>44200</v>
      </c>
    </row>
    <row r="191" spans="1:7" ht="15.6" thickTop="1" thickBot="1" x14ac:dyDescent="0.4">
      <c r="A191" s="202"/>
      <c r="B191" s="203" t="s">
        <v>233</v>
      </c>
      <c r="C191" s="204" t="s">
        <v>1</v>
      </c>
      <c r="D191" s="204" t="s">
        <v>3</v>
      </c>
      <c r="E191" s="204" t="s">
        <v>4</v>
      </c>
      <c r="F191" s="204" t="s">
        <v>234</v>
      </c>
      <c r="G191" s="205" t="s">
        <v>235</v>
      </c>
    </row>
    <row r="192" spans="1:7" x14ac:dyDescent="0.35">
      <c r="A192" s="206" t="s">
        <v>236</v>
      </c>
      <c r="B192" s="207">
        <v>1</v>
      </c>
      <c r="C192" s="208"/>
      <c r="D192" s="209"/>
      <c r="E192" s="210"/>
      <c r="F192" s="211"/>
      <c r="G192" s="212">
        <f t="shared" ref="G192:G198" si="6">+E192*F192</f>
        <v>0</v>
      </c>
    </row>
    <row r="193" spans="1:7" x14ac:dyDescent="0.35">
      <c r="A193" s="206" t="s">
        <v>237</v>
      </c>
      <c r="B193" s="213">
        <v>2</v>
      </c>
      <c r="C193" s="208"/>
      <c r="D193" s="209"/>
      <c r="E193" s="210"/>
      <c r="F193" s="211"/>
      <c r="G193" s="212">
        <f t="shared" si="6"/>
        <v>0</v>
      </c>
    </row>
    <row r="194" spans="1:7" x14ac:dyDescent="0.35">
      <c r="A194" s="206" t="s">
        <v>238</v>
      </c>
      <c r="B194" s="213">
        <v>3</v>
      </c>
      <c r="C194" s="208"/>
      <c r="D194" s="209"/>
      <c r="E194" s="210"/>
      <c r="F194" s="211"/>
      <c r="G194" s="212">
        <f t="shared" si="6"/>
        <v>0</v>
      </c>
    </row>
    <row r="195" spans="1:7" x14ac:dyDescent="0.35">
      <c r="A195" s="206" t="s">
        <v>239</v>
      </c>
      <c r="B195" s="213">
        <v>4</v>
      </c>
      <c r="C195" s="208"/>
      <c r="D195" s="209"/>
      <c r="E195" s="210"/>
      <c r="F195" s="211"/>
      <c r="G195" s="212">
        <f t="shared" si="6"/>
        <v>0</v>
      </c>
    </row>
    <row r="196" spans="1:7" x14ac:dyDescent="0.35">
      <c r="A196" s="206" t="s">
        <v>240</v>
      </c>
      <c r="B196" s="213">
        <v>5</v>
      </c>
      <c r="C196" s="208"/>
      <c r="D196" s="209"/>
      <c r="E196" s="210"/>
      <c r="F196" s="211"/>
      <c r="G196" s="212">
        <f t="shared" si="6"/>
        <v>0</v>
      </c>
    </row>
    <row r="197" spans="1:7" x14ac:dyDescent="0.35">
      <c r="A197" s="206" t="s">
        <v>241</v>
      </c>
      <c r="B197" s="213">
        <v>6</v>
      </c>
      <c r="C197" s="208"/>
      <c r="D197" s="209"/>
      <c r="E197" s="210"/>
      <c r="F197" s="211"/>
      <c r="G197" s="212">
        <f t="shared" si="6"/>
        <v>0</v>
      </c>
    </row>
    <row r="198" spans="1:7" ht="15" thickBot="1" x14ac:dyDescent="0.4">
      <c r="A198" s="206" t="s">
        <v>242</v>
      </c>
      <c r="B198" s="213">
        <v>7</v>
      </c>
      <c r="C198" s="208"/>
      <c r="D198" s="209"/>
      <c r="E198" s="210"/>
      <c r="F198" s="211"/>
      <c r="G198" s="214">
        <f t="shared" si="6"/>
        <v>0</v>
      </c>
    </row>
    <row r="199" spans="1:7" ht="15" thickBot="1" x14ac:dyDescent="0.4">
      <c r="A199" s="202"/>
      <c r="B199" s="215"/>
      <c r="C199" s="216" t="s">
        <v>243</v>
      </c>
      <c r="D199" s="217"/>
      <c r="E199" s="218"/>
      <c r="F199" s="219"/>
      <c r="G199" s="220">
        <f>SUM(G192:G198)</f>
        <v>0</v>
      </c>
    </row>
    <row r="200" spans="1:7" ht="15.6" thickTop="1" thickBot="1" x14ac:dyDescent="0.4">
      <c r="A200" s="213" t="s">
        <v>244</v>
      </c>
      <c r="B200" s="221" t="s">
        <v>233</v>
      </c>
      <c r="C200" s="204" t="s">
        <v>1</v>
      </c>
      <c r="D200" s="204" t="s">
        <v>3</v>
      </c>
      <c r="E200" s="204" t="s">
        <v>4</v>
      </c>
      <c r="F200" s="204" t="s">
        <v>234</v>
      </c>
      <c r="G200" s="225" t="s">
        <v>235</v>
      </c>
    </row>
    <row r="201" spans="1:7" x14ac:dyDescent="0.35">
      <c r="A201" s="213" t="s">
        <v>245</v>
      </c>
      <c r="B201" s="241">
        <v>1</v>
      </c>
      <c r="C201" s="269"/>
      <c r="D201" s="201"/>
      <c r="E201" s="236"/>
      <c r="F201" s="270"/>
      <c r="G201" s="230">
        <f t="shared" ref="G201:G209" si="7">+E201*F201</f>
        <v>0</v>
      </c>
    </row>
    <row r="202" spans="1:7" x14ac:dyDescent="0.35">
      <c r="A202" s="213" t="s">
        <v>247</v>
      </c>
      <c r="B202" s="206">
        <v>2</v>
      </c>
      <c r="C202" s="269"/>
      <c r="D202" s="201"/>
      <c r="E202" s="236"/>
      <c r="F202" s="270"/>
      <c r="G202" s="230">
        <f t="shared" si="7"/>
        <v>0</v>
      </c>
    </row>
    <row r="203" spans="1:7" x14ac:dyDescent="0.35">
      <c r="A203" s="213" t="s">
        <v>236</v>
      </c>
      <c r="B203" s="206">
        <v>3</v>
      </c>
      <c r="C203" s="269"/>
      <c r="D203" s="201"/>
      <c r="E203" s="236"/>
      <c r="F203" s="270"/>
      <c r="G203" s="230">
        <f t="shared" si="7"/>
        <v>0</v>
      </c>
    </row>
    <row r="204" spans="1:7" x14ac:dyDescent="0.35">
      <c r="A204" s="213" t="s">
        <v>248</v>
      </c>
      <c r="B204" s="206">
        <v>4</v>
      </c>
      <c r="C204" s="269"/>
      <c r="D204" s="201"/>
      <c r="E204" s="236"/>
      <c r="F204" s="270"/>
      <c r="G204" s="230">
        <f t="shared" si="7"/>
        <v>0</v>
      </c>
    </row>
    <row r="205" spans="1:7" x14ac:dyDescent="0.35">
      <c r="A205" s="213" t="s">
        <v>239</v>
      </c>
      <c r="B205" s="206">
        <v>5</v>
      </c>
      <c r="C205" s="272"/>
      <c r="D205" s="201"/>
      <c r="E205" s="236"/>
      <c r="F205" s="270"/>
      <c r="G205" s="230">
        <f t="shared" si="7"/>
        <v>0</v>
      </c>
    </row>
    <row r="206" spans="1:7" x14ac:dyDescent="0.35">
      <c r="A206" s="213" t="s">
        <v>245</v>
      </c>
      <c r="B206" s="206">
        <v>6</v>
      </c>
      <c r="C206" s="269"/>
      <c r="D206" s="201"/>
      <c r="E206" s="236"/>
      <c r="F206" s="270"/>
      <c r="G206" s="230">
        <f t="shared" si="7"/>
        <v>0</v>
      </c>
    </row>
    <row r="207" spans="1:7" x14ac:dyDescent="0.35">
      <c r="A207" s="213" t="s">
        <v>250</v>
      </c>
      <c r="B207" s="206">
        <v>7</v>
      </c>
      <c r="C207" s="269"/>
      <c r="D207" s="201"/>
      <c r="E207" s="236"/>
      <c r="F207" s="270"/>
      <c r="G207" s="230">
        <f t="shared" si="7"/>
        <v>0</v>
      </c>
    </row>
    <row r="208" spans="1:7" x14ac:dyDescent="0.35">
      <c r="A208" s="213" t="s">
        <v>236</v>
      </c>
      <c r="B208" s="206">
        <v>8</v>
      </c>
      <c r="C208" s="269"/>
      <c r="D208" s="201"/>
      <c r="E208" s="236"/>
      <c r="F208" s="270"/>
      <c r="G208" s="230">
        <f t="shared" si="7"/>
        <v>0</v>
      </c>
    </row>
    <row r="209" spans="1:7" ht="15" thickBot="1" x14ac:dyDescent="0.4">
      <c r="A209" s="213" t="s">
        <v>242</v>
      </c>
      <c r="B209" s="206">
        <v>9</v>
      </c>
      <c r="C209" s="269"/>
      <c r="D209" s="201"/>
      <c r="E209" s="236"/>
      <c r="F209" s="270"/>
      <c r="G209" s="230">
        <f t="shared" si="7"/>
        <v>0</v>
      </c>
    </row>
    <row r="210" spans="1:7" ht="15" thickBot="1" x14ac:dyDescent="0.4">
      <c r="A210" s="238"/>
      <c r="B210" s="215"/>
      <c r="C210" s="216" t="s">
        <v>260</v>
      </c>
      <c r="D210" s="217"/>
      <c r="E210" s="218"/>
      <c r="F210" s="219"/>
      <c r="G210" s="239">
        <f>+SUM(G201:G209)</f>
        <v>0</v>
      </c>
    </row>
    <row r="211" spans="1:7" ht="15" thickBot="1" x14ac:dyDescent="0.4">
      <c r="A211"/>
      <c r="B211" s="213" t="s">
        <v>233</v>
      </c>
      <c r="C211" s="240" t="s">
        <v>1</v>
      </c>
      <c r="D211" s="222" t="s">
        <v>261</v>
      </c>
      <c r="E211" s="293" t="s">
        <v>4</v>
      </c>
      <c r="F211" s="224" t="s">
        <v>234</v>
      </c>
      <c r="G211" s="225" t="s">
        <v>235</v>
      </c>
    </row>
    <row r="212" spans="1:7" ht="15" thickBot="1" x14ac:dyDescent="0.4">
      <c r="A212" s="347" t="s">
        <v>28</v>
      </c>
      <c r="B212" s="241">
        <v>1</v>
      </c>
      <c r="C212" s="242" t="s">
        <v>262</v>
      </c>
      <c r="D212" s="243" t="s">
        <v>263</v>
      </c>
      <c r="E212" s="210">
        <v>0</v>
      </c>
      <c r="F212" s="244">
        <f>+'COSTOS INDIVIDUALES'!$N$8</f>
        <v>4100</v>
      </c>
      <c r="G212" s="245">
        <f>+E212*F212</f>
        <v>0</v>
      </c>
    </row>
    <row r="213" spans="1:7" ht="15" thickBot="1" x14ac:dyDescent="0.4">
      <c r="A213" s="348"/>
      <c r="B213" s="241">
        <v>2</v>
      </c>
      <c r="C213" s="208" t="s">
        <v>264</v>
      </c>
      <c r="D213" s="209" t="s">
        <v>263</v>
      </c>
      <c r="E213" s="210">
        <v>6</v>
      </c>
      <c r="F213" s="246">
        <f>+'COSTOS INDIVIDUALES'!$N$9</f>
        <v>3500</v>
      </c>
      <c r="G213" s="212">
        <f>+E213*F213</f>
        <v>21000</v>
      </c>
    </row>
    <row r="214" spans="1:7" ht="15" thickBot="1" x14ac:dyDescent="0.4">
      <c r="A214" s="348"/>
      <c r="B214" s="241">
        <v>3</v>
      </c>
      <c r="C214" s="208" t="s">
        <v>265</v>
      </c>
      <c r="D214" s="209" t="s">
        <v>263</v>
      </c>
      <c r="E214" s="210">
        <v>0</v>
      </c>
      <c r="F214" s="246">
        <f>+'COSTOS INDIVIDUALES'!$N$10</f>
        <v>3200</v>
      </c>
      <c r="G214" s="212">
        <f>+E214*F214</f>
        <v>0</v>
      </c>
    </row>
    <row r="215" spans="1:7" ht="15" thickBot="1" x14ac:dyDescent="0.4">
      <c r="A215" s="349"/>
      <c r="B215" s="241">
        <v>4</v>
      </c>
      <c r="C215" s="208" t="s">
        <v>37</v>
      </c>
      <c r="D215" s="209" t="s">
        <v>263</v>
      </c>
      <c r="E215" s="210">
        <v>8</v>
      </c>
      <c r="F215" s="246">
        <f>+'COSTOS INDIVIDUALES'!$N$11</f>
        <v>2900</v>
      </c>
      <c r="G215" s="212">
        <f>+E215*F215</f>
        <v>23200</v>
      </c>
    </row>
    <row r="216" spans="1:7" ht="15" thickBot="1" x14ac:dyDescent="0.4">
      <c r="A216" s="238"/>
      <c r="B216" s="215"/>
      <c r="C216" s="216" t="s">
        <v>266</v>
      </c>
      <c r="D216" s="217"/>
      <c r="E216" s="218"/>
      <c r="F216" s="219"/>
      <c r="G216" s="239">
        <f>SUM(G212:G215)</f>
        <v>44200</v>
      </c>
    </row>
    <row r="217" spans="1:7" ht="15" thickBot="1" x14ac:dyDescent="0.4">
      <c r="A217" s="247"/>
      <c r="B217" s="248"/>
      <c r="C217" s="249"/>
      <c r="D217" s="209"/>
      <c r="E217" s="250"/>
      <c r="F217" s="211"/>
      <c r="G217" s="251"/>
    </row>
    <row r="218" spans="1:7" ht="15" thickBot="1" x14ac:dyDescent="0.4">
      <c r="A218" s="238"/>
      <c r="B218" s="215" t="s">
        <v>267</v>
      </c>
      <c r="C218" s="252"/>
      <c r="D218" s="253" t="s">
        <v>268</v>
      </c>
      <c r="E218" s="218"/>
      <c r="F218" s="254"/>
      <c r="G218" s="255">
        <f>+G216+G210+G199</f>
        <v>44200</v>
      </c>
    </row>
  </sheetData>
  <mergeCells count="67">
    <mergeCell ref="A55:A74"/>
    <mergeCell ref="A9:B9"/>
    <mergeCell ref="C10:E10"/>
    <mergeCell ref="A22:A25"/>
    <mergeCell ref="A142:E142"/>
    <mergeCell ref="A143:F143"/>
    <mergeCell ref="C147:E147"/>
    <mergeCell ref="A179:A182"/>
    <mergeCell ref="A146:B146"/>
    <mergeCell ref="A147:B147"/>
    <mergeCell ref="C146:G146"/>
    <mergeCell ref="A133:F133"/>
    <mergeCell ref="A134:E134"/>
    <mergeCell ref="A135:F135"/>
    <mergeCell ref="A136:E136"/>
    <mergeCell ref="A137:F137"/>
    <mergeCell ref="A138:E138"/>
    <mergeCell ref="A139:F139"/>
    <mergeCell ref="A140:E140"/>
    <mergeCell ref="A141:E141"/>
    <mergeCell ref="A37:E37"/>
    <mergeCell ref="A38:E38"/>
    <mergeCell ref="A39:E39"/>
    <mergeCell ref="A40:F40"/>
    <mergeCell ref="C99:E99"/>
    <mergeCell ref="A98:B98"/>
    <mergeCell ref="A99:B99"/>
    <mergeCell ref="C98:G98"/>
    <mergeCell ref="A30:F30"/>
    <mergeCell ref="A31:E31"/>
    <mergeCell ref="A32:F32"/>
    <mergeCell ref="A33:E33"/>
    <mergeCell ref="A34:F34"/>
    <mergeCell ref="A35:E35"/>
    <mergeCell ref="A36:F36"/>
    <mergeCell ref="A77:A80"/>
    <mergeCell ref="A44:B44"/>
    <mergeCell ref="A10:B10"/>
    <mergeCell ref="C9:G9"/>
    <mergeCell ref="A15:F15"/>
    <mergeCell ref="A91:F91"/>
    <mergeCell ref="A92:E92"/>
    <mergeCell ref="A93:E93"/>
    <mergeCell ref="C45:E45"/>
    <mergeCell ref="A45:B45"/>
    <mergeCell ref="C44:G44"/>
    <mergeCell ref="A47:A53"/>
    <mergeCell ref="C189:G189"/>
    <mergeCell ref="A86:E86"/>
    <mergeCell ref="A85:F85"/>
    <mergeCell ref="A87:F87"/>
    <mergeCell ref="A88:E88"/>
    <mergeCell ref="A89:F89"/>
    <mergeCell ref="A90:E90"/>
    <mergeCell ref="A125:A128"/>
    <mergeCell ref="A94:E94"/>
    <mergeCell ref="A95:F95"/>
    <mergeCell ref="C190:E190"/>
    <mergeCell ref="A212:A215"/>
    <mergeCell ref="A190:B190"/>
    <mergeCell ref="A1:G1"/>
    <mergeCell ref="A2:G2"/>
    <mergeCell ref="A3:G3"/>
    <mergeCell ref="A4:G4"/>
    <mergeCell ref="A5:G5"/>
    <mergeCell ref="A6:G6"/>
    <mergeCell ref="A189:B189"/>
  </mergeCells>
  <phoneticPr fontId="2" type="noConversion"/>
  <pageMargins left="0.7" right="0.7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099-A99B-4F08-B04F-57322A5D6B47}">
  <dimension ref="A1:N222"/>
  <sheetViews>
    <sheetView workbookViewId="0">
      <selection activeCell="J9" sqref="J9"/>
    </sheetView>
  </sheetViews>
  <sheetFormatPr baseColWidth="10" defaultRowHeight="13.2" x14ac:dyDescent="0.25"/>
  <cols>
    <col min="1" max="1" width="13.44140625" bestFit="1" customWidth="1"/>
    <col min="2" max="2" width="30.77734375" style="276" bestFit="1" customWidth="1"/>
    <col min="3" max="3" width="12.77734375" bestFit="1" customWidth="1"/>
    <col min="6" max="6" width="12.77734375" bestFit="1" customWidth="1"/>
    <col min="7" max="7" width="11.77734375" bestFit="1" customWidth="1"/>
    <col min="9" max="9" width="13.21875" bestFit="1" customWidth="1"/>
    <col min="12" max="12" width="3" bestFit="1" customWidth="1"/>
    <col min="14" max="14" width="12.77734375" bestFit="1" customWidth="1"/>
  </cols>
  <sheetData>
    <row r="1" spans="1:14" x14ac:dyDescent="0.25">
      <c r="A1" t="s">
        <v>224</v>
      </c>
    </row>
    <row r="2" spans="1:14" x14ac:dyDescent="0.25">
      <c r="A2" t="s">
        <v>225</v>
      </c>
    </row>
    <row r="3" spans="1:14" x14ac:dyDescent="0.25">
      <c r="A3" t="s">
        <v>227</v>
      </c>
    </row>
    <row r="4" spans="1:14" x14ac:dyDescent="0.25">
      <c r="A4" t="s">
        <v>228</v>
      </c>
    </row>
    <row r="5" spans="1:14" x14ac:dyDescent="0.25">
      <c r="A5" t="s">
        <v>229</v>
      </c>
    </row>
    <row r="6" spans="1:14" ht="13.8" thickBot="1" x14ac:dyDescent="0.3"/>
    <row r="7" spans="1:14" ht="15.6" thickTop="1" thickBot="1" x14ac:dyDescent="0.35">
      <c r="A7" s="387" t="s">
        <v>27</v>
      </c>
      <c r="B7" s="387"/>
      <c r="C7" s="277" t="s">
        <v>314</v>
      </c>
      <c r="D7" s="277" t="s">
        <v>313</v>
      </c>
      <c r="E7" s="277" t="s">
        <v>315</v>
      </c>
      <c r="F7" s="278" t="s">
        <v>302</v>
      </c>
      <c r="G7" s="278" t="s">
        <v>303</v>
      </c>
      <c r="I7" s="278" t="s">
        <v>54</v>
      </c>
      <c r="J7" s="288">
        <v>1.21</v>
      </c>
      <c r="L7" s="278" t="s">
        <v>57</v>
      </c>
      <c r="M7" s="277" t="s">
        <v>295</v>
      </c>
      <c r="N7" s="278" t="s">
        <v>296</v>
      </c>
    </row>
    <row r="8" spans="1:14" ht="15.6" thickTop="1" thickBot="1" x14ac:dyDescent="0.35">
      <c r="A8" s="1" t="s">
        <v>322</v>
      </c>
      <c r="B8" s="208" t="s">
        <v>284</v>
      </c>
      <c r="C8" s="1" t="s">
        <v>18</v>
      </c>
      <c r="F8" s="264">
        <v>10000</v>
      </c>
      <c r="G8" s="264">
        <f>+F8/$J$7</f>
        <v>8264.4628099173551</v>
      </c>
      <c r="I8" s="278" t="s">
        <v>335</v>
      </c>
      <c r="J8" s="303">
        <f>+'ANALISIS DE PRECIOS '!H37-0.1</f>
        <v>1.4800861999999999</v>
      </c>
      <c r="L8" s="278">
        <v>1</v>
      </c>
      <c r="M8" s="273" t="s">
        <v>283</v>
      </c>
      <c r="N8" s="264">
        <v>4100</v>
      </c>
    </row>
    <row r="9" spans="1:14" ht="15.6" thickTop="1" thickBot="1" x14ac:dyDescent="0.35">
      <c r="B9" s="208" t="s">
        <v>285</v>
      </c>
      <c r="C9" s="1" t="s">
        <v>18</v>
      </c>
      <c r="F9" s="264">
        <v>40000</v>
      </c>
      <c r="G9" s="264">
        <f>+F9/$J$7</f>
        <v>33057.85123966942</v>
      </c>
      <c r="I9" s="278" t="s">
        <v>336</v>
      </c>
      <c r="J9">
        <f>+'ANALISIS DE PRECIOS '!H36-1</f>
        <v>0.2649999999999999</v>
      </c>
      <c r="L9" s="278">
        <v>2</v>
      </c>
      <c r="M9" s="273" t="s">
        <v>280</v>
      </c>
      <c r="N9" s="264">
        <v>3500</v>
      </c>
    </row>
    <row r="10" spans="1:14" ht="15.6" thickTop="1" thickBot="1" x14ac:dyDescent="0.35">
      <c r="B10" s="287"/>
      <c r="C10" s="1"/>
      <c r="F10" s="264"/>
      <c r="G10" s="264"/>
      <c r="J10">
        <f>+J8-J9-1</f>
        <v>0.21508620000000001</v>
      </c>
      <c r="L10" s="278">
        <v>3</v>
      </c>
      <c r="M10" s="273" t="s">
        <v>281</v>
      </c>
      <c r="N10" s="264">
        <v>3200</v>
      </c>
    </row>
    <row r="11" spans="1:14" ht="15.6" thickTop="1" thickBot="1" x14ac:dyDescent="0.35">
      <c r="A11" s="1" t="s">
        <v>326</v>
      </c>
      <c r="B11" s="292" t="s">
        <v>294</v>
      </c>
      <c r="C11" s="286" t="s">
        <v>328</v>
      </c>
      <c r="D11">
        <v>1</v>
      </c>
      <c r="E11" s="1" t="s">
        <v>51</v>
      </c>
      <c r="F11" s="264">
        <v>4000</v>
      </c>
      <c r="G11" s="264">
        <f>+F11/D11*$J$7</f>
        <v>4840</v>
      </c>
      <c r="L11" s="278">
        <v>4</v>
      </c>
      <c r="M11" s="273" t="s">
        <v>35</v>
      </c>
      <c r="N11" s="264">
        <v>2900</v>
      </c>
    </row>
    <row r="12" spans="1:14" ht="15.6" thickTop="1" thickBot="1" x14ac:dyDescent="0.35">
      <c r="B12" s="287"/>
      <c r="C12" s="1"/>
      <c r="F12" s="264"/>
      <c r="G12" s="264"/>
      <c r="L12" s="278">
        <v>5</v>
      </c>
      <c r="M12" s="273" t="s">
        <v>282</v>
      </c>
      <c r="N12" s="264">
        <v>530000</v>
      </c>
    </row>
    <row r="13" spans="1:14" ht="13.8" thickTop="1" x14ac:dyDescent="0.25">
      <c r="B13" s="287"/>
      <c r="C13" s="1"/>
      <c r="F13" s="264"/>
      <c r="G13" s="264"/>
    </row>
    <row r="14" spans="1:14" x14ac:dyDescent="0.25">
      <c r="B14" s="287"/>
      <c r="C14" s="1"/>
      <c r="F14" s="264"/>
      <c r="G14" s="264"/>
    </row>
    <row r="15" spans="1:14" x14ac:dyDescent="0.25">
      <c r="A15" s="1" t="s">
        <v>319</v>
      </c>
      <c r="B15" s="274" t="s">
        <v>304</v>
      </c>
      <c r="C15" s="1" t="s">
        <v>59</v>
      </c>
      <c r="D15">
        <v>40</v>
      </c>
      <c r="E15" s="1" t="s">
        <v>46</v>
      </c>
      <c r="F15" s="264">
        <v>9205</v>
      </c>
      <c r="G15" s="264">
        <f>+F15/D15*$J$7</f>
        <v>278.45125000000002</v>
      </c>
    </row>
    <row r="16" spans="1:14" x14ac:dyDescent="0.25">
      <c r="A16" s="1"/>
      <c r="B16" s="274" t="s">
        <v>332</v>
      </c>
      <c r="C16" s="1" t="s">
        <v>333</v>
      </c>
      <c r="D16">
        <v>50</v>
      </c>
      <c r="E16" s="1" t="s">
        <v>46</v>
      </c>
      <c r="F16" s="264">
        <v>11064</v>
      </c>
      <c r="G16" s="264">
        <f>+F16/D16*$J$7</f>
        <v>267.74880000000002</v>
      </c>
    </row>
    <row r="17" spans="1:7" x14ac:dyDescent="0.25">
      <c r="A17" s="1"/>
      <c r="B17" s="274"/>
      <c r="C17" s="1"/>
      <c r="E17" s="1"/>
      <c r="F17" s="264"/>
      <c r="G17" s="264"/>
    </row>
    <row r="18" spans="1:7" x14ac:dyDescent="0.25">
      <c r="A18" s="1"/>
      <c r="B18" s="274"/>
      <c r="C18" s="1"/>
      <c r="E18" s="1"/>
      <c r="F18" s="264"/>
      <c r="G18" s="264"/>
    </row>
    <row r="19" spans="1:7" x14ac:dyDescent="0.25">
      <c r="F19" s="264"/>
      <c r="G19" s="264"/>
    </row>
    <row r="20" spans="1:7" x14ac:dyDescent="0.25">
      <c r="A20" s="1" t="s">
        <v>318</v>
      </c>
      <c r="B20" s="274" t="s">
        <v>305</v>
      </c>
      <c r="C20" s="1" t="s">
        <v>31</v>
      </c>
      <c r="D20" s="1">
        <v>6</v>
      </c>
      <c r="E20" s="1" t="s">
        <v>31</v>
      </c>
      <c r="F20" s="264">
        <v>132000</v>
      </c>
      <c r="G20" s="264">
        <f>(F20/D20)/$J$7</f>
        <v>18181.818181818184</v>
      </c>
    </row>
    <row r="21" spans="1:7" x14ac:dyDescent="0.25">
      <c r="B21" s="274" t="s">
        <v>321</v>
      </c>
      <c r="C21" s="1" t="s">
        <v>31</v>
      </c>
      <c r="D21">
        <v>6</v>
      </c>
      <c r="E21" s="1" t="s">
        <v>31</v>
      </c>
      <c r="F21" s="264">
        <v>183000</v>
      </c>
      <c r="G21" s="264">
        <f>(F21/D21)/$J$7</f>
        <v>25206.611570247933</v>
      </c>
    </row>
    <row r="22" spans="1:7" x14ac:dyDescent="0.25">
      <c r="F22" s="264"/>
      <c r="G22" s="264"/>
    </row>
    <row r="23" spans="1:7" x14ac:dyDescent="0.25">
      <c r="A23" s="1" t="s">
        <v>317</v>
      </c>
      <c r="B23" s="274" t="s">
        <v>325</v>
      </c>
      <c r="C23" s="286" t="s">
        <v>51</v>
      </c>
      <c r="D23">
        <v>1</v>
      </c>
      <c r="E23" s="1" t="s">
        <v>51</v>
      </c>
      <c r="F23" s="264">
        <v>3909</v>
      </c>
      <c r="G23" s="264">
        <f t="shared" ref="G23:G29" si="0">(F23/D23)/$J$7</f>
        <v>3230.5785123966944</v>
      </c>
    </row>
    <row r="24" spans="1:7" x14ac:dyDescent="0.25">
      <c r="B24" s="274" t="s">
        <v>249</v>
      </c>
      <c r="C24" s="286" t="s">
        <v>51</v>
      </c>
      <c r="D24">
        <v>1</v>
      </c>
      <c r="E24" s="1" t="s">
        <v>51</v>
      </c>
      <c r="F24" s="264">
        <v>1027</v>
      </c>
      <c r="G24" s="264">
        <f t="shared" si="0"/>
        <v>848.76033057851237</v>
      </c>
    </row>
    <row r="25" spans="1:7" x14ac:dyDescent="0.25">
      <c r="B25" s="275" t="s">
        <v>324</v>
      </c>
      <c r="C25" s="286" t="s">
        <v>51</v>
      </c>
      <c r="D25">
        <v>1</v>
      </c>
      <c r="E25" s="1" t="s">
        <v>51</v>
      </c>
      <c r="F25" s="264">
        <v>2263</v>
      </c>
      <c r="G25" s="264">
        <f t="shared" si="0"/>
        <v>1870.2479338842975</v>
      </c>
    </row>
    <row r="26" spans="1:7" x14ac:dyDescent="0.25">
      <c r="B26" s="269" t="s">
        <v>329</v>
      </c>
      <c r="C26" s="286" t="s">
        <v>51</v>
      </c>
      <c r="D26">
        <v>1</v>
      </c>
      <c r="E26" s="1" t="s">
        <v>51</v>
      </c>
      <c r="F26" s="264">
        <v>683</v>
      </c>
      <c r="G26" s="264">
        <f t="shared" si="0"/>
        <v>564.46280991735534</v>
      </c>
    </row>
    <row r="27" spans="1:7" x14ac:dyDescent="0.25">
      <c r="B27" s="269" t="s">
        <v>330</v>
      </c>
      <c r="C27" s="286" t="s">
        <v>51</v>
      </c>
      <c r="D27">
        <v>1</v>
      </c>
      <c r="E27" s="1" t="s">
        <v>51</v>
      </c>
      <c r="F27" s="264">
        <v>683</v>
      </c>
      <c r="G27" s="264">
        <f t="shared" si="0"/>
        <v>564.46280991735534</v>
      </c>
    </row>
    <row r="28" spans="1:7" x14ac:dyDescent="0.25">
      <c r="B28" s="269" t="s">
        <v>331</v>
      </c>
      <c r="C28" s="286" t="s">
        <v>51</v>
      </c>
      <c r="D28">
        <v>1</v>
      </c>
      <c r="E28" s="1" t="s">
        <v>51</v>
      </c>
      <c r="F28" s="264">
        <v>1343</v>
      </c>
      <c r="G28" s="264">
        <f t="shared" si="0"/>
        <v>1109.9173553719008</v>
      </c>
    </row>
    <row r="29" spans="1:7" x14ac:dyDescent="0.25">
      <c r="B29" s="269" t="s">
        <v>287</v>
      </c>
      <c r="C29" s="286" t="s">
        <v>327</v>
      </c>
      <c r="D29">
        <f>1.2*2.6</f>
        <v>3.12</v>
      </c>
      <c r="E29" s="1" t="s">
        <v>14</v>
      </c>
      <c r="F29" s="264">
        <v>37580.75</v>
      </c>
      <c r="G29" s="264">
        <f t="shared" si="0"/>
        <v>9954.6381648654387</v>
      </c>
    </row>
    <row r="30" spans="1:7" x14ac:dyDescent="0.25">
      <c r="B30" s="275"/>
      <c r="F30" s="264"/>
      <c r="G30" s="264"/>
    </row>
    <row r="31" spans="1:7" x14ac:dyDescent="0.25">
      <c r="B31" s="275"/>
      <c r="F31" s="264"/>
      <c r="G31" s="264"/>
    </row>
    <row r="32" spans="1:7" x14ac:dyDescent="0.25">
      <c r="F32" s="264"/>
      <c r="G32" s="264"/>
    </row>
    <row r="33" spans="1:7" x14ac:dyDescent="0.25">
      <c r="A33" s="1" t="s">
        <v>316</v>
      </c>
      <c r="B33" s="275" t="s">
        <v>323</v>
      </c>
      <c r="C33" s="1" t="s">
        <v>46</v>
      </c>
      <c r="D33">
        <v>1</v>
      </c>
      <c r="E33" s="1" t="s">
        <v>46</v>
      </c>
      <c r="F33" s="264">
        <v>3138</v>
      </c>
      <c r="G33" s="264">
        <f t="shared" ref="G33:G41" si="1">(F33/D33)/$J$7</f>
        <v>2593.3884297520663</v>
      </c>
    </row>
    <row r="34" spans="1:7" x14ac:dyDescent="0.25">
      <c r="B34" s="273" t="s">
        <v>345</v>
      </c>
      <c r="C34" s="1" t="s">
        <v>14</v>
      </c>
      <c r="D34">
        <v>1</v>
      </c>
      <c r="E34" s="1" t="s">
        <v>14</v>
      </c>
      <c r="F34" s="264">
        <v>8765.41</v>
      </c>
      <c r="G34" s="264">
        <f t="shared" si="1"/>
        <v>7244.1404958677685</v>
      </c>
    </row>
    <row r="35" spans="1:7" x14ac:dyDescent="0.25">
      <c r="B35" s="276" t="s">
        <v>47</v>
      </c>
      <c r="C35" s="1" t="s">
        <v>46</v>
      </c>
      <c r="D35">
        <v>1</v>
      </c>
      <c r="E35" s="1" t="s">
        <v>46</v>
      </c>
      <c r="F35" s="264">
        <v>4084</v>
      </c>
      <c r="G35" s="264">
        <f t="shared" si="1"/>
        <v>3375.2066115702482</v>
      </c>
    </row>
    <row r="36" spans="1:7" x14ac:dyDescent="0.25">
      <c r="B36" s="276" t="s">
        <v>288</v>
      </c>
      <c r="C36" s="1" t="s">
        <v>52</v>
      </c>
      <c r="D36">
        <v>1</v>
      </c>
      <c r="E36" s="1" t="s">
        <v>52</v>
      </c>
      <c r="F36" s="264">
        <v>4800</v>
      </c>
      <c r="G36" s="264">
        <f t="shared" si="1"/>
        <v>3966.9421487603308</v>
      </c>
    </row>
    <row r="37" spans="1:7" x14ac:dyDescent="0.25">
      <c r="B37" s="276" t="s">
        <v>289</v>
      </c>
      <c r="C37" s="1" t="s">
        <v>52</v>
      </c>
      <c r="D37">
        <v>100</v>
      </c>
      <c r="E37" s="1" t="s">
        <v>52</v>
      </c>
      <c r="F37" s="264">
        <v>7400</v>
      </c>
      <c r="G37" s="264">
        <f t="shared" si="1"/>
        <v>61.15702479338843</v>
      </c>
    </row>
    <row r="38" spans="1:7" x14ac:dyDescent="0.25">
      <c r="B38" s="276" t="s">
        <v>290</v>
      </c>
      <c r="C38" s="1" t="s">
        <v>52</v>
      </c>
      <c r="D38">
        <v>100</v>
      </c>
      <c r="E38" s="1" t="s">
        <v>52</v>
      </c>
      <c r="F38" s="264">
        <v>2700</v>
      </c>
      <c r="G38" s="264">
        <f t="shared" si="1"/>
        <v>22.314049586776861</v>
      </c>
    </row>
    <row r="39" spans="1:7" x14ac:dyDescent="0.25">
      <c r="B39" s="276" t="s">
        <v>291</v>
      </c>
      <c r="C39" s="1" t="s">
        <v>52</v>
      </c>
      <c r="D39">
        <v>100</v>
      </c>
      <c r="E39" s="1" t="s">
        <v>52</v>
      </c>
      <c r="F39" s="264">
        <v>1900</v>
      </c>
      <c r="G39" s="264">
        <f t="shared" si="1"/>
        <v>15.702479338842975</v>
      </c>
    </row>
    <row r="40" spans="1:7" x14ac:dyDescent="0.25">
      <c r="B40" s="276" t="s">
        <v>292</v>
      </c>
      <c r="C40" s="1" t="s">
        <v>51</v>
      </c>
      <c r="D40">
        <v>1.1000000000000001</v>
      </c>
      <c r="E40" s="1" t="s">
        <v>51</v>
      </c>
      <c r="F40" s="264">
        <v>10900</v>
      </c>
      <c r="G40" s="264">
        <f t="shared" si="1"/>
        <v>8189.3313298271969</v>
      </c>
    </row>
    <row r="41" spans="1:7" x14ac:dyDescent="0.25">
      <c r="B41" s="276" t="s">
        <v>293</v>
      </c>
      <c r="C41" s="1" t="s">
        <v>52</v>
      </c>
      <c r="D41">
        <v>1</v>
      </c>
      <c r="E41" s="1" t="s">
        <v>52</v>
      </c>
      <c r="F41" s="264">
        <v>4000</v>
      </c>
      <c r="G41" s="264">
        <f t="shared" si="1"/>
        <v>3305.7851239669421</v>
      </c>
    </row>
    <row r="42" spans="1:7" x14ac:dyDescent="0.25">
      <c r="G42" s="264"/>
    </row>
    <row r="43" spans="1:7" x14ac:dyDescent="0.25">
      <c r="G43" s="264"/>
    </row>
    <row r="44" spans="1:7" x14ac:dyDescent="0.25">
      <c r="A44" s="1" t="s">
        <v>320</v>
      </c>
      <c r="B44" s="275" t="s">
        <v>337</v>
      </c>
      <c r="C44" s="1" t="s">
        <v>52</v>
      </c>
      <c r="D44">
        <v>1</v>
      </c>
      <c r="E44" s="1" t="s">
        <v>52</v>
      </c>
      <c r="F44" s="264">
        <v>65000</v>
      </c>
      <c r="G44" s="264">
        <f t="shared" ref="G44:G53" si="2">(F44/D44)/$J$7</f>
        <v>53719.008264462813</v>
      </c>
    </row>
    <row r="45" spans="1:7" x14ac:dyDescent="0.25">
      <c r="B45" s="275" t="s">
        <v>338</v>
      </c>
      <c r="C45" s="1" t="s">
        <v>52</v>
      </c>
      <c r="D45">
        <v>1</v>
      </c>
      <c r="E45" s="1" t="s">
        <v>52</v>
      </c>
      <c r="F45" s="264">
        <v>15200</v>
      </c>
      <c r="G45" s="264">
        <f t="shared" si="2"/>
        <v>12561.98347107438</v>
      </c>
    </row>
    <row r="46" spans="1:7" x14ac:dyDescent="0.25">
      <c r="B46" s="275" t="s">
        <v>252</v>
      </c>
      <c r="C46" s="1" t="s">
        <v>52</v>
      </c>
      <c r="D46">
        <v>1</v>
      </c>
      <c r="E46" s="1" t="s">
        <v>52</v>
      </c>
      <c r="F46" s="264">
        <v>35600</v>
      </c>
      <c r="G46" s="264">
        <f t="shared" si="2"/>
        <v>29421.487603305784</v>
      </c>
    </row>
    <row r="47" spans="1:7" x14ac:dyDescent="0.25">
      <c r="B47" s="275" t="s">
        <v>253</v>
      </c>
      <c r="C47" s="1" t="s">
        <v>52</v>
      </c>
      <c r="D47">
        <v>1</v>
      </c>
      <c r="E47" s="1" t="s">
        <v>52</v>
      </c>
      <c r="F47" s="264">
        <v>24270</v>
      </c>
      <c r="G47" s="264">
        <f t="shared" si="2"/>
        <v>20057.85123966942</v>
      </c>
    </row>
    <row r="48" spans="1:7" x14ac:dyDescent="0.25">
      <c r="B48" s="275" t="s">
        <v>254</v>
      </c>
      <c r="C48" s="1" t="s">
        <v>52</v>
      </c>
      <c r="D48">
        <v>1</v>
      </c>
      <c r="E48" s="1" t="s">
        <v>52</v>
      </c>
      <c r="F48" s="264">
        <v>8459.5499999999993</v>
      </c>
      <c r="G48" s="264">
        <f t="shared" si="2"/>
        <v>6991.363636363636</v>
      </c>
    </row>
    <row r="49" spans="2:7" x14ac:dyDescent="0.25">
      <c r="B49" s="275" t="s">
        <v>255</v>
      </c>
      <c r="C49" s="1" t="s">
        <v>52</v>
      </c>
      <c r="D49">
        <v>1</v>
      </c>
      <c r="E49" s="1" t="s">
        <v>52</v>
      </c>
      <c r="F49" s="264">
        <v>5314</v>
      </c>
      <c r="G49" s="264">
        <f t="shared" si="2"/>
        <v>4391.7355371900831</v>
      </c>
    </row>
    <row r="50" spans="2:7" x14ac:dyDescent="0.25">
      <c r="B50" s="275" t="s">
        <v>256</v>
      </c>
      <c r="C50" s="1" t="s">
        <v>52</v>
      </c>
      <c r="D50">
        <v>1</v>
      </c>
      <c r="E50" s="1" t="s">
        <v>52</v>
      </c>
      <c r="F50" s="264">
        <v>1015</v>
      </c>
      <c r="G50" s="264">
        <f t="shared" si="2"/>
        <v>838.84297520661164</v>
      </c>
    </row>
    <row r="51" spans="2:7" x14ac:dyDescent="0.25">
      <c r="B51" s="275" t="s">
        <v>257</v>
      </c>
      <c r="C51" s="1" t="s">
        <v>52</v>
      </c>
      <c r="D51">
        <v>1</v>
      </c>
      <c r="E51" s="1" t="s">
        <v>52</v>
      </c>
      <c r="F51" s="264">
        <v>7470</v>
      </c>
      <c r="G51" s="264">
        <f t="shared" si="2"/>
        <v>6173.553719008265</v>
      </c>
    </row>
    <row r="52" spans="2:7" x14ac:dyDescent="0.25">
      <c r="B52" s="275" t="s">
        <v>258</v>
      </c>
      <c r="C52" s="1" t="s">
        <v>52</v>
      </c>
      <c r="D52">
        <v>1</v>
      </c>
      <c r="E52" s="1" t="s">
        <v>52</v>
      </c>
      <c r="F52" s="264">
        <v>1940</v>
      </c>
      <c r="G52" s="264">
        <f t="shared" si="2"/>
        <v>1603.3057851239671</v>
      </c>
    </row>
    <row r="53" spans="2:7" x14ac:dyDescent="0.25">
      <c r="B53" s="275" t="s">
        <v>259</v>
      </c>
      <c r="C53" s="1" t="s">
        <v>52</v>
      </c>
      <c r="D53">
        <v>1</v>
      </c>
      <c r="E53" s="1" t="s">
        <v>52</v>
      </c>
      <c r="F53" s="264">
        <v>5963</v>
      </c>
      <c r="G53" s="264">
        <f t="shared" si="2"/>
        <v>4928.0991735537191</v>
      </c>
    </row>
    <row r="54" spans="2:7" x14ac:dyDescent="0.25">
      <c r="F54" s="264"/>
      <c r="G54" s="264"/>
    </row>
    <row r="55" spans="2:7" x14ac:dyDescent="0.25">
      <c r="F55" s="264"/>
      <c r="G55" s="264"/>
    </row>
    <row r="56" spans="2:7" x14ac:dyDescent="0.25">
      <c r="F56" s="264"/>
      <c r="G56" s="264"/>
    </row>
    <row r="57" spans="2:7" x14ac:dyDescent="0.25">
      <c r="F57" s="264"/>
      <c r="G57" s="264"/>
    </row>
    <row r="58" spans="2:7" x14ac:dyDescent="0.25">
      <c r="F58" s="264"/>
      <c r="G58" s="264"/>
    </row>
    <row r="59" spans="2:7" x14ac:dyDescent="0.25">
      <c r="F59" s="264"/>
      <c r="G59" s="264"/>
    </row>
    <row r="60" spans="2:7" x14ac:dyDescent="0.25">
      <c r="F60" s="264"/>
      <c r="G60" s="264"/>
    </row>
    <row r="61" spans="2:7" x14ac:dyDescent="0.25">
      <c r="F61" s="264"/>
      <c r="G61" s="264"/>
    </row>
    <row r="62" spans="2:7" x14ac:dyDescent="0.25">
      <c r="F62" s="264"/>
      <c r="G62" s="264"/>
    </row>
    <row r="63" spans="2:7" x14ac:dyDescent="0.25">
      <c r="F63" s="264"/>
      <c r="G63" s="264"/>
    </row>
    <row r="64" spans="2:7" x14ac:dyDescent="0.25">
      <c r="F64" s="264"/>
      <c r="G64" s="264"/>
    </row>
    <row r="65" spans="6:7" x14ac:dyDescent="0.25">
      <c r="F65" s="264"/>
      <c r="G65" s="264"/>
    </row>
    <row r="66" spans="6:7" x14ac:dyDescent="0.25">
      <c r="F66" s="264"/>
      <c r="G66" s="264"/>
    </row>
    <row r="67" spans="6:7" x14ac:dyDescent="0.25">
      <c r="F67" s="264"/>
      <c r="G67" s="264"/>
    </row>
    <row r="68" spans="6:7" x14ac:dyDescent="0.25">
      <c r="F68" s="264"/>
      <c r="G68" s="264"/>
    </row>
    <row r="69" spans="6:7" x14ac:dyDescent="0.25">
      <c r="F69" s="264"/>
      <c r="G69" s="264"/>
    </row>
    <row r="70" spans="6:7" x14ac:dyDescent="0.25">
      <c r="F70" s="264"/>
      <c r="G70" s="264"/>
    </row>
    <row r="71" spans="6:7" x14ac:dyDescent="0.25">
      <c r="F71" s="264"/>
      <c r="G71" s="264"/>
    </row>
    <row r="72" spans="6:7" x14ac:dyDescent="0.25">
      <c r="F72" s="264"/>
      <c r="G72" s="264"/>
    </row>
    <row r="73" spans="6:7" x14ac:dyDescent="0.25">
      <c r="F73" s="264"/>
      <c r="G73" s="264"/>
    </row>
    <row r="74" spans="6:7" x14ac:dyDescent="0.25">
      <c r="F74" s="264"/>
      <c r="G74" s="264"/>
    </row>
    <row r="75" spans="6:7" x14ac:dyDescent="0.25">
      <c r="F75" s="264"/>
      <c r="G75" s="264"/>
    </row>
    <row r="76" spans="6:7" x14ac:dyDescent="0.25">
      <c r="F76" s="264"/>
      <c r="G76" s="264"/>
    </row>
    <row r="77" spans="6:7" x14ac:dyDescent="0.25">
      <c r="F77" s="264"/>
      <c r="G77" s="264"/>
    </row>
    <row r="78" spans="6:7" x14ac:dyDescent="0.25">
      <c r="F78" s="264"/>
      <c r="G78" s="264"/>
    </row>
    <row r="79" spans="6:7" x14ac:dyDescent="0.25">
      <c r="F79" s="264"/>
      <c r="G79" s="264"/>
    </row>
    <row r="80" spans="6:7" x14ac:dyDescent="0.25">
      <c r="F80" s="264"/>
      <c r="G80" s="264"/>
    </row>
    <row r="81" spans="6:7" x14ac:dyDescent="0.25">
      <c r="F81" s="264"/>
      <c r="G81" s="264"/>
    </row>
    <row r="82" spans="6:7" x14ac:dyDescent="0.25">
      <c r="F82" s="264"/>
      <c r="G82" s="264"/>
    </row>
    <row r="83" spans="6:7" x14ac:dyDescent="0.25">
      <c r="F83" s="264"/>
      <c r="G83" s="264"/>
    </row>
    <row r="84" spans="6:7" x14ac:dyDescent="0.25">
      <c r="F84" s="264"/>
      <c r="G84" s="264"/>
    </row>
    <row r="85" spans="6:7" x14ac:dyDescent="0.25">
      <c r="F85" s="264"/>
      <c r="G85" s="264"/>
    </row>
    <row r="86" spans="6:7" x14ac:dyDescent="0.25">
      <c r="F86" s="264"/>
      <c r="G86" s="264"/>
    </row>
    <row r="87" spans="6:7" x14ac:dyDescent="0.25">
      <c r="F87" s="264"/>
      <c r="G87" s="264"/>
    </row>
    <row r="88" spans="6:7" x14ac:dyDescent="0.25">
      <c r="F88" s="264"/>
      <c r="G88" s="264"/>
    </row>
    <row r="89" spans="6:7" x14ac:dyDescent="0.25">
      <c r="F89" s="264"/>
      <c r="G89" s="264"/>
    </row>
    <row r="90" spans="6:7" x14ac:dyDescent="0.25">
      <c r="F90" s="264"/>
      <c r="G90" s="264"/>
    </row>
    <row r="91" spans="6:7" x14ac:dyDescent="0.25">
      <c r="F91" s="264"/>
      <c r="G91" s="264"/>
    </row>
    <row r="92" spans="6:7" x14ac:dyDescent="0.25">
      <c r="F92" s="264"/>
      <c r="G92" s="264"/>
    </row>
    <row r="93" spans="6:7" x14ac:dyDescent="0.25">
      <c r="F93" s="264"/>
      <c r="G93" s="264"/>
    </row>
    <row r="94" spans="6:7" x14ac:dyDescent="0.25">
      <c r="F94" s="264"/>
      <c r="G94" s="264"/>
    </row>
    <row r="95" spans="6:7" x14ac:dyDescent="0.25">
      <c r="F95" s="264"/>
      <c r="G95" s="264"/>
    </row>
    <row r="96" spans="6:7" x14ac:dyDescent="0.25">
      <c r="F96" s="264"/>
      <c r="G96" s="264"/>
    </row>
    <row r="97" spans="6:7" x14ac:dyDescent="0.25">
      <c r="F97" s="264"/>
      <c r="G97" s="264"/>
    </row>
    <row r="98" spans="6:7" x14ac:dyDescent="0.25">
      <c r="F98" s="264"/>
      <c r="G98" s="264"/>
    </row>
    <row r="99" spans="6:7" x14ac:dyDescent="0.25">
      <c r="F99" s="264"/>
      <c r="G99" s="264"/>
    </row>
    <row r="100" spans="6:7" x14ac:dyDescent="0.25">
      <c r="F100" s="264"/>
      <c r="G100" s="264"/>
    </row>
    <row r="101" spans="6:7" x14ac:dyDescent="0.25">
      <c r="F101" s="264"/>
      <c r="G101" s="264"/>
    </row>
    <row r="102" spans="6:7" x14ac:dyDescent="0.25">
      <c r="F102" s="264"/>
      <c r="G102" s="264"/>
    </row>
    <row r="103" spans="6:7" x14ac:dyDescent="0.25">
      <c r="F103" s="264"/>
      <c r="G103" s="264"/>
    </row>
    <row r="104" spans="6:7" x14ac:dyDescent="0.25">
      <c r="F104" s="264"/>
      <c r="G104" s="264"/>
    </row>
    <row r="105" spans="6:7" x14ac:dyDescent="0.25">
      <c r="F105" s="264"/>
      <c r="G105" s="264"/>
    </row>
    <row r="106" spans="6:7" x14ac:dyDescent="0.25">
      <c r="F106" s="264"/>
      <c r="G106" s="264"/>
    </row>
    <row r="107" spans="6:7" x14ac:dyDescent="0.25">
      <c r="F107" s="264"/>
      <c r="G107" s="264"/>
    </row>
    <row r="108" spans="6:7" x14ac:dyDescent="0.25">
      <c r="F108" s="264"/>
      <c r="G108" s="264"/>
    </row>
    <row r="109" spans="6:7" x14ac:dyDescent="0.25">
      <c r="F109" s="264"/>
      <c r="G109" s="264"/>
    </row>
    <row r="110" spans="6:7" x14ac:dyDescent="0.25">
      <c r="F110" s="264"/>
      <c r="G110" s="264"/>
    </row>
    <row r="111" spans="6:7" x14ac:dyDescent="0.25">
      <c r="F111" s="264"/>
      <c r="G111" s="264"/>
    </row>
    <row r="112" spans="6:7" x14ac:dyDescent="0.25">
      <c r="F112" s="264"/>
      <c r="G112" s="264"/>
    </row>
    <row r="113" spans="6:7" x14ac:dyDescent="0.25">
      <c r="F113" s="264"/>
      <c r="G113" s="264"/>
    </row>
    <row r="114" spans="6:7" x14ac:dyDescent="0.25">
      <c r="F114" s="264"/>
      <c r="G114" s="264"/>
    </row>
    <row r="115" spans="6:7" x14ac:dyDescent="0.25">
      <c r="F115" s="264"/>
      <c r="G115" s="264"/>
    </row>
    <row r="116" spans="6:7" x14ac:dyDescent="0.25">
      <c r="F116" s="264"/>
      <c r="G116" s="264"/>
    </row>
    <row r="117" spans="6:7" x14ac:dyDescent="0.25">
      <c r="F117" s="264"/>
      <c r="G117" s="264"/>
    </row>
    <row r="118" spans="6:7" x14ac:dyDescent="0.25">
      <c r="F118" s="264"/>
      <c r="G118" s="264"/>
    </row>
    <row r="119" spans="6:7" x14ac:dyDescent="0.25">
      <c r="F119" s="264"/>
      <c r="G119" s="264"/>
    </row>
    <row r="120" spans="6:7" x14ac:dyDescent="0.25">
      <c r="F120" s="264"/>
      <c r="G120" s="264"/>
    </row>
    <row r="121" spans="6:7" x14ac:dyDescent="0.25">
      <c r="F121" s="264"/>
      <c r="G121" s="264"/>
    </row>
    <row r="122" spans="6:7" x14ac:dyDescent="0.25">
      <c r="F122" s="264"/>
      <c r="G122" s="264"/>
    </row>
    <row r="123" spans="6:7" x14ac:dyDescent="0.25">
      <c r="F123" s="264"/>
      <c r="G123" s="264"/>
    </row>
    <row r="124" spans="6:7" x14ac:dyDescent="0.25">
      <c r="F124" s="264"/>
      <c r="G124" s="264"/>
    </row>
    <row r="125" spans="6:7" x14ac:dyDescent="0.25">
      <c r="F125" s="264"/>
      <c r="G125" s="264"/>
    </row>
    <row r="126" spans="6:7" x14ac:dyDescent="0.25">
      <c r="F126" s="264"/>
      <c r="G126" s="264"/>
    </row>
    <row r="127" spans="6:7" x14ac:dyDescent="0.25">
      <c r="F127" s="264"/>
      <c r="G127" s="264"/>
    </row>
    <row r="128" spans="6:7" x14ac:dyDescent="0.25">
      <c r="F128" s="264"/>
      <c r="G128" s="264"/>
    </row>
    <row r="129" spans="6:7" x14ac:dyDescent="0.25">
      <c r="F129" s="264"/>
      <c r="G129" s="264"/>
    </row>
    <row r="130" spans="6:7" x14ac:dyDescent="0.25">
      <c r="F130" s="264"/>
      <c r="G130" s="264"/>
    </row>
    <row r="131" spans="6:7" x14ac:dyDescent="0.25">
      <c r="F131" s="264"/>
      <c r="G131" s="264"/>
    </row>
    <row r="132" spans="6:7" x14ac:dyDescent="0.25">
      <c r="F132" s="264"/>
      <c r="G132" s="264"/>
    </row>
    <row r="133" spans="6:7" x14ac:dyDescent="0.25">
      <c r="F133" s="264"/>
      <c r="G133" s="264"/>
    </row>
    <row r="134" spans="6:7" x14ac:dyDescent="0.25">
      <c r="F134" s="264"/>
      <c r="G134" s="264"/>
    </row>
    <row r="135" spans="6:7" x14ac:dyDescent="0.25">
      <c r="F135" s="264"/>
      <c r="G135" s="264"/>
    </row>
    <row r="136" spans="6:7" x14ac:dyDescent="0.25">
      <c r="F136" s="264"/>
      <c r="G136" s="264"/>
    </row>
    <row r="137" spans="6:7" x14ac:dyDescent="0.25">
      <c r="F137" s="264"/>
      <c r="G137" s="264"/>
    </row>
    <row r="138" spans="6:7" x14ac:dyDescent="0.25">
      <c r="F138" s="264"/>
      <c r="G138" s="264"/>
    </row>
    <row r="139" spans="6:7" x14ac:dyDescent="0.25">
      <c r="F139" s="264"/>
      <c r="G139" s="264"/>
    </row>
    <row r="140" spans="6:7" x14ac:dyDescent="0.25">
      <c r="F140" s="264"/>
      <c r="G140" s="264"/>
    </row>
    <row r="141" spans="6:7" x14ac:dyDescent="0.25">
      <c r="F141" s="264"/>
      <c r="G141" s="264"/>
    </row>
    <row r="142" spans="6:7" x14ac:dyDescent="0.25">
      <c r="F142" s="264"/>
      <c r="G142" s="264"/>
    </row>
    <row r="143" spans="6:7" x14ac:dyDescent="0.25">
      <c r="F143" s="264"/>
      <c r="G143" s="264"/>
    </row>
    <row r="144" spans="6:7" x14ac:dyDescent="0.25">
      <c r="F144" s="264"/>
      <c r="G144" s="264"/>
    </row>
    <row r="145" spans="6:7" x14ac:dyDescent="0.25">
      <c r="F145" s="264"/>
      <c r="G145" s="264"/>
    </row>
    <row r="146" spans="6:7" x14ac:dyDescent="0.25">
      <c r="F146" s="264"/>
      <c r="G146" s="264"/>
    </row>
    <row r="147" spans="6:7" x14ac:dyDescent="0.25">
      <c r="F147" s="264"/>
      <c r="G147" s="264"/>
    </row>
    <row r="148" spans="6:7" x14ac:dyDescent="0.25">
      <c r="F148" s="264"/>
      <c r="G148" s="264"/>
    </row>
    <row r="149" spans="6:7" x14ac:dyDescent="0.25">
      <c r="F149" s="264"/>
      <c r="G149" s="264"/>
    </row>
    <row r="150" spans="6:7" x14ac:dyDescent="0.25">
      <c r="F150" s="264"/>
      <c r="G150" s="264"/>
    </row>
    <row r="151" spans="6:7" x14ac:dyDescent="0.25">
      <c r="F151" s="264"/>
      <c r="G151" s="264"/>
    </row>
    <row r="152" spans="6:7" x14ac:dyDescent="0.25">
      <c r="F152" s="264"/>
      <c r="G152" s="264"/>
    </row>
    <row r="153" spans="6:7" x14ac:dyDescent="0.25">
      <c r="F153" s="264"/>
      <c r="G153" s="264"/>
    </row>
    <row r="154" spans="6:7" x14ac:dyDescent="0.25">
      <c r="F154" s="264"/>
      <c r="G154" s="264"/>
    </row>
    <row r="155" spans="6:7" x14ac:dyDescent="0.25">
      <c r="F155" s="264"/>
      <c r="G155" s="264"/>
    </row>
    <row r="156" spans="6:7" x14ac:dyDescent="0.25">
      <c r="F156" s="264"/>
      <c r="G156" s="264"/>
    </row>
    <row r="157" spans="6:7" x14ac:dyDescent="0.25">
      <c r="F157" s="264"/>
      <c r="G157" s="264"/>
    </row>
    <row r="158" spans="6:7" x14ac:dyDescent="0.25">
      <c r="F158" s="264"/>
      <c r="G158" s="264"/>
    </row>
    <row r="159" spans="6:7" x14ac:dyDescent="0.25">
      <c r="F159" s="264"/>
      <c r="G159" s="264"/>
    </row>
    <row r="160" spans="6:7" x14ac:dyDescent="0.25">
      <c r="F160" s="264"/>
      <c r="G160" s="264"/>
    </row>
    <row r="161" spans="6:7" x14ac:dyDescent="0.25">
      <c r="F161" s="264"/>
      <c r="G161" s="264"/>
    </row>
    <row r="162" spans="6:7" x14ac:dyDescent="0.25">
      <c r="F162" s="264"/>
      <c r="G162" s="264"/>
    </row>
    <row r="163" spans="6:7" x14ac:dyDescent="0.25">
      <c r="F163" s="264"/>
      <c r="G163" s="264"/>
    </row>
    <row r="164" spans="6:7" x14ac:dyDescent="0.25">
      <c r="F164" s="264"/>
      <c r="G164" s="264"/>
    </row>
    <row r="165" spans="6:7" x14ac:dyDescent="0.25">
      <c r="F165" s="264"/>
      <c r="G165" s="264"/>
    </row>
    <row r="166" spans="6:7" x14ac:dyDescent="0.25">
      <c r="F166" s="264"/>
      <c r="G166" s="264"/>
    </row>
    <row r="167" spans="6:7" x14ac:dyDescent="0.25">
      <c r="F167" s="264"/>
      <c r="G167" s="264"/>
    </row>
    <row r="168" spans="6:7" x14ac:dyDescent="0.25">
      <c r="F168" s="264"/>
      <c r="G168" s="264"/>
    </row>
    <row r="169" spans="6:7" x14ac:dyDescent="0.25">
      <c r="F169" s="264"/>
      <c r="G169" s="264"/>
    </row>
    <row r="170" spans="6:7" x14ac:dyDescent="0.25">
      <c r="F170" s="264"/>
      <c r="G170" s="264"/>
    </row>
    <row r="171" spans="6:7" x14ac:dyDescent="0.25">
      <c r="F171" s="264"/>
      <c r="G171" s="264"/>
    </row>
    <row r="172" spans="6:7" x14ac:dyDescent="0.25">
      <c r="F172" s="264"/>
      <c r="G172" s="264"/>
    </row>
    <row r="173" spans="6:7" x14ac:dyDescent="0.25">
      <c r="F173" s="264"/>
      <c r="G173" s="264"/>
    </row>
    <row r="174" spans="6:7" x14ac:dyDescent="0.25">
      <c r="F174" s="264"/>
      <c r="G174" s="264"/>
    </row>
    <row r="175" spans="6:7" x14ac:dyDescent="0.25">
      <c r="F175" s="264"/>
      <c r="G175" s="264"/>
    </row>
    <row r="176" spans="6:7" x14ac:dyDescent="0.25">
      <c r="F176" s="264"/>
      <c r="G176" s="264"/>
    </row>
    <row r="177" spans="6:7" x14ac:dyDescent="0.25">
      <c r="F177" s="264"/>
      <c r="G177" s="264"/>
    </row>
    <row r="178" spans="6:7" x14ac:dyDescent="0.25">
      <c r="F178" s="264"/>
      <c r="G178" s="264"/>
    </row>
    <row r="179" spans="6:7" x14ac:dyDescent="0.25">
      <c r="F179" s="264"/>
      <c r="G179" s="264"/>
    </row>
    <row r="180" spans="6:7" x14ac:dyDescent="0.25">
      <c r="F180" s="264"/>
      <c r="G180" s="264"/>
    </row>
    <row r="181" spans="6:7" x14ac:dyDescent="0.25">
      <c r="F181" s="264"/>
      <c r="G181" s="264"/>
    </row>
    <row r="182" spans="6:7" x14ac:dyDescent="0.25">
      <c r="F182" s="264"/>
      <c r="G182" s="264"/>
    </row>
    <row r="183" spans="6:7" x14ac:dyDescent="0.25">
      <c r="F183" s="264"/>
      <c r="G183" s="264"/>
    </row>
    <row r="184" spans="6:7" x14ac:dyDescent="0.25">
      <c r="F184" s="264"/>
      <c r="G184" s="264"/>
    </row>
    <row r="185" spans="6:7" x14ac:dyDescent="0.25">
      <c r="F185" s="264"/>
      <c r="G185" s="264"/>
    </row>
    <row r="186" spans="6:7" x14ac:dyDescent="0.25">
      <c r="F186" s="264"/>
      <c r="G186" s="264"/>
    </row>
    <row r="187" spans="6:7" x14ac:dyDescent="0.25">
      <c r="F187" s="264"/>
      <c r="G187" s="264"/>
    </row>
    <row r="188" spans="6:7" x14ac:dyDescent="0.25">
      <c r="F188" s="264"/>
      <c r="G188" s="264"/>
    </row>
    <row r="189" spans="6:7" x14ac:dyDescent="0.25">
      <c r="F189" s="264"/>
      <c r="G189" s="264"/>
    </row>
    <row r="190" spans="6:7" x14ac:dyDescent="0.25">
      <c r="F190" s="264"/>
      <c r="G190" s="264"/>
    </row>
    <row r="191" spans="6:7" x14ac:dyDescent="0.25">
      <c r="F191" s="264"/>
      <c r="G191" s="264"/>
    </row>
    <row r="192" spans="6:7" x14ac:dyDescent="0.25">
      <c r="F192" s="264"/>
      <c r="G192" s="264"/>
    </row>
    <row r="193" spans="6:7" x14ac:dyDescent="0.25">
      <c r="F193" s="264"/>
      <c r="G193" s="264"/>
    </row>
    <row r="194" spans="6:7" x14ac:dyDescent="0.25">
      <c r="F194" s="264"/>
      <c r="G194" s="264"/>
    </row>
    <row r="195" spans="6:7" x14ac:dyDescent="0.25">
      <c r="F195" s="264"/>
      <c r="G195" s="264"/>
    </row>
    <row r="196" spans="6:7" x14ac:dyDescent="0.25">
      <c r="F196" s="264"/>
      <c r="G196" s="264"/>
    </row>
    <row r="197" spans="6:7" x14ac:dyDescent="0.25">
      <c r="F197" s="264"/>
      <c r="G197" s="264"/>
    </row>
    <row r="198" spans="6:7" x14ac:dyDescent="0.25">
      <c r="F198" s="264"/>
      <c r="G198" s="264"/>
    </row>
    <row r="199" spans="6:7" x14ac:dyDescent="0.25">
      <c r="F199" s="264"/>
      <c r="G199" s="264"/>
    </row>
    <row r="200" spans="6:7" x14ac:dyDescent="0.25">
      <c r="F200" s="264"/>
      <c r="G200" s="264"/>
    </row>
    <row r="201" spans="6:7" x14ac:dyDescent="0.25">
      <c r="F201" s="264"/>
      <c r="G201" s="264"/>
    </row>
    <row r="202" spans="6:7" x14ac:dyDescent="0.25">
      <c r="F202" s="264"/>
      <c r="G202" s="264"/>
    </row>
    <row r="203" spans="6:7" x14ac:dyDescent="0.25">
      <c r="F203" s="264"/>
      <c r="G203" s="264"/>
    </row>
    <row r="204" spans="6:7" x14ac:dyDescent="0.25">
      <c r="F204" s="264"/>
      <c r="G204" s="264"/>
    </row>
    <row r="205" spans="6:7" x14ac:dyDescent="0.25">
      <c r="F205" s="264"/>
      <c r="G205" s="264"/>
    </row>
    <row r="206" spans="6:7" x14ac:dyDescent="0.25">
      <c r="F206" s="264"/>
      <c r="G206" s="264"/>
    </row>
    <row r="207" spans="6:7" x14ac:dyDescent="0.25">
      <c r="F207" s="264"/>
      <c r="G207" s="264"/>
    </row>
    <row r="208" spans="6:7" x14ac:dyDescent="0.25">
      <c r="F208" s="264"/>
      <c r="G208" s="264"/>
    </row>
    <row r="209" spans="6:7" x14ac:dyDescent="0.25">
      <c r="F209" s="264"/>
      <c r="G209" s="264"/>
    </row>
    <row r="210" spans="6:7" x14ac:dyDescent="0.25">
      <c r="F210" s="264"/>
      <c r="G210" s="264"/>
    </row>
    <row r="211" spans="6:7" x14ac:dyDescent="0.25">
      <c r="F211" s="264"/>
      <c r="G211" s="264"/>
    </row>
    <row r="212" spans="6:7" x14ac:dyDescent="0.25">
      <c r="F212" s="264"/>
      <c r="G212" s="264"/>
    </row>
    <row r="213" spans="6:7" x14ac:dyDescent="0.25">
      <c r="F213" s="264"/>
      <c r="G213" s="264"/>
    </row>
    <row r="214" spans="6:7" x14ac:dyDescent="0.25">
      <c r="F214" s="264"/>
      <c r="G214" s="264"/>
    </row>
    <row r="215" spans="6:7" x14ac:dyDescent="0.25">
      <c r="F215" s="264"/>
      <c r="G215" s="264"/>
    </row>
    <row r="216" spans="6:7" x14ac:dyDescent="0.25">
      <c r="F216" s="264"/>
      <c r="G216" s="264"/>
    </row>
    <row r="217" spans="6:7" x14ac:dyDescent="0.25">
      <c r="F217" s="264"/>
      <c r="G217" s="264"/>
    </row>
    <row r="218" spans="6:7" x14ac:dyDescent="0.25">
      <c r="F218" s="264"/>
      <c r="G218" s="264"/>
    </row>
    <row r="219" spans="6:7" x14ac:dyDescent="0.25">
      <c r="F219" s="264"/>
      <c r="G219" s="264"/>
    </row>
    <row r="220" spans="6:7" x14ac:dyDescent="0.25">
      <c r="F220" s="264"/>
      <c r="G220" s="264"/>
    </row>
    <row r="221" spans="6:7" x14ac:dyDescent="0.25">
      <c r="F221" s="264"/>
      <c r="G221" s="264"/>
    </row>
    <row r="222" spans="6:7" x14ac:dyDescent="0.25">
      <c r="F222" s="264"/>
      <c r="G222" s="264"/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F856-5BB3-4D11-AAB5-CF60CA9A4305}">
  <sheetPr>
    <pageSetUpPr fitToPage="1"/>
  </sheetPr>
  <dimension ref="A1:M46"/>
  <sheetViews>
    <sheetView workbookViewId="0">
      <selection activeCell="J32" sqref="J32"/>
    </sheetView>
  </sheetViews>
  <sheetFormatPr baseColWidth="10" defaultColWidth="11.44140625" defaultRowHeight="13.2" x14ac:dyDescent="0.25"/>
  <cols>
    <col min="1" max="1" width="4.5546875" style="1" bestFit="1" customWidth="1"/>
    <col min="2" max="2" width="41.44140625" style="1" customWidth="1"/>
    <col min="3" max="3" width="11.5546875" style="1" bestFit="1" customWidth="1"/>
    <col min="4" max="4" width="9" style="1" bestFit="1" customWidth="1"/>
    <col min="5" max="5" width="11.6640625" style="1" bestFit="1" customWidth="1"/>
    <col min="6" max="6" width="13.44140625" style="1" bestFit="1" customWidth="1"/>
    <col min="7" max="7" width="12.88671875" style="1" bestFit="1" customWidth="1"/>
    <col min="8" max="8" width="13.33203125" style="1" bestFit="1" customWidth="1"/>
    <col min="9" max="9" width="12" style="1" bestFit="1" customWidth="1"/>
    <col min="10" max="10" width="11.44140625" style="1"/>
    <col min="11" max="11" width="12" style="1" bestFit="1" customWidth="1"/>
    <col min="12" max="12" width="11.88671875" style="1" bestFit="1" customWidth="1"/>
    <col min="13" max="16384" width="11.44140625" style="1"/>
  </cols>
  <sheetData>
    <row r="1" spans="1:9" ht="15.6" x14ac:dyDescent="0.25">
      <c r="A1" s="404" t="str">
        <f>+'COSTO+COMPUTO'!A1:S1</f>
        <v>REALE.arq</v>
      </c>
      <c r="B1" s="405"/>
      <c r="C1" s="405"/>
      <c r="D1" s="405"/>
      <c r="E1" s="405"/>
      <c r="F1" s="406"/>
    </row>
    <row r="2" spans="1:9" x14ac:dyDescent="0.25">
      <c r="A2" s="407" t="str">
        <f>+'COSTO+COMPUTO'!A2:S2</f>
        <v>Tel./Fax.: 376-154397658 / Email: reale.arq@gmail.com</v>
      </c>
      <c r="B2" s="408"/>
      <c r="C2" s="408"/>
      <c r="D2" s="408"/>
      <c r="E2" s="408"/>
      <c r="F2" s="409"/>
    </row>
    <row r="3" spans="1:9" x14ac:dyDescent="0.25">
      <c r="A3" s="407" t="str">
        <f>+'COSTO+COMPUTO'!A3:S3</f>
        <v>COMITENTE: Marcela Alegre</v>
      </c>
      <c r="B3" s="408"/>
      <c r="C3" s="408"/>
      <c r="D3" s="408"/>
      <c r="E3" s="408"/>
      <c r="F3" s="409"/>
    </row>
    <row r="4" spans="1:9" x14ac:dyDescent="0.25">
      <c r="A4" s="407" t="str">
        <f>+'COSTO+COMPUTO'!A4:S4</f>
        <v>OBRA: Vivienda Familiar tipo duplex</v>
      </c>
      <c r="B4" s="408"/>
      <c r="C4" s="408"/>
      <c r="D4" s="408"/>
      <c r="E4" s="408"/>
      <c r="F4" s="409"/>
    </row>
    <row r="5" spans="1:9" x14ac:dyDescent="0.25">
      <c r="A5" s="407" t="str">
        <f>+'COSTO+COMPUTO'!A5:S5</f>
        <v>DIRECCION: POSADAS</v>
      </c>
      <c r="B5" s="408"/>
      <c r="C5" s="408"/>
      <c r="D5" s="408"/>
      <c r="E5" s="408"/>
      <c r="F5" s="409"/>
    </row>
    <row r="6" spans="1:9" ht="13.8" thickBot="1" x14ac:dyDescent="0.3">
      <c r="A6" s="410" t="str">
        <f>+'COSTO+COMPUTO'!A6:S6</f>
        <v>FECHA: 13/12/2024</v>
      </c>
      <c r="B6" s="411"/>
      <c r="C6" s="411"/>
      <c r="D6" s="411"/>
      <c r="E6" s="411"/>
      <c r="F6" s="412"/>
    </row>
    <row r="8" spans="1:9" ht="13.8" thickBot="1" x14ac:dyDescent="0.3"/>
    <row r="9" spans="1:9" ht="15" thickTop="1" thickBot="1" x14ac:dyDescent="0.3">
      <c r="A9" s="390" t="s">
        <v>56</v>
      </c>
      <c r="B9" s="390"/>
      <c r="C9" s="390"/>
      <c r="D9" s="390"/>
      <c r="E9" s="390"/>
      <c r="F9" s="390"/>
    </row>
    <row r="10" spans="1:9" ht="16.8" thickTop="1" thickBot="1" x14ac:dyDescent="0.3">
      <c r="A10" s="391" t="s">
        <v>57</v>
      </c>
      <c r="B10" s="393" t="s">
        <v>1</v>
      </c>
      <c r="C10" s="397" t="s">
        <v>3</v>
      </c>
      <c r="D10" s="399" t="s">
        <v>4</v>
      </c>
      <c r="E10" s="401" t="s">
        <v>22</v>
      </c>
      <c r="F10" s="402"/>
    </row>
    <row r="11" spans="1:9" ht="13.8" thickTop="1" x14ac:dyDescent="0.25">
      <c r="A11" s="392"/>
      <c r="B11" s="394"/>
      <c r="C11" s="398"/>
      <c r="D11" s="400"/>
      <c r="E11" s="16" t="s">
        <v>21</v>
      </c>
      <c r="F11" s="17" t="s">
        <v>20</v>
      </c>
      <c r="G11" s="17" t="s">
        <v>66</v>
      </c>
      <c r="H11" s="17" t="s">
        <v>65</v>
      </c>
    </row>
    <row r="12" spans="1:9" x14ac:dyDescent="0.25">
      <c r="A12" s="18">
        <v>1</v>
      </c>
      <c r="B12" s="4" t="e">
        <f>+'ANALISIS DE PRECIOS '!#REF!</f>
        <v>#REF!</v>
      </c>
      <c r="C12" s="4" t="s">
        <v>3</v>
      </c>
      <c r="D12" s="19">
        <v>1</v>
      </c>
      <c r="E12" s="6">
        <v>1500</v>
      </c>
      <c r="F12" s="6">
        <f>+D12*E12</f>
        <v>1500</v>
      </c>
      <c r="G12" s="4"/>
      <c r="H12" s="20">
        <v>44109</v>
      </c>
    </row>
    <row r="13" spans="1:9" x14ac:dyDescent="0.25">
      <c r="A13" s="18">
        <v>2</v>
      </c>
      <c r="B13" s="4" t="e">
        <f>+'ANALISIS DE PRECIOS '!#REF!</f>
        <v>#REF!</v>
      </c>
      <c r="C13" s="4" t="s">
        <v>59</v>
      </c>
      <c r="D13" s="5" t="e">
        <f>ROUNDUP(+'ANALISIS DE PRECIOS '!#REF!/50,0)</f>
        <v>#REF!</v>
      </c>
      <c r="E13" s="6">
        <v>550</v>
      </c>
      <c r="F13" s="6" t="e">
        <f>+D13*E13</f>
        <v>#REF!</v>
      </c>
      <c r="G13" s="4"/>
      <c r="H13" s="20">
        <v>44109</v>
      </c>
    </row>
    <row r="14" spans="1:9" x14ac:dyDescent="0.25">
      <c r="A14" s="18">
        <v>3</v>
      </c>
      <c r="B14" s="4" t="e">
        <f>+'ANALISIS DE PRECIOS '!#REF!</f>
        <v>#REF!</v>
      </c>
      <c r="C14" s="4" t="s">
        <v>31</v>
      </c>
      <c r="D14" s="21" t="e">
        <f>+'ANALISIS DE PRECIOS '!#REF!</f>
        <v>#REF!</v>
      </c>
      <c r="E14" s="6">
        <v>1400</v>
      </c>
      <c r="F14" s="6">
        <f>+E14</f>
        <v>1400</v>
      </c>
      <c r="G14" s="4"/>
      <c r="H14" s="22">
        <v>44102</v>
      </c>
      <c r="I14" s="23"/>
    </row>
    <row r="15" spans="1:9" x14ac:dyDescent="0.25">
      <c r="A15" s="18">
        <v>4</v>
      </c>
      <c r="B15" s="4" t="e">
        <f>+'ANALISIS DE PRECIOS '!#REF!</f>
        <v>#REF!</v>
      </c>
      <c r="C15" s="4" t="s">
        <v>31</v>
      </c>
      <c r="D15" s="5">
        <v>2</v>
      </c>
      <c r="E15" s="6">
        <v>1050</v>
      </c>
      <c r="F15" s="6">
        <f>+D15*E15</f>
        <v>2100</v>
      </c>
      <c r="G15" s="4"/>
      <c r="H15" s="22">
        <v>44102</v>
      </c>
    </row>
    <row r="16" spans="1:9" x14ac:dyDescent="0.25">
      <c r="A16" s="18">
        <v>5</v>
      </c>
      <c r="B16" s="4" t="e">
        <f>+'ANALISIS DE PRECIOS '!#REF!</f>
        <v>#REF!</v>
      </c>
      <c r="C16" s="4" t="s">
        <v>60</v>
      </c>
      <c r="D16" s="24">
        <v>13</v>
      </c>
      <c r="E16" s="6">
        <v>781</v>
      </c>
      <c r="F16" s="6">
        <f>+D16*E16</f>
        <v>10153</v>
      </c>
      <c r="G16" s="4" t="s">
        <v>63</v>
      </c>
      <c r="H16" s="22">
        <v>44102</v>
      </c>
      <c r="I16" s="9"/>
    </row>
    <row r="17" spans="1:13" x14ac:dyDescent="0.25">
      <c r="A17" s="18">
        <v>6</v>
      </c>
      <c r="B17" s="4" t="s">
        <v>58</v>
      </c>
      <c r="C17" s="4" t="s">
        <v>60</v>
      </c>
      <c r="D17" s="24">
        <v>8</v>
      </c>
      <c r="E17" s="6">
        <f>+I17</f>
        <v>371.60250000000002</v>
      </c>
      <c r="F17" s="6">
        <f>+D17*E17</f>
        <v>2972.82</v>
      </c>
      <c r="G17" s="4" t="s">
        <v>64</v>
      </c>
      <c r="H17" s="22">
        <v>44103</v>
      </c>
      <c r="I17" s="1">
        <f>2972.82/8</f>
        <v>371.60250000000002</v>
      </c>
    </row>
    <row r="18" spans="1:13" x14ac:dyDescent="0.25">
      <c r="A18" s="18">
        <v>7</v>
      </c>
      <c r="B18" s="4" t="e">
        <f>+'ANALISIS DE PRECIOS '!#REF!</f>
        <v>#REF!</v>
      </c>
      <c r="C18" s="4" t="s">
        <v>46</v>
      </c>
      <c r="D18" s="25">
        <v>1</v>
      </c>
      <c r="E18" s="6">
        <v>187.2</v>
      </c>
      <c r="F18" s="6">
        <f>187.2+560</f>
        <v>747.2</v>
      </c>
      <c r="G18" s="4" t="s">
        <v>64</v>
      </c>
      <c r="H18" s="22">
        <v>44103</v>
      </c>
      <c r="I18" s="23"/>
    </row>
    <row r="19" spans="1:13" x14ac:dyDescent="0.25">
      <c r="A19" s="4">
        <v>8</v>
      </c>
      <c r="B19" s="4" t="e">
        <f>+'ANALISIS DE PRECIOS '!#REF!</f>
        <v>#REF!</v>
      </c>
      <c r="C19" s="4" t="s">
        <v>51</v>
      </c>
      <c r="D19" s="26">
        <f>2.1*5</f>
        <v>10.5</v>
      </c>
      <c r="E19" s="6">
        <v>200</v>
      </c>
      <c r="F19" s="6"/>
      <c r="G19" s="4"/>
      <c r="H19" s="4"/>
    </row>
    <row r="20" spans="1:13" x14ac:dyDescent="0.25">
      <c r="A20" s="4">
        <v>9</v>
      </c>
      <c r="B20" s="4" t="e">
        <f>+'ANALISIS DE PRECIOS '!#REF!</f>
        <v>#REF!</v>
      </c>
      <c r="C20" s="4" t="s">
        <v>51</v>
      </c>
      <c r="D20" s="24">
        <f>10*2.3</f>
        <v>23</v>
      </c>
      <c r="E20" s="6">
        <v>250</v>
      </c>
      <c r="F20" s="6"/>
      <c r="G20" s="4"/>
      <c r="H20" s="4"/>
    </row>
    <row r="21" spans="1:13" x14ac:dyDescent="0.25">
      <c r="A21" s="18">
        <v>10</v>
      </c>
      <c r="B21" s="4" t="e">
        <f>+'ANALISIS DE PRECIOS '!#REF!</f>
        <v>#REF!</v>
      </c>
      <c r="C21" s="4" t="s">
        <v>46</v>
      </c>
      <c r="D21" s="5">
        <v>2</v>
      </c>
      <c r="E21" s="6">
        <v>171</v>
      </c>
      <c r="F21" s="6"/>
      <c r="G21" s="4"/>
      <c r="H21" s="4"/>
    </row>
    <row r="22" spans="1:13" x14ac:dyDescent="0.25">
      <c r="A22" s="4">
        <v>11</v>
      </c>
      <c r="B22" s="4" t="e">
        <f>+'ANALISIS DE PRECIOS '!#REF!</f>
        <v>#REF!</v>
      </c>
      <c r="C22" s="4" t="s">
        <v>3</v>
      </c>
      <c r="D22" s="5" t="e">
        <f>+'ANALISIS DE PRECIOS '!#REF!</f>
        <v>#REF!</v>
      </c>
      <c r="E22" s="6">
        <v>39</v>
      </c>
      <c r="F22" s="6" t="e">
        <f>+D22*E22</f>
        <v>#REF!</v>
      </c>
      <c r="G22" s="4"/>
      <c r="H22" s="20">
        <v>44110</v>
      </c>
    </row>
    <row r="23" spans="1:13" x14ac:dyDescent="0.25">
      <c r="A23" s="18">
        <v>12</v>
      </c>
      <c r="B23" s="4" t="e">
        <f>+'ANALISIS DE PRECIOS '!#REF!</f>
        <v>#REF!</v>
      </c>
      <c r="C23" s="4" t="s">
        <v>46</v>
      </c>
      <c r="D23" s="5">
        <v>4</v>
      </c>
      <c r="E23" s="6">
        <v>480</v>
      </c>
      <c r="F23" s="6">
        <f>+D23*E23</f>
        <v>1920</v>
      </c>
      <c r="G23" s="4"/>
      <c r="H23" s="20">
        <v>44109</v>
      </c>
      <c r="L23" s="7"/>
    </row>
    <row r="24" spans="1:13" x14ac:dyDescent="0.25">
      <c r="A24" s="27">
        <v>13</v>
      </c>
      <c r="B24" s="28" t="s">
        <v>77</v>
      </c>
      <c r="C24" s="28" t="s">
        <v>53</v>
      </c>
      <c r="D24" s="29"/>
      <c r="E24" s="30"/>
      <c r="F24" s="6">
        <f>381.2+350+350+726</f>
        <v>1807.2</v>
      </c>
      <c r="G24" s="4"/>
      <c r="H24" s="20"/>
      <c r="L24" s="7"/>
    </row>
    <row r="25" spans="1:13" x14ac:dyDescent="0.25">
      <c r="A25" s="395" t="s">
        <v>61</v>
      </c>
      <c r="B25" s="403"/>
      <c r="C25" s="403"/>
      <c r="D25" s="403"/>
      <c r="E25" s="396"/>
      <c r="F25" s="6" t="e">
        <f>SUM(F12:F24)</f>
        <v>#REF!</v>
      </c>
      <c r="G25" s="4"/>
      <c r="H25" s="31"/>
      <c r="I25" s="23"/>
      <c r="L25" s="23"/>
    </row>
    <row r="26" spans="1:13" ht="13.8" thickBot="1" x14ac:dyDescent="0.3">
      <c r="E26" s="395" t="s">
        <v>69</v>
      </c>
      <c r="F26" s="396"/>
      <c r="I26" s="23" t="s">
        <v>80</v>
      </c>
      <c r="L26" s="23"/>
      <c r="M26" s="23"/>
    </row>
    <row r="27" spans="1:13" x14ac:dyDescent="0.25">
      <c r="E27" s="2">
        <v>44097</v>
      </c>
      <c r="F27" s="11">
        <v>20000</v>
      </c>
      <c r="G27" s="13" t="s">
        <v>70</v>
      </c>
      <c r="H27" s="32">
        <f>2500+400</f>
        <v>2900</v>
      </c>
      <c r="I27" s="8">
        <v>44106</v>
      </c>
      <c r="J27" s="388" t="s">
        <v>70</v>
      </c>
      <c r="K27" s="389"/>
    </row>
    <row r="28" spans="1:13" x14ac:dyDescent="0.25">
      <c r="E28" s="2">
        <v>44106</v>
      </c>
      <c r="F28" s="11">
        <v>30000</v>
      </c>
      <c r="G28" s="14" t="s">
        <v>71</v>
      </c>
      <c r="H28" s="33">
        <v>460</v>
      </c>
      <c r="I28" s="8">
        <v>44105</v>
      </c>
      <c r="J28" s="14" t="str">
        <f>+G27</f>
        <v>mano de obra</v>
      </c>
      <c r="K28" s="10">
        <f>+H27</f>
        <v>2900</v>
      </c>
    </row>
    <row r="29" spans="1:13" x14ac:dyDescent="0.25">
      <c r="E29" s="2">
        <v>44111</v>
      </c>
      <c r="F29" s="11">
        <v>20000</v>
      </c>
      <c r="G29" s="14" t="s">
        <v>72</v>
      </c>
      <c r="H29" s="33">
        <v>10000</v>
      </c>
      <c r="I29" s="8">
        <v>44111</v>
      </c>
      <c r="J29" s="14" t="str">
        <f>+G29</f>
        <v>vico</v>
      </c>
      <c r="K29" s="10">
        <f>+H29</f>
        <v>10000</v>
      </c>
    </row>
    <row r="30" spans="1:13" x14ac:dyDescent="0.25">
      <c r="E30" s="2"/>
      <c r="F30" s="11"/>
      <c r="G30" s="15" t="s">
        <v>73</v>
      </c>
      <c r="H30" s="33">
        <v>3100</v>
      </c>
      <c r="I30" s="8">
        <v>44113</v>
      </c>
      <c r="J30" s="14" t="str">
        <f>+G30</f>
        <v>esteban</v>
      </c>
      <c r="K30" s="10">
        <f>+H30</f>
        <v>3100</v>
      </c>
    </row>
    <row r="31" spans="1:13" x14ac:dyDescent="0.25">
      <c r="E31" s="2"/>
      <c r="F31" s="11"/>
      <c r="G31" s="15" t="s">
        <v>78</v>
      </c>
      <c r="H31" s="33">
        <f>460+476</f>
        <v>936</v>
      </c>
      <c r="J31" s="14" t="str">
        <f>+G32</f>
        <v>esteban feriado</v>
      </c>
      <c r="K31" s="10">
        <f>+H32</f>
        <v>1000</v>
      </c>
    </row>
    <row r="32" spans="1:13" x14ac:dyDescent="0.25">
      <c r="E32" s="2"/>
      <c r="F32" s="11"/>
      <c r="G32" s="15" t="s">
        <v>79</v>
      </c>
      <c r="H32" s="33">
        <v>1000</v>
      </c>
      <c r="I32" s="8">
        <v>44116</v>
      </c>
      <c r="J32" s="14" t="s">
        <v>81</v>
      </c>
      <c r="K32" s="34">
        <v>3000</v>
      </c>
    </row>
    <row r="33" spans="2:11" x14ac:dyDescent="0.25">
      <c r="E33" s="2"/>
      <c r="F33" s="11"/>
      <c r="G33" s="15" t="s">
        <v>81</v>
      </c>
      <c r="H33" s="33">
        <v>3000</v>
      </c>
      <c r="I33" s="8">
        <v>44120</v>
      </c>
      <c r="J33" s="14"/>
      <c r="K33" s="34"/>
    </row>
    <row r="34" spans="2:11" x14ac:dyDescent="0.25">
      <c r="E34" s="2"/>
      <c r="F34" s="11"/>
      <c r="G34" s="15" t="s">
        <v>82</v>
      </c>
      <c r="H34" s="33">
        <v>2760</v>
      </c>
      <c r="I34" s="8">
        <v>44117</v>
      </c>
      <c r="J34" s="14"/>
      <c r="K34" s="34"/>
    </row>
    <row r="35" spans="2:11" x14ac:dyDescent="0.25">
      <c r="E35" s="2"/>
      <c r="F35" s="11"/>
      <c r="G35" s="15"/>
      <c r="H35" s="33"/>
      <c r="J35" s="14"/>
      <c r="K35" s="34"/>
    </row>
    <row r="36" spans="2:11" x14ac:dyDescent="0.25">
      <c r="E36" s="2"/>
      <c r="F36" s="11"/>
      <c r="G36" s="15"/>
      <c r="H36" s="33"/>
      <c r="J36" s="14"/>
      <c r="K36" s="34"/>
    </row>
    <row r="37" spans="2:11" x14ac:dyDescent="0.25">
      <c r="E37" s="2"/>
      <c r="F37" s="11"/>
      <c r="G37" s="14"/>
      <c r="H37" s="33"/>
      <c r="J37" s="14"/>
      <c r="K37" s="34"/>
    </row>
    <row r="38" spans="2:11" ht="13.8" x14ac:dyDescent="0.25">
      <c r="E38" s="2"/>
      <c r="F38" s="11"/>
      <c r="G38" s="35" t="s">
        <v>68</v>
      </c>
      <c r="H38" s="36" t="e">
        <f>+F25+SUM(H27:H37)</f>
        <v>#REF!</v>
      </c>
      <c r="J38" s="14"/>
      <c r="K38" s="10">
        <f>SUM(K28:K37)</f>
        <v>20000</v>
      </c>
    </row>
    <row r="39" spans="2:11" ht="14.4" thickBot="1" x14ac:dyDescent="0.3">
      <c r="E39" s="3" t="s">
        <v>61</v>
      </c>
      <c r="F39" s="12">
        <f>SUM(F27:F38)</f>
        <v>70000</v>
      </c>
      <c r="G39" s="37" t="s">
        <v>67</v>
      </c>
      <c r="H39" s="38" t="e">
        <f>+F39-H38</f>
        <v>#REF!</v>
      </c>
      <c r="J39" s="39"/>
      <c r="K39" s="40" t="e">
        <f>+#REF!-K38</f>
        <v>#REF!</v>
      </c>
    </row>
    <row r="41" spans="2:11" ht="13.8" thickBot="1" x14ac:dyDescent="0.3"/>
    <row r="42" spans="2:11" ht="15" thickTop="1" thickBot="1" x14ac:dyDescent="0.3">
      <c r="B42" s="41" t="s">
        <v>76</v>
      </c>
      <c r="C42" s="41">
        <v>1</v>
      </c>
      <c r="D42" s="41">
        <v>2</v>
      </c>
      <c r="E42" s="41">
        <v>3</v>
      </c>
      <c r="F42" s="41">
        <v>4</v>
      </c>
      <c r="G42" s="41"/>
    </row>
    <row r="43" spans="2:11" ht="15" thickTop="1" thickBot="1" x14ac:dyDescent="0.3">
      <c r="B43" s="41" t="s">
        <v>74</v>
      </c>
      <c r="C43" s="4">
        <v>4</v>
      </c>
      <c r="D43" s="4">
        <v>3</v>
      </c>
      <c r="E43" s="4">
        <v>5</v>
      </c>
      <c r="F43" s="4">
        <v>5</v>
      </c>
      <c r="G43" s="4">
        <f>SUM(C43:F43)*'COSTOS INDIVIDUALES'!N10</f>
        <v>54400</v>
      </c>
    </row>
    <row r="44" spans="2:11" ht="15" thickTop="1" thickBot="1" x14ac:dyDescent="0.3">
      <c r="B44" s="41" t="s">
        <v>75</v>
      </c>
      <c r="C44" s="4">
        <v>3</v>
      </c>
      <c r="D44" s="4">
        <v>3</v>
      </c>
      <c r="E44" s="4">
        <v>5</v>
      </c>
      <c r="F44" s="4">
        <v>5</v>
      </c>
      <c r="G44" s="4">
        <f>SUM(C44:F44)*'COSTOS INDIVIDUALES'!N11</f>
        <v>46400</v>
      </c>
    </row>
    <row r="45" spans="2:11" ht="15" thickTop="1" thickBot="1" x14ac:dyDescent="0.3">
      <c r="B45" s="41" t="s">
        <v>62</v>
      </c>
      <c r="C45" s="4">
        <f>(C43*'COSTOS INDIVIDUALES'!$N$10)+(C44*'COSTOS INDIVIDUALES'!$N$11)</f>
        <v>21500</v>
      </c>
      <c r="D45" s="4">
        <f>(D43*'COSTOS INDIVIDUALES'!$N$10)+(D44*'COSTOS INDIVIDUALES'!$N$11)</f>
        <v>18300</v>
      </c>
      <c r="E45" s="4">
        <f>(E43*'COSTOS INDIVIDUALES'!$N$10)+(E44*'COSTOS INDIVIDUALES'!$N$11)</f>
        <v>30500</v>
      </c>
      <c r="F45" s="4">
        <f>(F43*'COSTOS INDIVIDUALES'!$N$10)+(F44*'COSTOS INDIVIDUALES'!$N$11)</f>
        <v>30500</v>
      </c>
      <c r="G45" s="4">
        <f>SUM(C45:F45)</f>
        <v>100800</v>
      </c>
    </row>
    <row r="46" spans="2:11" ht="13.8" thickTop="1" x14ac:dyDescent="0.25"/>
  </sheetData>
  <mergeCells count="15">
    <mergeCell ref="A1:F1"/>
    <mergeCell ref="A2:F2"/>
    <mergeCell ref="A3:F3"/>
    <mergeCell ref="A4:F4"/>
    <mergeCell ref="A5:F5"/>
    <mergeCell ref="A6:F6"/>
    <mergeCell ref="J27:K27"/>
    <mergeCell ref="A9:F9"/>
    <mergeCell ref="A10:A11"/>
    <mergeCell ref="B10:B11"/>
    <mergeCell ref="E26:F26"/>
    <mergeCell ref="C10:C11"/>
    <mergeCell ref="D10:D11"/>
    <mergeCell ref="E10:F10"/>
    <mergeCell ref="A25:E25"/>
  </mergeCells>
  <phoneticPr fontId="4" type="noConversion"/>
  <pageMargins left="0.25" right="0.25" top="0.75" bottom="0.75" header="0.3" footer="0.3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8D10-5568-4BD2-B131-7F3A38CA0552}">
  <sheetPr>
    <pageSetUpPr fitToPage="1"/>
  </sheetPr>
  <dimension ref="A1:AM161"/>
  <sheetViews>
    <sheetView zoomScaleNormal="100" workbookViewId="0">
      <selection activeCell="G19" sqref="G19"/>
    </sheetView>
  </sheetViews>
  <sheetFormatPr baseColWidth="10" defaultColWidth="11.44140625" defaultRowHeight="13.2" x14ac:dyDescent="0.25"/>
  <cols>
    <col min="1" max="1" width="6.33203125" style="65" customWidth="1"/>
    <col min="2" max="2" width="46.109375" style="1" customWidth="1"/>
    <col min="3" max="3" width="16.6640625" style="115" customWidth="1"/>
    <col min="4" max="4" width="13.109375" style="89" customWidth="1"/>
    <col min="5" max="6" width="16.5546875" style="1" bestFit="1" customWidth="1"/>
    <col min="7" max="7" width="15.109375" style="1" bestFit="1" customWidth="1"/>
    <col min="8" max="8" width="16.5546875" style="1" bestFit="1" customWidth="1"/>
    <col min="9" max="9" width="15.109375" style="1" bestFit="1" customWidth="1"/>
    <col min="10" max="10" width="16.5546875" style="1" bestFit="1" customWidth="1"/>
    <col min="11" max="11" width="15.109375" style="1" bestFit="1" customWidth="1"/>
    <col min="12" max="12" width="16.5546875" style="1" bestFit="1" customWidth="1"/>
    <col min="13" max="16384" width="11.44140625" style="1"/>
  </cols>
  <sheetData>
    <row r="1" spans="1:39" ht="15.75" customHeight="1" x14ac:dyDescent="0.25">
      <c r="A1" s="43" t="str">
        <f>+'COSTO+COMPUTO'!A1:S1</f>
        <v>REALE.arq</v>
      </c>
      <c r="B1" s="44"/>
      <c r="C1" s="45"/>
      <c r="D1" s="46"/>
      <c r="E1" s="46"/>
      <c r="F1"/>
      <c r="G1"/>
    </row>
    <row r="2" spans="1:39" ht="15.75" customHeight="1" x14ac:dyDescent="0.25">
      <c r="A2" s="43" t="str">
        <f>+'COSTO+COMPUTO'!A2:S2</f>
        <v>Tel./Fax.: 376-154397658 / Email: reale.arq@gmail.com</v>
      </c>
      <c r="B2" s="44"/>
      <c r="C2" s="45"/>
      <c r="D2" s="46"/>
      <c r="E2" s="46"/>
      <c r="F2"/>
      <c r="G2"/>
    </row>
    <row r="3" spans="1:39" ht="15.75" customHeight="1" x14ac:dyDescent="0.25">
      <c r="A3" s="43" t="str">
        <f>+'COSTO+COMPUTO'!A3:S3</f>
        <v>COMITENTE: Marcela Alegre</v>
      </c>
      <c r="B3" s="44"/>
      <c r="C3" s="45"/>
      <c r="D3" s="46"/>
      <c r="E3" s="46"/>
      <c r="F3"/>
      <c r="G3"/>
    </row>
    <row r="4" spans="1:39" s="47" customFormat="1" ht="15.75" customHeight="1" x14ac:dyDescent="0.3">
      <c r="A4" s="43" t="str">
        <f>+'COSTO+COMPUTO'!A4:S4</f>
        <v>OBRA: Vivienda Familiar tipo duplex</v>
      </c>
      <c r="B4" s="44"/>
      <c r="C4" s="45"/>
      <c r="D4" s="46"/>
      <c r="E4" s="46"/>
      <c r="F4"/>
      <c r="G4"/>
    </row>
    <row r="5" spans="1:39" s="47" customFormat="1" ht="15.75" customHeight="1" x14ac:dyDescent="0.3">
      <c r="A5" s="43" t="str">
        <f>+'COSTO+COMPUTO'!A5:S5</f>
        <v>DIRECCION: POSADAS</v>
      </c>
      <c r="B5" s="44"/>
      <c r="C5" s="45"/>
      <c r="D5" s="46"/>
      <c r="E5" s="46"/>
      <c r="F5"/>
      <c r="G5"/>
    </row>
    <row r="6" spans="1:39" s="47" customFormat="1" ht="15.75" customHeight="1" thickBot="1" x14ac:dyDescent="0.35">
      <c r="A6" s="43" t="str">
        <f>+'COSTO+COMPUTO'!A6:S6</f>
        <v>FECHA: 13/12/2024</v>
      </c>
      <c r="B6" s="44"/>
      <c r="C6" s="45"/>
      <c r="D6" s="46"/>
      <c r="E6" s="48"/>
      <c r="F6"/>
      <c r="G6"/>
    </row>
    <row r="7" spans="1:39" s="47" customFormat="1" ht="18" thickBot="1" x14ac:dyDescent="0.35">
      <c r="A7" s="414" t="s">
        <v>179</v>
      </c>
      <c r="B7" s="415"/>
      <c r="C7" s="415"/>
      <c r="D7" s="416"/>
      <c r="E7" s="417" t="s">
        <v>180</v>
      </c>
      <c r="F7" s="418"/>
      <c r="G7" s="417" t="s">
        <v>181</v>
      </c>
      <c r="H7" s="418"/>
      <c r="I7" s="417" t="s">
        <v>182</v>
      </c>
      <c r="J7" s="419"/>
      <c r="K7" s="417" t="s">
        <v>183</v>
      </c>
      <c r="L7" s="418"/>
      <c r="M7" s="413"/>
      <c r="N7" s="413"/>
    </row>
    <row r="8" spans="1:39" ht="16.2" thickBot="1" x14ac:dyDescent="0.35">
      <c r="A8" s="49" t="s">
        <v>0</v>
      </c>
      <c r="B8" s="50" t="s">
        <v>184</v>
      </c>
      <c r="C8" s="51" t="s">
        <v>185</v>
      </c>
      <c r="D8" s="52" t="s">
        <v>186</v>
      </c>
      <c r="E8" s="53" t="s">
        <v>187</v>
      </c>
      <c r="F8" s="54" t="s">
        <v>188</v>
      </c>
      <c r="G8" s="53" t="s">
        <v>187</v>
      </c>
      <c r="H8" s="54" t="s">
        <v>188</v>
      </c>
      <c r="I8" s="53" t="s">
        <v>187</v>
      </c>
      <c r="J8" s="133" t="s">
        <v>188</v>
      </c>
      <c r="K8" s="53" t="s">
        <v>187</v>
      </c>
      <c r="L8" s="54" t="s">
        <v>188</v>
      </c>
      <c r="M8" s="55"/>
      <c r="N8" s="55"/>
    </row>
    <row r="9" spans="1:39" s="42" customFormat="1" ht="15.6" x14ac:dyDescent="0.3">
      <c r="A9" s="56">
        <v>1</v>
      </c>
      <c r="B9" s="57" t="str">
        <f>+'COSTO+COMPUTO'!B12:C12</f>
        <v>TRABAJOS  PRELIMINARES</v>
      </c>
      <c r="C9" s="58">
        <f>+'COSTO+COMPUTO'!S12</f>
        <v>1404209.1433326858</v>
      </c>
      <c r="D9" s="130">
        <f>+C9/$C$25</f>
        <v>1.0697256449559342E-2</v>
      </c>
      <c r="E9" s="131">
        <f>+D9*F9</f>
        <v>1.0697256449559342E-2</v>
      </c>
      <c r="F9" s="60">
        <v>1</v>
      </c>
      <c r="G9" s="131">
        <f t="shared" ref="G9:G24" si="0">+D9*H9</f>
        <v>0</v>
      </c>
      <c r="H9" s="61"/>
      <c r="I9" s="131">
        <f t="shared" ref="I9:I24" si="1">+D9*J9</f>
        <v>0</v>
      </c>
      <c r="J9" s="60"/>
      <c r="K9" s="131">
        <f t="shared" ref="K9:K24" si="2">+D9*L9</f>
        <v>0</v>
      </c>
      <c r="L9" s="61"/>
      <c r="M9" s="60"/>
      <c r="N9" s="60"/>
      <c r="O9" s="132"/>
    </row>
    <row r="10" spans="1:39" s="42" customFormat="1" ht="15.6" x14ac:dyDescent="0.3">
      <c r="A10" s="56">
        <f>+[1]COMPUTO!A21</f>
        <v>2</v>
      </c>
      <c r="B10" s="57" t="str">
        <f>+'COSTO+COMPUTO'!B17</f>
        <v>MOVIMIENTO  DE  SUELOS</v>
      </c>
      <c r="C10" s="58">
        <f>+'COSTO+COMPUTO'!S17</f>
        <v>1611577.7684493761</v>
      </c>
      <c r="D10" s="130">
        <f t="shared" ref="D10:D24" si="3">+C10/$C$25</f>
        <v>1.227698933550325E-2</v>
      </c>
      <c r="E10" s="131">
        <f t="shared" ref="E10:E24" si="4">+D10*F10</f>
        <v>1.227698933550325E-2</v>
      </c>
      <c r="F10" s="60">
        <v>1</v>
      </c>
      <c r="G10" s="131">
        <f t="shared" si="0"/>
        <v>0</v>
      </c>
      <c r="H10" s="61"/>
      <c r="I10" s="131">
        <f t="shared" si="1"/>
        <v>0</v>
      </c>
      <c r="J10" s="60"/>
      <c r="K10" s="131">
        <f t="shared" si="2"/>
        <v>0</v>
      </c>
      <c r="L10" s="61"/>
      <c r="M10" s="60"/>
      <c r="N10" s="60"/>
      <c r="O10" s="132"/>
    </row>
    <row r="11" spans="1:39" ht="15.6" x14ac:dyDescent="0.3">
      <c r="A11" s="56">
        <v>3</v>
      </c>
      <c r="B11" s="57" t="str">
        <f>+'COSTO+COMPUTO'!B31</f>
        <v>HORMIGON ARMADO</v>
      </c>
      <c r="C11" s="58">
        <f>+'COSTO+COMPUTO'!S31</f>
        <v>25340551.808139753</v>
      </c>
      <c r="D11" s="130">
        <f t="shared" si="3"/>
        <v>0.1930441647899116</v>
      </c>
      <c r="E11" s="131">
        <f t="shared" si="4"/>
        <v>0.13513091535293811</v>
      </c>
      <c r="F11" s="60">
        <v>0.7</v>
      </c>
      <c r="G11" s="131">
        <f t="shared" si="0"/>
        <v>5.7913249436973478E-2</v>
      </c>
      <c r="H11" s="61">
        <v>0.3</v>
      </c>
      <c r="I11" s="131">
        <f t="shared" si="1"/>
        <v>0</v>
      </c>
      <c r="J11" s="55"/>
      <c r="K11" s="131">
        <f t="shared" si="2"/>
        <v>0</v>
      </c>
      <c r="L11" s="61"/>
      <c r="M11" s="60"/>
      <c r="N11" s="60"/>
      <c r="O11" s="132"/>
    </row>
    <row r="12" spans="1:39" ht="15.6" x14ac:dyDescent="0.3">
      <c r="A12" s="56">
        <v>4</v>
      </c>
      <c r="B12" s="57" t="str">
        <f>+'COSTO+COMPUTO'!B83</f>
        <v>CONTRAPISOS. CARPETAS Y PISOS</v>
      </c>
      <c r="C12" s="58">
        <f>+'COSTO+COMPUTO'!S83</f>
        <v>20878776.144263159</v>
      </c>
      <c r="D12" s="130">
        <f t="shared" si="3"/>
        <v>0.15905438575769881</v>
      </c>
      <c r="E12" s="131">
        <f t="shared" si="4"/>
        <v>0.11133807003038916</v>
      </c>
      <c r="F12" s="60">
        <v>0.7</v>
      </c>
      <c r="G12" s="131">
        <f t="shared" si="0"/>
        <v>4.7716315727309645E-2</v>
      </c>
      <c r="H12" s="61">
        <v>0.3</v>
      </c>
      <c r="I12" s="131">
        <f t="shared" si="1"/>
        <v>0</v>
      </c>
      <c r="J12" s="55"/>
      <c r="K12" s="131">
        <f t="shared" si="2"/>
        <v>0</v>
      </c>
      <c r="L12" s="61"/>
      <c r="M12" s="60"/>
      <c r="N12" s="60"/>
      <c r="O12" s="132"/>
    </row>
    <row r="13" spans="1:39" ht="15.6" x14ac:dyDescent="0.3">
      <c r="A13" s="56">
        <v>5</v>
      </c>
      <c r="B13" s="57" t="str">
        <f>+'COSTO+COMPUTO'!B110</f>
        <v>MAMPOSTERIA</v>
      </c>
      <c r="C13" s="58">
        <f>+'COSTO+COMPUTO'!S110</f>
        <v>8844896.4390521832</v>
      </c>
      <c r="D13" s="130">
        <f t="shared" si="3"/>
        <v>6.7380365615465107E-2</v>
      </c>
      <c r="E13" s="131">
        <f t="shared" si="4"/>
        <v>1.3476073123093022E-2</v>
      </c>
      <c r="F13" s="60">
        <v>0.2</v>
      </c>
      <c r="G13" s="131">
        <f t="shared" si="0"/>
        <v>4.7166255930825574E-2</v>
      </c>
      <c r="H13" s="61">
        <v>0.7</v>
      </c>
      <c r="I13" s="131">
        <f>+D13*J13</f>
        <v>6.7380365615465109E-3</v>
      </c>
      <c r="J13" s="60">
        <v>0.1</v>
      </c>
      <c r="K13" s="131">
        <f t="shared" si="2"/>
        <v>0</v>
      </c>
      <c r="L13" s="61"/>
      <c r="M13" s="60"/>
      <c r="N13" s="60"/>
      <c r="O13" s="132"/>
    </row>
    <row r="14" spans="1:39" ht="15.6" x14ac:dyDescent="0.3">
      <c r="A14" s="56">
        <v>6</v>
      </c>
      <c r="B14" s="57" t="str">
        <f>+'COSTO+COMPUTO'!B129</f>
        <v>AISLACIONES</v>
      </c>
      <c r="C14" s="58">
        <f>+'COSTO+COMPUTO'!S129</f>
        <v>673152.08427719981</v>
      </c>
      <c r="D14" s="130">
        <f t="shared" si="3"/>
        <v>5.1280683573804026E-3</v>
      </c>
      <c r="E14" s="131">
        <f t="shared" si="4"/>
        <v>2.5640341786902013E-3</v>
      </c>
      <c r="F14" s="60">
        <v>0.5</v>
      </c>
      <c r="G14" s="131">
        <f t="shared" si="0"/>
        <v>2.5640341786902013E-3</v>
      </c>
      <c r="H14" s="61">
        <v>0.5</v>
      </c>
      <c r="I14" s="131">
        <f t="shared" si="1"/>
        <v>0</v>
      </c>
      <c r="J14" s="60"/>
      <c r="K14" s="131">
        <f t="shared" si="2"/>
        <v>0</v>
      </c>
      <c r="L14" s="61"/>
      <c r="M14" s="60"/>
      <c r="N14" s="60"/>
      <c r="O14" s="132"/>
    </row>
    <row r="15" spans="1:39" ht="15.6" x14ac:dyDescent="0.3">
      <c r="A15" s="56">
        <v>7</v>
      </c>
      <c r="B15" s="57" t="str">
        <f>+'COSTO+COMPUTO'!B137</f>
        <v>CUBIERTAS DE TECHO</v>
      </c>
      <c r="C15" s="58">
        <f>+'COSTO+COMPUTO'!S137</f>
        <v>9757561.3502007723</v>
      </c>
      <c r="D15" s="130">
        <f t="shared" si="3"/>
        <v>7.4333041186213533E-2</v>
      </c>
      <c r="E15" s="131">
        <f t="shared" si="4"/>
        <v>0</v>
      </c>
      <c r="F15" s="60"/>
      <c r="G15" s="131">
        <f t="shared" si="0"/>
        <v>7.4333041186213533E-2</v>
      </c>
      <c r="H15" s="61">
        <v>1</v>
      </c>
      <c r="I15" s="131">
        <f t="shared" si="1"/>
        <v>0</v>
      </c>
      <c r="J15" s="60"/>
      <c r="K15" s="131">
        <f t="shared" si="2"/>
        <v>0</v>
      </c>
      <c r="L15" s="61"/>
      <c r="M15" s="60"/>
      <c r="N15" s="60"/>
      <c r="O15" s="132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</row>
    <row r="16" spans="1:39" ht="15" customHeight="1" x14ac:dyDescent="0.3">
      <c r="A16" s="56">
        <v>8</v>
      </c>
      <c r="B16" s="62" t="str">
        <f>+'COSTO+COMPUTO'!B150</f>
        <v>REVOQUES</v>
      </c>
      <c r="C16" s="58">
        <f>+'COSTO+COMPUTO'!S150</f>
        <v>10588984.507441705</v>
      </c>
      <c r="D16" s="130">
        <f t="shared" si="3"/>
        <v>8.0666817585076794E-2</v>
      </c>
      <c r="E16" s="131">
        <f t="shared" si="4"/>
        <v>0</v>
      </c>
      <c r="F16" s="60"/>
      <c r="G16" s="131">
        <f t="shared" si="0"/>
        <v>0</v>
      </c>
      <c r="H16" s="63"/>
      <c r="I16" s="131">
        <f t="shared" si="1"/>
        <v>6.4533454068061435E-2</v>
      </c>
      <c r="J16" s="60">
        <v>0.8</v>
      </c>
      <c r="K16" s="131">
        <f t="shared" si="2"/>
        <v>1.6133363517015359E-2</v>
      </c>
      <c r="L16" s="61">
        <v>0.2</v>
      </c>
      <c r="M16" s="60"/>
      <c r="N16" s="60"/>
      <c r="O16" s="132"/>
    </row>
    <row r="17" spans="1:15" ht="15.6" x14ac:dyDescent="0.3">
      <c r="A17" s="56">
        <v>9</v>
      </c>
      <c r="B17" s="57" t="str">
        <f>+'COSTO+COMPUTO'!B164</f>
        <v>CIELORRASO</v>
      </c>
      <c r="C17" s="58">
        <f>+'COSTO+COMPUTO'!S164</f>
        <v>10039695.550374599</v>
      </c>
      <c r="D17" s="130">
        <f t="shared" si="3"/>
        <v>7.6482337754164811E-2</v>
      </c>
      <c r="E17" s="131">
        <f t="shared" si="4"/>
        <v>0</v>
      </c>
      <c r="F17" s="60"/>
      <c r="G17" s="131">
        <f t="shared" si="0"/>
        <v>0</v>
      </c>
      <c r="H17" s="61"/>
      <c r="I17" s="131">
        <f t="shared" si="1"/>
        <v>3.8241168877082406E-2</v>
      </c>
      <c r="J17" s="60">
        <v>0.5</v>
      </c>
      <c r="K17" s="131">
        <f t="shared" si="2"/>
        <v>3.8241168877082406E-2</v>
      </c>
      <c r="L17" s="61">
        <v>0.5</v>
      </c>
      <c r="M17" s="60"/>
      <c r="N17" s="60"/>
      <c r="O17" s="132"/>
    </row>
    <row r="18" spans="1:15" ht="15.6" x14ac:dyDescent="0.3">
      <c r="A18" s="64">
        <v>10</v>
      </c>
      <c r="B18" s="57" t="str">
        <f>+'COSTO+COMPUTO'!B168</f>
        <v>INSTALACIONES</v>
      </c>
      <c r="C18" s="58">
        <f>+'COSTO+COMPUTO'!S168</f>
        <v>30733693.925759997</v>
      </c>
      <c r="D18" s="130">
        <f t="shared" si="3"/>
        <v>0.23412908762710388</v>
      </c>
      <c r="E18" s="131">
        <f t="shared" si="4"/>
        <v>2.3412908762710391E-2</v>
      </c>
      <c r="F18" s="60">
        <v>0.1</v>
      </c>
      <c r="G18" s="131">
        <f t="shared" si="0"/>
        <v>4.6825817525420782E-2</v>
      </c>
      <c r="H18" s="61">
        <v>0.2</v>
      </c>
      <c r="I18" s="131">
        <f t="shared" si="1"/>
        <v>0.11706454381355194</v>
      </c>
      <c r="J18" s="60">
        <v>0.5</v>
      </c>
      <c r="K18" s="131">
        <f t="shared" si="2"/>
        <v>4.6825817525420782E-2</v>
      </c>
      <c r="L18" s="61">
        <v>0.2</v>
      </c>
      <c r="M18" s="60"/>
      <c r="N18" s="60"/>
      <c r="O18" s="132"/>
    </row>
    <row r="19" spans="1:15" ht="15.6" x14ac:dyDescent="0.3">
      <c r="A19" s="64">
        <v>11</v>
      </c>
      <c r="B19" s="57" t="str">
        <f>+'COSTO+COMPUTO'!B172</f>
        <v>CARPINTERIAS</v>
      </c>
      <c r="C19" s="58">
        <f>+'COSTO+COMPUTO'!S172</f>
        <v>0</v>
      </c>
      <c r="D19" s="130">
        <f t="shared" si="3"/>
        <v>0</v>
      </c>
      <c r="E19" s="131">
        <f t="shared" si="4"/>
        <v>0</v>
      </c>
      <c r="F19" s="60"/>
      <c r="G19" s="131">
        <f t="shared" si="0"/>
        <v>0</v>
      </c>
      <c r="H19" s="61">
        <v>0</v>
      </c>
      <c r="I19" s="131">
        <f t="shared" si="1"/>
        <v>0</v>
      </c>
      <c r="J19" s="60">
        <v>0.5</v>
      </c>
      <c r="K19" s="131">
        <f t="shared" si="2"/>
        <v>0</v>
      </c>
      <c r="L19" s="61">
        <v>0.5</v>
      </c>
      <c r="M19" s="60"/>
      <c r="N19" s="60"/>
      <c r="O19" s="132"/>
    </row>
    <row r="20" spans="1:15" ht="15.6" x14ac:dyDescent="0.3">
      <c r="A20" s="64">
        <v>12</v>
      </c>
      <c r="B20" s="57" t="str">
        <f>+'COSTO+COMPUTO'!B177</f>
        <v>REVESTIMIENTOS</v>
      </c>
      <c r="C20" s="58">
        <f>+'COSTO+COMPUTO'!S177</f>
        <v>4698616.0323784091</v>
      </c>
      <c r="D20" s="130">
        <f t="shared" si="3"/>
        <v>3.5794027474477637E-2</v>
      </c>
      <c r="E20" s="131">
        <f t="shared" si="4"/>
        <v>0</v>
      </c>
      <c r="F20" s="60"/>
      <c r="G20" s="131">
        <f t="shared" si="0"/>
        <v>0</v>
      </c>
      <c r="H20" s="61">
        <v>0</v>
      </c>
      <c r="I20" s="131">
        <f t="shared" si="1"/>
        <v>1.073820824234329E-2</v>
      </c>
      <c r="J20" s="60">
        <v>0.3</v>
      </c>
      <c r="K20" s="131">
        <f t="shared" si="2"/>
        <v>2.5055819232134343E-2</v>
      </c>
      <c r="L20" s="61">
        <v>0.7</v>
      </c>
      <c r="M20" s="60"/>
      <c r="N20" s="60"/>
      <c r="O20" s="132"/>
    </row>
    <row r="21" spans="1:15" ht="15.6" x14ac:dyDescent="0.3">
      <c r="A21" s="64">
        <v>13</v>
      </c>
      <c r="B21" s="57" t="str">
        <f>+'COSTO+COMPUTO'!B181</f>
        <v>HERRERIAS</v>
      </c>
      <c r="C21" s="58">
        <f>+'COSTO+COMPUTO'!S181</f>
        <v>0</v>
      </c>
      <c r="D21" s="130">
        <f t="shared" si="3"/>
        <v>0</v>
      </c>
      <c r="E21" s="131">
        <f t="shared" si="4"/>
        <v>0</v>
      </c>
      <c r="F21" s="60"/>
      <c r="G21" s="131">
        <f t="shared" si="0"/>
        <v>0</v>
      </c>
      <c r="H21" s="61"/>
      <c r="I21" s="131">
        <f t="shared" si="1"/>
        <v>0</v>
      </c>
      <c r="J21" s="60">
        <v>0.5</v>
      </c>
      <c r="K21" s="131">
        <f t="shared" si="2"/>
        <v>0</v>
      </c>
      <c r="L21" s="61">
        <v>0.5</v>
      </c>
      <c r="M21" s="60"/>
      <c r="N21" s="60"/>
      <c r="O21" s="132"/>
    </row>
    <row r="22" spans="1:15" ht="15.6" x14ac:dyDescent="0.3">
      <c r="A22" s="64">
        <v>14</v>
      </c>
      <c r="B22" s="57" t="str">
        <f>+'COSTO+COMPUTO'!B185</f>
        <v>PINTURAS</v>
      </c>
      <c r="C22" s="58">
        <f>+'COSTO+COMPUTO'!S185</f>
        <v>6696442.6429428626</v>
      </c>
      <c r="D22" s="130">
        <f t="shared" si="3"/>
        <v>5.1013458067444929E-2</v>
      </c>
      <c r="E22" s="131">
        <f t="shared" si="4"/>
        <v>0</v>
      </c>
      <c r="F22" s="60"/>
      <c r="G22" s="131">
        <f t="shared" si="0"/>
        <v>0</v>
      </c>
      <c r="H22" s="61"/>
      <c r="I22" s="131">
        <f t="shared" si="1"/>
        <v>0</v>
      </c>
      <c r="J22" s="60"/>
      <c r="K22" s="131">
        <f t="shared" si="2"/>
        <v>5.1013458067444929E-2</v>
      </c>
      <c r="L22" s="61">
        <v>1</v>
      </c>
      <c r="M22" s="60"/>
      <c r="N22" s="60"/>
      <c r="O22" s="132"/>
    </row>
    <row r="23" spans="1:15" ht="15.6" x14ac:dyDescent="0.3">
      <c r="A23" s="64">
        <v>15</v>
      </c>
      <c r="B23" s="57" t="str">
        <f>+'COSTO+COMPUTO'!B188</f>
        <v>VARIOS</v>
      </c>
      <c r="C23" s="58">
        <f>+'COSTO+COMPUTO'!S188</f>
        <v>0</v>
      </c>
      <c r="D23" s="130">
        <f t="shared" si="3"/>
        <v>0</v>
      </c>
      <c r="E23" s="131">
        <f t="shared" si="4"/>
        <v>0</v>
      </c>
      <c r="F23" s="60">
        <v>0.25</v>
      </c>
      <c r="G23" s="131">
        <f t="shared" si="0"/>
        <v>0</v>
      </c>
      <c r="H23" s="61">
        <v>0.25</v>
      </c>
      <c r="I23" s="131">
        <f t="shared" si="1"/>
        <v>0</v>
      </c>
      <c r="J23" s="60">
        <v>0.25</v>
      </c>
      <c r="K23" s="131">
        <f t="shared" si="2"/>
        <v>0</v>
      </c>
      <c r="L23" s="61">
        <v>0.25</v>
      </c>
      <c r="M23" s="60"/>
      <c r="N23" s="60"/>
      <c r="O23" s="132"/>
    </row>
    <row r="24" spans="1:15" ht="16.2" thickBot="1" x14ac:dyDescent="0.35">
      <c r="A24" s="64">
        <v>16</v>
      </c>
      <c r="B24" s="57" t="str">
        <f>+'COSTO+COMPUTO'!B193</f>
        <v>PILETA DE NATACION</v>
      </c>
      <c r="C24" s="58">
        <f>+'COSTO+COMPUTO'!S193</f>
        <v>0</v>
      </c>
      <c r="D24" s="130">
        <f t="shared" si="3"/>
        <v>0</v>
      </c>
      <c r="E24" s="131">
        <f t="shared" si="4"/>
        <v>0</v>
      </c>
      <c r="F24" s="60">
        <v>0.3</v>
      </c>
      <c r="G24" s="131">
        <f t="shared" si="0"/>
        <v>0</v>
      </c>
      <c r="H24" s="61">
        <v>0.1</v>
      </c>
      <c r="I24" s="131">
        <f t="shared" si="1"/>
        <v>0</v>
      </c>
      <c r="J24" s="60">
        <v>0.3</v>
      </c>
      <c r="K24" s="131">
        <f t="shared" si="2"/>
        <v>0</v>
      </c>
      <c r="L24" s="61">
        <v>0.3</v>
      </c>
      <c r="M24" s="60"/>
      <c r="N24" s="60"/>
      <c r="O24" s="132"/>
    </row>
    <row r="25" spans="1:15" ht="18" thickBot="1" x14ac:dyDescent="0.35">
      <c r="B25" s="66" t="s">
        <v>189</v>
      </c>
      <c r="C25" s="67">
        <f>SUM(C9:C24)</f>
        <v>131268157.39661269</v>
      </c>
      <c r="D25" s="68">
        <f>SUM(D9:D24)</f>
        <v>1</v>
      </c>
      <c r="E25" s="69">
        <f>SUM(E9:E24)</f>
        <v>0.3088962472328835</v>
      </c>
      <c r="F25" s="70">
        <f>+E25</f>
        <v>0.3088962472328835</v>
      </c>
      <c r="G25" s="71">
        <f>SUM(G9:G24)</f>
        <v>0.27651871398543321</v>
      </c>
      <c r="H25" s="70">
        <f>+G25+F25</f>
        <v>0.58541496121831671</v>
      </c>
      <c r="I25" s="71">
        <f>SUM(I9:I24)</f>
        <v>0.23731541156258557</v>
      </c>
      <c r="J25" s="70">
        <f>+I25+H25</f>
        <v>0.82273037278090233</v>
      </c>
      <c r="K25" s="134">
        <f>SUM(K9:K24)</f>
        <v>0.17726962721909781</v>
      </c>
      <c r="L25" s="72">
        <f>+J25+K25</f>
        <v>1.0000000000000002</v>
      </c>
    </row>
    <row r="26" spans="1:15" ht="16.2" thickBot="1" x14ac:dyDescent="0.35">
      <c r="C26" s="73"/>
      <c r="D26" s="59"/>
    </row>
    <row r="27" spans="1:15" ht="16.2" thickBot="1" x14ac:dyDescent="0.35">
      <c r="A27" s="74"/>
      <c r="B27" s="75" t="s">
        <v>190</v>
      </c>
      <c r="C27" s="76"/>
      <c r="D27" s="77"/>
      <c r="E27" s="78">
        <f>+F28</f>
        <v>40548241.200989142</v>
      </c>
      <c r="F27" s="79"/>
      <c r="G27" s="80">
        <f>+G25*C25</f>
        <v>36298102.070548773</v>
      </c>
      <c r="H27" s="79"/>
      <c r="I27" s="80">
        <f>+I25*C25</f>
        <v>31151956.7976394</v>
      </c>
      <c r="J27" s="81"/>
      <c r="K27" s="80">
        <f>+K25*C25</f>
        <v>23269857.327435389</v>
      </c>
      <c r="L27" s="113"/>
    </row>
    <row r="28" spans="1:15" ht="16.2" thickBot="1" x14ac:dyDescent="0.35">
      <c r="A28" s="82"/>
      <c r="B28" s="83" t="s">
        <v>191</v>
      </c>
      <c r="C28" s="84"/>
      <c r="D28" s="85"/>
      <c r="E28" s="86"/>
      <c r="F28" s="87">
        <f>+F25*C25</f>
        <v>40548241.200989142</v>
      </c>
      <c r="G28" s="86"/>
      <c r="H28" s="87">
        <f>+G27+F28</f>
        <v>76846343.271537915</v>
      </c>
      <c r="I28" s="86"/>
      <c r="J28" s="87">
        <f>+I27+H28</f>
        <v>107998300.06917731</v>
      </c>
      <c r="K28" s="86"/>
      <c r="L28" s="87">
        <f>+K27+J28</f>
        <v>131268157.3966127</v>
      </c>
    </row>
    <row r="29" spans="1:15" ht="13.8" thickBot="1" x14ac:dyDescent="0.3">
      <c r="A29" s="88"/>
      <c r="C29" s="73"/>
    </row>
    <row r="30" spans="1:15" ht="13.8" thickBot="1" x14ac:dyDescent="0.3">
      <c r="A30" s="88"/>
      <c r="B30" s="90" t="s">
        <v>192</v>
      </c>
      <c r="C30" s="91">
        <v>1</v>
      </c>
      <c r="D30" s="91">
        <v>1.1523460000000001</v>
      </c>
      <c r="E30" s="91">
        <v>1.19356</v>
      </c>
      <c r="F30" s="91">
        <v>1.12364</v>
      </c>
      <c r="G30" s="91">
        <v>1.1564300000000001</v>
      </c>
      <c r="H30" s="92">
        <v>1.3256300000000001</v>
      </c>
    </row>
    <row r="31" spans="1:15" ht="13.8" thickBot="1" x14ac:dyDescent="0.3">
      <c r="A31" s="88"/>
      <c r="B31" s="93" t="s">
        <v>193</v>
      </c>
      <c r="C31" s="94" t="s">
        <v>194</v>
      </c>
      <c r="D31" s="94" t="s">
        <v>195</v>
      </c>
      <c r="E31" s="94" t="s">
        <v>196</v>
      </c>
      <c r="F31" s="94" t="s">
        <v>197</v>
      </c>
      <c r="G31" s="94" t="s">
        <v>198</v>
      </c>
      <c r="H31" s="95" t="s">
        <v>199</v>
      </c>
    </row>
    <row r="32" spans="1:15" x14ac:dyDescent="0.25">
      <c r="A32" s="88"/>
      <c r="B32" s="13" t="s">
        <v>200</v>
      </c>
      <c r="C32" s="96">
        <f>+E27</f>
        <v>40548241.200989142</v>
      </c>
      <c r="D32" s="96">
        <f>+G27</f>
        <v>36298102.070548773</v>
      </c>
      <c r="E32" s="97">
        <f>+I27</f>
        <v>31151956.7976394</v>
      </c>
      <c r="F32" s="97">
        <f>+K27</f>
        <v>23269857.327435389</v>
      </c>
      <c r="G32" s="98"/>
      <c r="H32" s="99"/>
    </row>
    <row r="33" spans="1:8" x14ac:dyDescent="0.25">
      <c r="A33" s="88"/>
      <c r="B33" s="14" t="s">
        <v>201</v>
      </c>
      <c r="C33" s="100">
        <f>+C32*0.05</f>
        <v>2027412.0600494572</v>
      </c>
      <c r="D33" s="100">
        <f>+D32*0.05</f>
        <v>1814905.1035274388</v>
      </c>
      <c r="E33" s="100">
        <f>+E32*0.05</f>
        <v>1557597.8398819701</v>
      </c>
      <c r="F33" s="100">
        <f>+F32*0.05</f>
        <v>1163492.8663717695</v>
      </c>
      <c r="G33" s="100"/>
      <c r="H33" s="34"/>
    </row>
    <row r="34" spans="1:8" ht="13.8" thickBot="1" x14ac:dyDescent="0.3">
      <c r="A34" s="88"/>
      <c r="B34" s="101" t="s">
        <v>202</v>
      </c>
      <c r="C34" s="102">
        <f>+C32-C33</f>
        <v>38520829.140939683</v>
      </c>
      <c r="D34" s="102">
        <f>+D32-D33</f>
        <v>34483196.967021331</v>
      </c>
      <c r="E34" s="102">
        <f>+E32-E33</f>
        <v>29594358.957757428</v>
      </c>
      <c r="F34" s="102">
        <f>+F32-F33</f>
        <v>22106364.46106362</v>
      </c>
      <c r="G34" s="102">
        <f>+G32-G33</f>
        <v>0</v>
      </c>
      <c r="H34" s="103"/>
    </row>
    <row r="35" spans="1:8" ht="13.8" thickBot="1" x14ac:dyDescent="0.3">
      <c r="A35" s="88"/>
      <c r="B35" s="104" t="s">
        <v>203</v>
      </c>
      <c r="C35" s="105">
        <f>+C34*C30</f>
        <v>38520829.140939683</v>
      </c>
      <c r="D35" s="105">
        <f>+D34*D30</f>
        <v>39736574.092159167</v>
      </c>
      <c r="E35" s="105">
        <f>+E34*E30</f>
        <v>35322643.077620953</v>
      </c>
      <c r="F35" s="105">
        <f>+F34*F30</f>
        <v>24839595.363029525</v>
      </c>
      <c r="G35" s="105"/>
      <c r="H35" s="106"/>
    </row>
    <row r="36" spans="1:8" ht="13.8" thickBot="1" x14ac:dyDescent="0.3">
      <c r="A36" s="88"/>
      <c r="B36" s="107" t="s">
        <v>204</v>
      </c>
      <c r="C36" s="77">
        <f t="shared" ref="C36:H36" si="5">+C35/$G$39</f>
        <v>0.27829019548925032</v>
      </c>
      <c r="D36" s="77">
        <f t="shared" si="5"/>
        <v>0.28707323333358281</v>
      </c>
      <c r="E36" s="77">
        <f t="shared" si="5"/>
        <v>0.25518519373771603</v>
      </c>
      <c r="F36" s="77">
        <f t="shared" si="5"/>
        <v>0.1794513774394508</v>
      </c>
      <c r="G36" s="77">
        <f t="shared" si="5"/>
        <v>0</v>
      </c>
      <c r="H36" s="108">
        <f t="shared" si="5"/>
        <v>0</v>
      </c>
    </row>
    <row r="37" spans="1:8" ht="13.8" thickBot="1" x14ac:dyDescent="0.3">
      <c r="A37" s="88"/>
      <c r="B37" s="109" t="s">
        <v>205</v>
      </c>
      <c r="C37" s="84"/>
      <c r="D37" s="84"/>
      <c r="E37" s="84"/>
      <c r="F37" s="84"/>
      <c r="G37" s="110">
        <f>+SUM(C33:G33)</f>
        <v>6563407.8698306363</v>
      </c>
      <c r="H37" s="111"/>
    </row>
    <row r="38" spans="1:8" ht="13.8" thickBot="1" x14ac:dyDescent="0.3">
      <c r="A38" s="74"/>
      <c r="B38" s="107" t="s">
        <v>206</v>
      </c>
      <c r="C38" s="81"/>
      <c r="D38" s="77"/>
      <c r="E38" s="79"/>
      <c r="F38" s="79"/>
      <c r="G38" s="112">
        <f>+C25</f>
        <v>131268157.39661269</v>
      </c>
      <c r="H38" s="113"/>
    </row>
    <row r="39" spans="1:8" ht="13.8" thickBot="1" x14ac:dyDescent="0.3">
      <c r="A39" s="74"/>
      <c r="B39" s="107" t="s">
        <v>207</v>
      </c>
      <c r="C39" s="76"/>
      <c r="D39" s="77"/>
      <c r="E39" s="79"/>
      <c r="F39" s="79"/>
      <c r="G39" s="114">
        <f>+C35+D35+E35+F35+G35+H35</f>
        <v>138419641.67374933</v>
      </c>
      <c r="H39" s="113"/>
    </row>
    <row r="40" spans="1:8" ht="13.8" thickBot="1" x14ac:dyDescent="0.3">
      <c r="A40" s="74"/>
      <c r="B40" s="107" t="s">
        <v>208</v>
      </c>
      <c r="C40" s="76"/>
      <c r="D40" s="77"/>
      <c r="E40" s="79"/>
      <c r="F40" s="79"/>
      <c r="G40" s="112">
        <f>+G39-G38</f>
        <v>7151484.2771366388</v>
      </c>
      <c r="H40" s="113"/>
    </row>
    <row r="41" spans="1:8" ht="13.8" thickBot="1" x14ac:dyDescent="0.3">
      <c r="A41" s="74"/>
      <c r="B41" s="107" t="s">
        <v>209</v>
      </c>
      <c r="C41" s="76"/>
      <c r="D41" s="77"/>
      <c r="E41" s="79"/>
      <c r="F41" s="79"/>
      <c r="G41" s="77">
        <f>+G40/G38</f>
        <v>5.4479962383635769E-2</v>
      </c>
      <c r="H41" s="113"/>
    </row>
    <row r="42" spans="1:8" x14ac:dyDescent="0.25">
      <c r="A42" s="74"/>
    </row>
    <row r="43" spans="1:8" x14ac:dyDescent="0.25">
      <c r="A43" s="74"/>
      <c r="B43" s="1" t="s">
        <v>210</v>
      </c>
      <c r="E43" s="89" t="s">
        <v>211</v>
      </c>
      <c r="F43" s="116">
        <f>+C35</f>
        <v>38520829.140939683</v>
      </c>
    </row>
    <row r="44" spans="1:8" ht="15.75" customHeight="1" x14ac:dyDescent="0.25">
      <c r="A44" s="74"/>
      <c r="B44" s="1" t="s">
        <v>212</v>
      </c>
      <c r="E44" s="89" t="s">
        <v>213</v>
      </c>
      <c r="F44" s="116">
        <f>+D35</f>
        <v>39736574.092159167</v>
      </c>
    </row>
    <row r="45" spans="1:8" ht="15.6" x14ac:dyDescent="0.3">
      <c r="A45" s="56"/>
      <c r="B45" s="1" t="s">
        <v>214</v>
      </c>
      <c r="E45" s="89" t="s">
        <v>215</v>
      </c>
      <c r="F45" s="116">
        <f>+E35</f>
        <v>35322643.077620953</v>
      </c>
    </row>
    <row r="46" spans="1:8" x14ac:dyDescent="0.25">
      <c r="A46" s="88"/>
      <c r="B46" s="1" t="s">
        <v>216</v>
      </c>
      <c r="C46" s="73"/>
      <c r="E46" s="89" t="s">
        <v>217</v>
      </c>
      <c r="F46" s="116">
        <f>+F35</f>
        <v>24839595.363029525</v>
      </c>
    </row>
    <row r="47" spans="1:8" x14ac:dyDescent="0.25">
      <c r="A47" s="88"/>
      <c r="B47" s="1" t="s">
        <v>218</v>
      </c>
      <c r="C47" s="73"/>
      <c r="E47" s="89" t="s">
        <v>219</v>
      </c>
      <c r="F47" s="116">
        <f>+G35</f>
        <v>0</v>
      </c>
      <c r="G47" s="116"/>
    </row>
    <row r="48" spans="1:8" x14ac:dyDescent="0.25">
      <c r="A48" s="88"/>
      <c r="B48" s="1" t="s">
        <v>220</v>
      </c>
      <c r="G48" s="116"/>
    </row>
    <row r="49" spans="1:8" x14ac:dyDescent="0.25">
      <c r="A49" s="88"/>
      <c r="B49" s="1" t="s">
        <v>221</v>
      </c>
      <c r="E49" s="89" t="s">
        <v>222</v>
      </c>
      <c r="F49" s="116">
        <f>+H35</f>
        <v>0</v>
      </c>
      <c r="G49" s="116"/>
      <c r="H49" s="116"/>
    </row>
    <row r="50" spans="1:8" ht="15.6" x14ac:dyDescent="0.3">
      <c r="A50" s="88"/>
      <c r="B50" s="57" t="s">
        <v>223</v>
      </c>
      <c r="F50" s="117">
        <f>+SUM(F43:F49)</f>
        <v>138419641.67374933</v>
      </c>
      <c r="G50" s="116"/>
    </row>
    <row r="51" spans="1:8" x14ac:dyDescent="0.25">
      <c r="A51" s="88"/>
      <c r="B51" s="118"/>
      <c r="G51" s="116"/>
      <c r="H51" s="116"/>
    </row>
    <row r="52" spans="1:8" x14ac:dyDescent="0.25">
      <c r="A52" s="88"/>
      <c r="B52" s="118"/>
    </row>
    <row r="53" spans="1:8" x14ac:dyDescent="0.25">
      <c r="A53" s="88"/>
      <c r="B53" s="118"/>
    </row>
    <row r="54" spans="1:8" ht="15.6" x14ac:dyDescent="0.3">
      <c r="A54" s="88"/>
      <c r="B54" s="57"/>
    </row>
    <row r="55" spans="1:8" x14ac:dyDescent="0.25">
      <c r="A55" s="74"/>
      <c r="B55" s="119"/>
    </row>
    <row r="56" spans="1:8" x14ac:dyDescent="0.25">
      <c r="A56" s="74"/>
      <c r="B56" s="119"/>
    </row>
    <row r="57" spans="1:8" x14ac:dyDescent="0.25">
      <c r="A57" s="74"/>
      <c r="B57" s="119"/>
    </row>
    <row r="58" spans="1:8" x14ac:dyDescent="0.25">
      <c r="A58" s="74"/>
      <c r="B58" s="119"/>
    </row>
    <row r="59" spans="1:8" ht="15.6" x14ac:dyDescent="0.3">
      <c r="A59" s="74"/>
      <c r="B59" s="119"/>
      <c r="C59" s="120"/>
      <c r="D59" s="59"/>
    </row>
    <row r="60" spans="1:8" x14ac:dyDescent="0.25">
      <c r="A60" s="74"/>
      <c r="B60" s="119"/>
    </row>
    <row r="61" spans="1:8" ht="15.6" x14ac:dyDescent="0.3">
      <c r="A61" s="56"/>
      <c r="B61" s="119"/>
    </row>
    <row r="62" spans="1:8" x14ac:dyDescent="0.25">
      <c r="A62" s="88"/>
      <c r="B62" s="119"/>
    </row>
    <row r="63" spans="1:8" x14ac:dyDescent="0.25">
      <c r="A63" s="88"/>
      <c r="B63" s="119"/>
    </row>
    <row r="64" spans="1:8" x14ac:dyDescent="0.25">
      <c r="A64" s="88"/>
      <c r="B64" s="119"/>
    </row>
    <row r="65" spans="1:4" x14ac:dyDescent="0.25">
      <c r="A65" s="88"/>
      <c r="B65" s="119"/>
    </row>
    <row r="66" spans="1:4" x14ac:dyDescent="0.25">
      <c r="A66" s="88"/>
      <c r="B66" s="119"/>
    </row>
    <row r="67" spans="1:4" ht="15.6" x14ac:dyDescent="0.3">
      <c r="A67" s="88"/>
      <c r="B67" s="57"/>
    </row>
    <row r="68" spans="1:4" x14ac:dyDescent="0.25">
      <c r="A68" s="88"/>
    </row>
    <row r="69" spans="1:4" x14ac:dyDescent="0.25">
      <c r="A69" s="88"/>
    </row>
    <row r="70" spans="1:4" x14ac:dyDescent="0.25">
      <c r="A70" s="88"/>
    </row>
    <row r="71" spans="1:4" x14ac:dyDescent="0.25">
      <c r="A71" s="74"/>
    </row>
    <row r="72" spans="1:4" ht="15.6" x14ac:dyDescent="0.3">
      <c r="A72" s="74"/>
      <c r="B72" s="57"/>
      <c r="C72" s="120"/>
      <c r="D72" s="59"/>
    </row>
    <row r="73" spans="1:4" x14ac:dyDescent="0.25">
      <c r="A73" s="74"/>
    </row>
    <row r="74" spans="1:4" ht="15.6" x14ac:dyDescent="0.3">
      <c r="A74" s="56"/>
    </row>
    <row r="75" spans="1:4" x14ac:dyDescent="0.25">
      <c r="A75" s="88"/>
    </row>
    <row r="76" spans="1:4" x14ac:dyDescent="0.25">
      <c r="A76" s="88"/>
    </row>
    <row r="77" spans="1:4" ht="15.6" x14ac:dyDescent="0.3">
      <c r="A77" s="88"/>
      <c r="C77" s="120"/>
      <c r="D77" s="59"/>
    </row>
    <row r="78" spans="1:4" x14ac:dyDescent="0.25">
      <c r="A78" s="88"/>
    </row>
    <row r="79" spans="1:4" ht="15.6" x14ac:dyDescent="0.3">
      <c r="A79" s="56"/>
    </row>
    <row r="80" spans="1:4" x14ac:dyDescent="0.25">
      <c r="A80" s="121"/>
    </row>
    <row r="81" spans="1:2" x14ac:dyDescent="0.25">
      <c r="A81" s="121"/>
    </row>
    <row r="82" spans="1:2" x14ac:dyDescent="0.25">
      <c r="A82" s="121"/>
    </row>
    <row r="83" spans="1:2" x14ac:dyDescent="0.25">
      <c r="A83" s="121"/>
      <c r="B83" s="119"/>
    </row>
    <row r="84" spans="1:2" x14ac:dyDescent="0.25">
      <c r="A84" s="121"/>
      <c r="B84" s="119"/>
    </row>
    <row r="85" spans="1:2" x14ac:dyDescent="0.25">
      <c r="A85" s="121"/>
      <c r="B85" s="119"/>
    </row>
    <row r="86" spans="1:2" x14ac:dyDescent="0.25">
      <c r="A86" s="121"/>
      <c r="B86" s="119"/>
    </row>
    <row r="87" spans="1:2" x14ac:dyDescent="0.25">
      <c r="A87" s="121"/>
      <c r="B87" s="119"/>
    </row>
    <row r="88" spans="1:2" x14ac:dyDescent="0.25">
      <c r="A88" s="121"/>
      <c r="B88" s="119"/>
    </row>
    <row r="89" spans="1:2" x14ac:dyDescent="0.25">
      <c r="B89" s="119"/>
    </row>
    <row r="90" spans="1:2" x14ac:dyDescent="0.25">
      <c r="B90" s="119"/>
    </row>
    <row r="91" spans="1:2" x14ac:dyDescent="0.25">
      <c r="B91" s="119"/>
    </row>
    <row r="92" spans="1:2" x14ac:dyDescent="0.25">
      <c r="B92" s="119"/>
    </row>
    <row r="94" spans="1:2" ht="15.6" x14ac:dyDescent="0.3">
      <c r="B94" s="57"/>
    </row>
    <row r="95" spans="1:2" x14ac:dyDescent="0.25">
      <c r="B95" s="119"/>
    </row>
    <row r="96" spans="1:2" ht="15.75" customHeight="1" thickBot="1" x14ac:dyDescent="0.3">
      <c r="B96" s="119"/>
    </row>
    <row r="97" spans="1:4" ht="18" thickBot="1" x14ac:dyDescent="0.35">
      <c r="B97" s="122"/>
    </row>
    <row r="98" spans="1:4" x14ac:dyDescent="0.25">
      <c r="B98" s="123"/>
    </row>
    <row r="99" spans="1:4" ht="15.6" x14ac:dyDescent="0.3">
      <c r="C99" s="120"/>
      <c r="D99" s="124"/>
    </row>
    <row r="101" spans="1:4" ht="16.2" thickBot="1" x14ac:dyDescent="0.35">
      <c r="A101" s="56"/>
    </row>
    <row r="102" spans="1:4" ht="16.2" thickBot="1" x14ac:dyDescent="0.35">
      <c r="A102" s="125"/>
      <c r="C102" s="126"/>
      <c r="D102" s="127"/>
    </row>
    <row r="103" spans="1:4" ht="13.8" thickBot="1" x14ac:dyDescent="0.3">
      <c r="A103" s="125">
        <v>26.2</v>
      </c>
    </row>
    <row r="104" spans="1:4" ht="18" thickBot="1" x14ac:dyDescent="0.35">
      <c r="A104" s="128"/>
    </row>
    <row r="105" spans="1:4" x14ac:dyDescent="0.25">
      <c r="A105" s="129"/>
    </row>
    <row r="125" ht="15.75" customHeight="1" x14ac:dyDescent="0.25"/>
    <row r="161" ht="15.75" customHeight="1" x14ac:dyDescent="0.25"/>
  </sheetData>
  <mergeCells count="6">
    <mergeCell ref="M7:N7"/>
    <mergeCell ref="A7:D7"/>
    <mergeCell ref="E7:F7"/>
    <mergeCell ref="G7:H7"/>
    <mergeCell ref="I7:J7"/>
    <mergeCell ref="K7:L7"/>
  </mergeCells>
  <pageMargins left="0.39370078740157483" right="0.39370078740157483" top="1.9685039370078741" bottom="0.98425196850393704" header="0.51181102362204722" footer="0.51181102362204722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COSTO+COMPUTO</vt:lpstr>
      <vt:lpstr>ANALISIS DE PRECIOS </vt:lpstr>
      <vt:lpstr>COSTOS INDIVIDUALES</vt:lpstr>
      <vt:lpstr>LISTA DE MATERIALES</vt:lpstr>
      <vt:lpstr>Plan trabajar </vt:lpstr>
      <vt:lpstr>'ANALISIS DE PRECIOS '!Área_de_impresión</vt:lpstr>
      <vt:lpstr>'COSTO+COMPUTO'!Área_de_impresión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Reale</cp:lastModifiedBy>
  <cp:lastPrinted>2025-01-17T13:24:21Z</cp:lastPrinted>
  <dcterms:created xsi:type="dcterms:W3CDTF">2013-04-17T00:35:21Z</dcterms:created>
  <dcterms:modified xsi:type="dcterms:W3CDTF">2025-03-07T22:16:36Z</dcterms:modified>
</cp:coreProperties>
</file>