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gi\Excel\"/>
    </mc:Choice>
  </mc:AlternateContent>
  <xr:revisionPtr revIDLastSave="0" documentId="13_ncr:1_{78F1DF8D-B9C1-49AC-8CB6-4A76B349741C}" xr6:coauthVersionLast="36" xr6:coauthVersionMax="45" xr10:uidLastSave="{00000000-0000-0000-0000-000000000000}"/>
  <bookViews>
    <workbookView xWindow="-120" yWindow="-120" windowWidth="19440" windowHeight="15000" activeTab="4" xr2:uid="{48F2BE37-CCB1-4AA5-A498-606DD59F2432}"/>
  </bookViews>
  <sheets>
    <sheet name="bank egy" sheetId="1" r:id="rId1"/>
    <sheet name="bank kettő" sheetId="4" r:id="rId2"/>
    <sheet name="tantárgy" sheetId="3" r:id="rId3"/>
    <sheet name="hallgatók" sheetId="5" r:id="rId4"/>
    <sheet name="adósok" sheetId="6" r:id="rId5"/>
    <sheet name="munkák" sheetId="7" r:id="rId6"/>
    <sheet name="egyenlegek" sheetId="8" r:id="rId7"/>
    <sheet name="jegyzőkönyv" sheetId="9" r:id="rId8"/>
    <sheet name="javítások" sheetId="11" r:id="rId9"/>
    <sheet name="létszám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3" l="1"/>
  <c r="A97" i="12" l="1"/>
  <c r="A96" i="12" s="1"/>
  <c r="A95" i="12" s="1"/>
  <c r="A94" i="12" s="1"/>
  <c r="A93" i="12" s="1"/>
  <c r="A92" i="12" s="1"/>
  <c r="A91" i="12" s="1"/>
  <c r="A90" i="12" s="1"/>
  <c r="A89" i="12" s="1"/>
  <c r="A88" i="12" s="1"/>
  <c r="A87" i="12" s="1"/>
  <c r="A86" i="12" s="1"/>
  <c r="A85" i="12" s="1"/>
  <c r="A84" i="12" s="1"/>
  <c r="A83" i="12" s="1"/>
  <c r="A82" i="12" s="1"/>
  <c r="A81" i="12" s="1"/>
  <c r="A80" i="12" s="1"/>
  <c r="A79" i="12" s="1"/>
  <c r="A78" i="12" s="1"/>
  <c r="A77" i="12" s="1"/>
  <c r="A76" i="12" s="1"/>
  <c r="A75" i="12" s="1"/>
  <c r="A74" i="12" s="1"/>
  <c r="A73" i="12" s="1"/>
  <c r="A72" i="12" s="1"/>
  <c r="A71" i="12" s="1"/>
  <c r="A70" i="12" s="1"/>
  <c r="A69" i="12" s="1"/>
  <c r="A68" i="12" s="1"/>
  <c r="A67" i="12" s="1"/>
  <c r="A66" i="12" s="1"/>
  <c r="A65" i="12" s="1"/>
  <c r="A64" i="12" s="1"/>
  <c r="A63" i="12" s="1"/>
  <c r="A62" i="12" s="1"/>
  <c r="A61" i="12" s="1"/>
  <c r="A60" i="12" s="1"/>
  <c r="A59" i="12" s="1"/>
  <c r="A58" i="12" s="1"/>
  <c r="A57" i="12" s="1"/>
  <c r="A56" i="12" s="1"/>
  <c r="A55" i="12" s="1"/>
  <c r="A54" i="12" s="1"/>
  <c r="A53" i="12" s="1"/>
  <c r="A52" i="12" s="1"/>
  <c r="A51" i="12" s="1"/>
  <c r="A50" i="12" s="1"/>
  <c r="A49" i="12" s="1"/>
  <c r="A48" i="12" s="1"/>
  <c r="A47" i="12" s="1"/>
  <c r="A46" i="12" s="1"/>
  <c r="A45" i="12" s="1"/>
  <c r="A44" i="12" s="1"/>
  <c r="A43" i="12" s="1"/>
  <c r="A42" i="12" s="1"/>
  <c r="A41" i="12" s="1"/>
  <c r="A40" i="12" s="1"/>
  <c r="A39" i="12" s="1"/>
  <c r="A38" i="12" s="1"/>
  <c r="A37" i="12" s="1"/>
  <c r="A36" i="12" s="1"/>
  <c r="A35" i="12" s="1"/>
  <c r="A34" i="12" s="1"/>
  <c r="A33" i="12" s="1"/>
  <c r="A32" i="12" s="1"/>
  <c r="A31" i="12" s="1"/>
  <c r="A30" i="12" s="1"/>
  <c r="A29" i="12" s="1"/>
  <c r="A28" i="12" s="1"/>
  <c r="A27" i="12" s="1"/>
  <c r="A26" i="12" s="1"/>
  <c r="A25" i="12" s="1"/>
  <c r="A24" i="12" s="1"/>
  <c r="A23" i="12" s="1"/>
  <c r="A22" i="12" s="1"/>
  <c r="A21" i="12" s="1"/>
  <c r="A20" i="12" s="1"/>
  <c r="A19" i="12" s="1"/>
  <c r="A18" i="12" s="1"/>
  <c r="A17" i="12" s="1"/>
  <c r="A16" i="12" s="1"/>
  <c r="A15" i="12" s="1"/>
  <c r="A14" i="12" s="1"/>
  <c r="A13" i="12" s="1"/>
  <c r="A12" i="12" s="1"/>
  <c r="A11" i="12" s="1"/>
  <c r="A10" i="12" s="1"/>
  <c r="A9" i="12" s="1"/>
  <c r="A8" i="12" s="1"/>
  <c r="A7" i="12" s="1"/>
  <c r="A6" i="12" s="1"/>
  <c r="A5" i="12" s="1"/>
  <c r="A4" i="12" s="1"/>
  <c r="A3" i="12" s="1"/>
  <c r="A2" i="12" s="1"/>
  <c r="C2" i="11" l="1"/>
  <c r="D2" i="11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C107" i="11"/>
  <c r="D107" i="11"/>
  <c r="C108" i="11"/>
  <c r="D108" i="11"/>
  <c r="C109" i="11"/>
  <c r="D109" i="11"/>
  <c r="C110" i="11"/>
  <c r="D110" i="11"/>
  <c r="C111" i="11"/>
  <c r="D111" i="11"/>
  <c r="C112" i="11"/>
  <c r="D112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122" i="11"/>
  <c r="D122" i="11"/>
  <c r="C123" i="11"/>
  <c r="D123" i="11"/>
  <c r="C124" i="11"/>
  <c r="D124" i="11"/>
  <c r="C125" i="11"/>
  <c r="D125" i="11"/>
  <c r="C126" i="11"/>
  <c r="D126" i="11"/>
  <c r="C127" i="11"/>
  <c r="D127" i="11"/>
  <c r="C128" i="11"/>
  <c r="D128" i="11"/>
  <c r="C129" i="11"/>
  <c r="D129" i="11"/>
  <c r="C130" i="11"/>
  <c r="D130" i="11"/>
  <c r="C131" i="11"/>
  <c r="D131" i="11"/>
  <c r="C132" i="11"/>
  <c r="D132" i="11"/>
  <c r="C133" i="11"/>
  <c r="D133" i="11"/>
  <c r="C134" i="11"/>
  <c r="D134" i="11"/>
  <c r="C135" i="11"/>
  <c r="D135" i="11"/>
  <c r="C136" i="11"/>
  <c r="D136" i="11"/>
  <c r="C137" i="11"/>
  <c r="D137" i="11"/>
  <c r="C138" i="11"/>
  <c r="D138" i="11"/>
  <c r="C139" i="11"/>
  <c r="D139" i="11"/>
  <c r="C140" i="11"/>
  <c r="D140" i="11"/>
  <c r="C141" i="11"/>
  <c r="D141" i="11"/>
  <c r="C142" i="11"/>
  <c r="D142" i="11"/>
  <c r="C143" i="11"/>
  <c r="D143" i="11"/>
  <c r="C144" i="11"/>
  <c r="D144" i="11"/>
  <c r="C145" i="11"/>
  <c r="D145" i="11"/>
  <c r="C146" i="11"/>
  <c r="D146" i="11"/>
  <c r="C147" i="11"/>
  <c r="D147" i="11"/>
  <c r="C148" i="11"/>
  <c r="D148" i="11"/>
  <c r="C149" i="11"/>
  <c r="D149" i="11"/>
  <c r="C150" i="11"/>
  <c r="D150" i="11"/>
  <c r="C151" i="11"/>
  <c r="D151" i="11"/>
  <c r="C152" i="11"/>
  <c r="D152" i="11"/>
  <c r="C153" i="11"/>
  <c r="D153" i="11"/>
  <c r="C154" i="11"/>
  <c r="D154" i="11"/>
  <c r="C155" i="11"/>
  <c r="D155" i="11"/>
  <c r="C156" i="11"/>
  <c r="D156" i="11"/>
  <c r="C157" i="11"/>
  <c r="D157" i="11"/>
  <c r="C158" i="11"/>
  <c r="D158" i="11"/>
  <c r="C159" i="11"/>
  <c r="D159" i="11"/>
  <c r="C160" i="11"/>
  <c r="D160" i="11"/>
  <c r="C161" i="11"/>
  <c r="D161" i="11"/>
  <c r="C162" i="11"/>
  <c r="D162" i="11"/>
  <c r="C163" i="11"/>
  <c r="D163" i="11"/>
  <c r="C164" i="11"/>
  <c r="D164" i="11"/>
  <c r="C165" i="11"/>
  <c r="D165" i="11"/>
  <c r="C166" i="11"/>
  <c r="D166" i="11"/>
  <c r="C167" i="11"/>
  <c r="D167" i="11"/>
  <c r="C168" i="11"/>
  <c r="D168" i="11"/>
  <c r="C169" i="11"/>
  <c r="D169" i="11"/>
  <c r="C170" i="11"/>
  <c r="D170" i="11"/>
  <c r="C171" i="11"/>
  <c r="D171" i="11"/>
  <c r="C172" i="11"/>
  <c r="D172" i="11"/>
  <c r="C173" i="11"/>
  <c r="D173" i="11"/>
  <c r="C174" i="11"/>
  <c r="D174" i="11"/>
  <c r="C175" i="11"/>
  <c r="D175" i="11"/>
  <c r="C176" i="11"/>
  <c r="D176" i="11"/>
  <c r="C177" i="11"/>
  <c r="D177" i="11"/>
  <c r="C178" i="11"/>
  <c r="D178" i="11"/>
  <c r="C179" i="11"/>
  <c r="D179" i="11"/>
  <c r="C180" i="11"/>
  <c r="D180" i="11"/>
  <c r="C181" i="11"/>
  <c r="D181" i="11"/>
  <c r="C182" i="11"/>
  <c r="D182" i="11"/>
  <c r="C183" i="11"/>
  <c r="D183" i="11"/>
  <c r="C184" i="11"/>
  <c r="D184" i="11"/>
  <c r="C185" i="11"/>
  <c r="D185" i="11"/>
  <c r="C186" i="11"/>
  <c r="D186" i="11"/>
  <c r="C187" i="11"/>
  <c r="D187" i="11"/>
  <c r="C188" i="11"/>
  <c r="D188" i="11"/>
  <c r="C189" i="11"/>
  <c r="D189" i="11"/>
  <c r="C190" i="11"/>
  <c r="D190" i="11"/>
  <c r="C191" i="11"/>
  <c r="D191" i="11"/>
  <c r="C192" i="11"/>
  <c r="D192" i="11"/>
  <c r="C193" i="11"/>
  <c r="D193" i="11"/>
  <c r="C194" i="11"/>
  <c r="D194" i="11"/>
  <c r="C195" i="11"/>
  <c r="D195" i="11"/>
  <c r="C196" i="11"/>
  <c r="D196" i="11"/>
  <c r="C197" i="11"/>
  <c r="D197" i="11"/>
  <c r="C198" i="11"/>
  <c r="D198" i="11"/>
  <c r="C199" i="11"/>
  <c r="D199" i="11"/>
  <c r="C200" i="11"/>
  <c r="D200" i="11"/>
  <c r="C201" i="11"/>
  <c r="D201" i="11"/>
  <c r="C202" i="11"/>
  <c r="D202" i="11"/>
  <c r="C203" i="11"/>
  <c r="D203" i="11"/>
  <c r="C204" i="11"/>
  <c r="D204" i="11"/>
  <c r="C205" i="11"/>
  <c r="D205" i="11"/>
  <c r="C206" i="11"/>
  <c r="D206" i="11"/>
  <c r="C207" i="11"/>
  <c r="D207" i="11"/>
  <c r="C208" i="11"/>
  <c r="D208" i="11"/>
  <c r="C209" i="11"/>
  <c r="D209" i="11"/>
  <c r="C210" i="11"/>
  <c r="D210" i="11"/>
  <c r="C211" i="11"/>
  <c r="D211" i="11"/>
  <c r="C212" i="11"/>
  <c r="D212" i="11"/>
  <c r="C213" i="11"/>
  <c r="D213" i="11"/>
  <c r="C214" i="11"/>
  <c r="D214" i="11"/>
  <c r="C215" i="11"/>
  <c r="D215" i="11"/>
  <c r="C216" i="11"/>
  <c r="D216" i="11"/>
  <c r="C217" i="11"/>
  <c r="D217" i="11"/>
  <c r="C218" i="11"/>
  <c r="D218" i="11"/>
  <c r="C219" i="11"/>
  <c r="D219" i="11"/>
  <c r="C220" i="11"/>
  <c r="D220" i="11"/>
  <c r="C221" i="11"/>
  <c r="D221" i="11"/>
  <c r="C222" i="11"/>
  <c r="D222" i="11"/>
  <c r="C223" i="11"/>
  <c r="D223" i="11"/>
  <c r="C224" i="11"/>
  <c r="D224" i="11"/>
  <c r="C225" i="11"/>
  <c r="D225" i="11"/>
  <c r="C226" i="11"/>
  <c r="D226" i="11"/>
  <c r="C227" i="11"/>
  <c r="D227" i="11"/>
  <c r="C228" i="11"/>
  <c r="D228" i="11"/>
  <c r="C229" i="11"/>
  <c r="D229" i="11"/>
  <c r="C230" i="11"/>
  <c r="D230" i="11"/>
  <c r="C231" i="11"/>
  <c r="D231" i="11"/>
  <c r="C232" i="11"/>
  <c r="D232" i="11"/>
  <c r="C233" i="11"/>
  <c r="D233" i="11"/>
  <c r="C234" i="11"/>
  <c r="D234" i="11"/>
  <c r="C235" i="11"/>
  <c r="D235" i="11"/>
  <c r="C236" i="11"/>
  <c r="D236" i="11"/>
  <c r="C237" i="11"/>
  <c r="D237" i="11"/>
  <c r="C238" i="11"/>
  <c r="D238" i="11"/>
  <c r="C239" i="11"/>
  <c r="D239" i="11"/>
  <c r="C240" i="11"/>
  <c r="D240" i="11"/>
  <c r="C241" i="11"/>
  <c r="D241" i="11"/>
  <c r="C242" i="11"/>
  <c r="D242" i="11"/>
  <c r="C243" i="11"/>
  <c r="D243" i="11"/>
  <c r="C244" i="11"/>
  <c r="D244" i="11"/>
  <c r="C245" i="11"/>
  <c r="D245" i="11"/>
  <c r="C246" i="11"/>
  <c r="D246" i="11"/>
  <c r="C247" i="11"/>
  <c r="D247" i="11"/>
  <c r="C248" i="11"/>
  <c r="D248" i="11"/>
  <c r="C249" i="11"/>
  <c r="D249" i="11"/>
  <c r="C250" i="11"/>
  <c r="D250" i="11"/>
  <c r="C251" i="11"/>
  <c r="D251" i="11"/>
  <c r="C252" i="11"/>
  <c r="D252" i="11"/>
  <c r="C253" i="11"/>
  <c r="D253" i="11"/>
  <c r="C254" i="11"/>
  <c r="D254" i="11"/>
  <c r="C255" i="11"/>
  <c r="D255" i="11"/>
  <c r="C256" i="11"/>
  <c r="D256" i="11"/>
  <c r="C257" i="11"/>
  <c r="D257" i="11"/>
  <c r="C258" i="11"/>
  <c r="D258" i="11"/>
  <c r="C259" i="11"/>
  <c r="D259" i="11"/>
  <c r="C260" i="11"/>
  <c r="D260" i="11"/>
  <c r="C261" i="11"/>
  <c r="D261" i="11"/>
  <c r="C262" i="11"/>
  <c r="D262" i="11"/>
  <c r="C263" i="11"/>
  <c r="D263" i="11"/>
  <c r="C264" i="11"/>
  <c r="D264" i="11"/>
  <c r="C265" i="11"/>
  <c r="D265" i="11"/>
  <c r="C266" i="11"/>
  <c r="D266" i="11"/>
  <c r="C267" i="11"/>
  <c r="D267" i="11"/>
  <c r="C268" i="11"/>
  <c r="D268" i="11"/>
  <c r="C269" i="11"/>
  <c r="D269" i="11"/>
  <c r="C270" i="11"/>
  <c r="D270" i="11"/>
  <c r="C271" i="11"/>
  <c r="D271" i="11"/>
  <c r="C272" i="11"/>
  <c r="D272" i="11"/>
  <c r="C273" i="11"/>
  <c r="D273" i="11"/>
  <c r="C274" i="11"/>
  <c r="D274" i="11"/>
  <c r="C275" i="11"/>
  <c r="D275" i="11"/>
  <c r="C276" i="11"/>
  <c r="D276" i="11"/>
  <c r="C277" i="11"/>
  <c r="D277" i="11"/>
  <c r="C278" i="11"/>
  <c r="D278" i="11"/>
  <c r="C279" i="11"/>
  <c r="D279" i="11"/>
  <c r="C280" i="11"/>
  <c r="D280" i="11"/>
  <c r="C281" i="11"/>
  <c r="D281" i="11"/>
  <c r="C282" i="11"/>
  <c r="D282" i="11"/>
  <c r="C283" i="11"/>
  <c r="D283" i="11"/>
  <c r="C284" i="11"/>
  <c r="D284" i="11"/>
  <c r="C285" i="11"/>
  <c r="D285" i="11"/>
  <c r="C286" i="11"/>
  <c r="D286" i="11"/>
  <c r="C287" i="11"/>
  <c r="D287" i="11"/>
  <c r="C288" i="11"/>
  <c r="D288" i="11"/>
  <c r="C289" i="11"/>
  <c r="D289" i="11"/>
  <c r="C290" i="11"/>
  <c r="D290" i="11"/>
  <c r="C291" i="11"/>
  <c r="D291" i="11"/>
  <c r="C292" i="11"/>
  <c r="D292" i="11"/>
  <c r="C293" i="11"/>
  <c r="D293" i="11"/>
  <c r="C294" i="11"/>
  <c r="D294" i="11"/>
  <c r="C295" i="11"/>
  <c r="D295" i="11"/>
  <c r="C296" i="11"/>
  <c r="D296" i="11"/>
  <c r="C297" i="11"/>
  <c r="D297" i="11"/>
  <c r="C298" i="11"/>
  <c r="D298" i="11"/>
  <c r="C299" i="11"/>
  <c r="D299" i="11"/>
  <c r="C300" i="11"/>
  <c r="D300" i="11"/>
  <c r="C301" i="11"/>
  <c r="D301" i="11"/>
  <c r="C302" i="11"/>
  <c r="D302" i="11"/>
  <c r="C303" i="11"/>
  <c r="D303" i="11"/>
  <c r="C304" i="11"/>
  <c r="D304" i="11"/>
  <c r="C305" i="11"/>
  <c r="D305" i="11"/>
  <c r="C306" i="11"/>
  <c r="D306" i="11"/>
  <c r="C307" i="11"/>
  <c r="D307" i="11"/>
  <c r="C308" i="11"/>
  <c r="D308" i="11"/>
  <c r="C309" i="11"/>
  <c r="D309" i="11"/>
  <c r="C310" i="11"/>
  <c r="D310" i="11"/>
  <c r="C311" i="11"/>
  <c r="D311" i="11"/>
  <c r="C312" i="11"/>
  <c r="D312" i="11"/>
  <c r="C313" i="11"/>
  <c r="D313" i="11"/>
  <c r="C314" i="11"/>
  <c r="D314" i="11"/>
  <c r="C315" i="11"/>
  <c r="D315" i="11"/>
  <c r="C316" i="11"/>
  <c r="D316" i="11"/>
  <c r="C317" i="11"/>
  <c r="D317" i="11"/>
  <c r="C318" i="11"/>
  <c r="D318" i="11"/>
  <c r="C319" i="11"/>
  <c r="D319" i="11"/>
  <c r="C320" i="11"/>
  <c r="D320" i="11"/>
  <c r="C321" i="11"/>
  <c r="D321" i="11"/>
  <c r="C322" i="11"/>
  <c r="D322" i="11"/>
  <c r="C323" i="11"/>
  <c r="D323" i="11"/>
  <c r="C324" i="11"/>
  <c r="D324" i="11"/>
  <c r="C325" i="11"/>
  <c r="D325" i="11"/>
  <c r="C326" i="11"/>
  <c r="D326" i="11"/>
  <c r="C327" i="11"/>
  <c r="D327" i="11"/>
  <c r="C328" i="11"/>
  <c r="D328" i="11"/>
  <c r="C329" i="11"/>
  <c r="D329" i="11"/>
  <c r="C330" i="11"/>
  <c r="D330" i="11"/>
  <c r="C331" i="11"/>
  <c r="D331" i="11"/>
  <c r="C332" i="11"/>
  <c r="D332" i="11"/>
  <c r="C333" i="11"/>
  <c r="D333" i="11"/>
  <c r="C334" i="11"/>
  <c r="D334" i="11"/>
  <c r="C335" i="11"/>
  <c r="D335" i="11"/>
  <c r="C336" i="11"/>
  <c r="D336" i="11"/>
  <c r="C337" i="11"/>
  <c r="D337" i="11"/>
  <c r="C338" i="11"/>
  <c r="D338" i="11"/>
  <c r="C339" i="11"/>
  <c r="D339" i="11"/>
  <c r="C340" i="11"/>
  <c r="D340" i="11"/>
  <c r="C341" i="11"/>
  <c r="D341" i="11"/>
  <c r="C342" i="11"/>
  <c r="D342" i="11"/>
  <c r="C343" i="11"/>
  <c r="D343" i="11"/>
  <c r="C344" i="11"/>
  <c r="D344" i="11"/>
  <c r="C345" i="11"/>
  <c r="D345" i="11"/>
  <c r="C346" i="11"/>
  <c r="D346" i="11"/>
  <c r="C347" i="11"/>
  <c r="D347" i="11"/>
  <c r="C348" i="11"/>
  <c r="D348" i="11"/>
  <c r="C349" i="11"/>
  <c r="D349" i="11"/>
  <c r="C350" i="11"/>
  <c r="D350" i="11"/>
  <c r="C351" i="11"/>
  <c r="D351" i="11"/>
  <c r="C352" i="11"/>
  <c r="D352" i="11"/>
  <c r="C353" i="11"/>
  <c r="D353" i="11"/>
  <c r="C354" i="11"/>
  <c r="D354" i="11"/>
  <c r="C355" i="11"/>
  <c r="D355" i="11"/>
  <c r="C356" i="11"/>
  <c r="D356" i="11"/>
  <c r="C357" i="11"/>
  <c r="D357" i="11"/>
  <c r="C358" i="11"/>
  <c r="D358" i="11"/>
  <c r="C359" i="11"/>
  <c r="D359" i="11"/>
  <c r="C360" i="11"/>
  <c r="D360" i="11"/>
  <c r="C361" i="11"/>
  <c r="D361" i="11"/>
  <c r="C362" i="11"/>
  <c r="D362" i="11"/>
  <c r="C363" i="11"/>
  <c r="D363" i="11"/>
  <c r="C364" i="11"/>
  <c r="D364" i="11"/>
  <c r="C365" i="11"/>
  <c r="D365" i="11"/>
  <c r="C366" i="11"/>
  <c r="D366" i="11"/>
  <c r="C367" i="11"/>
  <c r="D367" i="11"/>
  <c r="C368" i="11"/>
  <c r="D368" i="11"/>
  <c r="C369" i="11"/>
  <c r="D369" i="11"/>
  <c r="C370" i="11"/>
  <c r="D370" i="11"/>
  <c r="C371" i="11"/>
  <c r="D371" i="11"/>
  <c r="C372" i="11"/>
  <c r="D372" i="11"/>
  <c r="C373" i="11"/>
  <c r="D373" i="11"/>
  <c r="C374" i="11"/>
  <c r="D374" i="11"/>
  <c r="C375" i="11"/>
  <c r="D375" i="11"/>
  <c r="C376" i="11"/>
  <c r="D376" i="11"/>
  <c r="C377" i="11"/>
  <c r="D377" i="11"/>
  <c r="C378" i="11"/>
  <c r="D378" i="11"/>
  <c r="C379" i="11"/>
  <c r="D379" i="11"/>
  <c r="C380" i="11"/>
  <c r="D380" i="11"/>
  <c r="C381" i="11"/>
  <c r="D381" i="11"/>
  <c r="C382" i="11"/>
  <c r="D382" i="11"/>
  <c r="C383" i="11"/>
  <c r="D383" i="11"/>
  <c r="C384" i="11"/>
  <c r="D384" i="11"/>
  <c r="C385" i="11"/>
  <c r="D385" i="11"/>
  <c r="C386" i="11"/>
  <c r="D386" i="11"/>
  <c r="C387" i="11"/>
  <c r="D387" i="11"/>
  <c r="C388" i="11"/>
  <c r="D388" i="11"/>
  <c r="C389" i="11"/>
  <c r="D389" i="11"/>
  <c r="C390" i="11"/>
  <c r="D390" i="11"/>
  <c r="C391" i="11"/>
  <c r="D391" i="11"/>
  <c r="C392" i="11"/>
  <c r="D392" i="11"/>
  <c r="C393" i="11"/>
  <c r="D393" i="11"/>
  <c r="C394" i="11"/>
  <c r="D394" i="11"/>
  <c r="C395" i="11"/>
  <c r="D395" i="11"/>
  <c r="C396" i="11"/>
  <c r="D396" i="11"/>
  <c r="C397" i="11"/>
  <c r="D397" i="11"/>
  <c r="C398" i="11"/>
  <c r="D398" i="11"/>
  <c r="C399" i="11"/>
  <c r="D399" i="11"/>
  <c r="C400" i="11"/>
  <c r="D400" i="11"/>
  <c r="C401" i="11"/>
  <c r="D401" i="11"/>
  <c r="C402" i="11"/>
  <c r="D402" i="11"/>
  <c r="C403" i="11"/>
  <c r="D403" i="11"/>
  <c r="C404" i="11"/>
  <c r="D404" i="11"/>
  <c r="C405" i="11"/>
  <c r="D405" i="11"/>
  <c r="C406" i="11"/>
  <c r="D406" i="11"/>
  <c r="C407" i="11"/>
  <c r="D407" i="11"/>
  <c r="C408" i="11"/>
  <c r="D408" i="11"/>
  <c r="C409" i="11"/>
  <c r="D409" i="11"/>
  <c r="C410" i="11"/>
  <c r="D410" i="11"/>
  <c r="C411" i="11"/>
  <c r="D411" i="11"/>
  <c r="C412" i="11"/>
  <c r="D412" i="11"/>
  <c r="C413" i="11"/>
  <c r="D413" i="11"/>
  <c r="C414" i="11"/>
  <c r="D414" i="11"/>
  <c r="C415" i="11"/>
  <c r="D415" i="11"/>
  <c r="C416" i="11"/>
  <c r="D416" i="11"/>
  <c r="C417" i="11"/>
  <c r="D417" i="11"/>
  <c r="C418" i="11"/>
  <c r="D418" i="11"/>
  <c r="C419" i="11"/>
  <c r="D419" i="11"/>
  <c r="C420" i="11"/>
  <c r="D420" i="11"/>
  <c r="C421" i="11"/>
  <c r="D421" i="11"/>
  <c r="C422" i="11"/>
  <c r="D422" i="11"/>
  <c r="C423" i="11"/>
  <c r="D423" i="11"/>
  <c r="C424" i="11"/>
  <c r="D424" i="11"/>
  <c r="C425" i="11"/>
  <c r="D425" i="11"/>
  <c r="C426" i="11"/>
  <c r="D426" i="11"/>
  <c r="C427" i="11"/>
  <c r="D427" i="11"/>
  <c r="C428" i="11"/>
  <c r="D428" i="11"/>
  <c r="C429" i="11"/>
  <c r="D429" i="11"/>
  <c r="C430" i="11"/>
  <c r="D430" i="11"/>
  <c r="C431" i="11"/>
  <c r="D431" i="11"/>
  <c r="C432" i="11"/>
  <c r="D432" i="11"/>
  <c r="C433" i="11"/>
  <c r="D433" i="11"/>
  <c r="C434" i="11"/>
  <c r="D434" i="11"/>
  <c r="C435" i="11"/>
  <c r="D435" i="11"/>
  <c r="C436" i="11"/>
  <c r="D436" i="11"/>
  <c r="C437" i="11"/>
  <c r="D437" i="11"/>
  <c r="C438" i="11"/>
  <c r="D438" i="11"/>
  <c r="C439" i="11"/>
  <c r="D439" i="11"/>
  <c r="C440" i="11"/>
  <c r="D440" i="11"/>
  <c r="C441" i="11"/>
  <c r="D441" i="11"/>
  <c r="C442" i="11"/>
  <c r="D442" i="11"/>
  <c r="C443" i="11"/>
  <c r="D443" i="11"/>
  <c r="A2" i="9" l="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F20" i="4" l="1"/>
</calcChain>
</file>

<file path=xl/sharedStrings.xml><?xml version="1.0" encoding="utf-8"?>
<sst xmlns="http://schemas.openxmlformats.org/spreadsheetml/2006/main" count="5936" uniqueCount="1618">
  <si>
    <t>kód</t>
  </si>
  <si>
    <t>név</t>
  </si>
  <si>
    <t>Fonyódi Szilárd</t>
  </si>
  <si>
    <t>Sárkány Bíborka</t>
  </si>
  <si>
    <t>Szakács Beatrix</t>
  </si>
  <si>
    <t>Császár Katinka</t>
  </si>
  <si>
    <t>Csordás Frigyes</t>
  </si>
  <si>
    <t>Hegedűs Benedek</t>
  </si>
  <si>
    <t>Sárközi Antónia</t>
  </si>
  <si>
    <t>Csiszár Jusztin</t>
  </si>
  <si>
    <t>Palotás Melinda</t>
  </si>
  <si>
    <t>Solymos Kriszta</t>
  </si>
  <si>
    <t>Hidvégi Norbert</t>
  </si>
  <si>
    <t>Keszler Gerzson</t>
  </si>
  <si>
    <t>Sziráki Katinka</t>
  </si>
  <si>
    <t>Bodrogi Salamon</t>
  </si>
  <si>
    <t>Sáfrány Kristóf</t>
  </si>
  <si>
    <t>Lakatos Beatrix</t>
  </si>
  <si>
    <t>Erdélyi Natália</t>
  </si>
  <si>
    <t>Soproni Kelemen</t>
  </si>
  <si>
    <t>Kubinyi Klotild</t>
  </si>
  <si>
    <t>Kopácsi Taksony</t>
  </si>
  <si>
    <t>Megyesi Sarolta</t>
  </si>
  <si>
    <t>Kőműves Bíborka</t>
  </si>
  <si>
    <t>Hetényi Paulina</t>
  </si>
  <si>
    <t>Karikás Györgyi</t>
  </si>
  <si>
    <t>Krizsán Csongor</t>
  </si>
  <si>
    <t>Tihanyi Tivadar</t>
  </si>
  <si>
    <t>Petényi Adrienn</t>
  </si>
  <si>
    <t>Borbély Tihamér</t>
  </si>
  <si>
    <t>Selmeci Melinda</t>
  </si>
  <si>
    <t>Jobbágy Benedek</t>
  </si>
  <si>
    <t>Kecskés Gusztáv</t>
  </si>
  <si>
    <t>Lengyel Gertrúd</t>
  </si>
  <si>
    <t>Siklósi Klotild</t>
  </si>
  <si>
    <t>Tasnádi Martina</t>
  </si>
  <si>
    <t>Csaplár Tivadar</t>
  </si>
  <si>
    <t>Szigeti Szeréna</t>
  </si>
  <si>
    <t>Palágyi Szabina</t>
  </si>
  <si>
    <t>Szántai Paulina</t>
  </si>
  <si>
    <t>Tomcsik Ábrahám</t>
  </si>
  <si>
    <t>Székács Szilvia</t>
  </si>
  <si>
    <t>Dévényi Liliána</t>
  </si>
  <si>
    <t>Ladányi Cecilia</t>
  </si>
  <si>
    <t>Országh Antónia</t>
  </si>
  <si>
    <t>Hornyák Ábrahám</t>
  </si>
  <si>
    <t>Sasvári Katalin</t>
  </si>
  <si>
    <t>Murányi Gusztáv</t>
  </si>
  <si>
    <t>Adorján Leonóra</t>
  </si>
  <si>
    <t>Fazekas Gellért</t>
  </si>
  <si>
    <t>Rákoczi Piroska</t>
  </si>
  <si>
    <t>Szamosi Cecilia</t>
  </si>
  <si>
    <t>Mocsári Liliána</t>
  </si>
  <si>
    <t>Reményi Csenger</t>
  </si>
  <si>
    <t>Pallagi Szilárd</t>
  </si>
  <si>
    <t>Csernus Gergely</t>
  </si>
  <si>
    <t>Pákozdi Richárd</t>
  </si>
  <si>
    <t>Megyeri Kelemen</t>
  </si>
  <si>
    <t>Mohácsi Tihamér</t>
  </si>
  <si>
    <t>Hernádi Terézia</t>
  </si>
  <si>
    <t>Padányi Norbert</t>
  </si>
  <si>
    <t>Nógrádi Zsombor</t>
  </si>
  <si>
    <t>Halmosi Martina</t>
  </si>
  <si>
    <t>Szendrő Boriska</t>
  </si>
  <si>
    <t>Jurányi Olimpia</t>
  </si>
  <si>
    <t>Stadler Sarolta</t>
  </si>
  <si>
    <t>Szirtes Gerzson</t>
  </si>
  <si>
    <t>Udvardi Gizella</t>
  </si>
  <si>
    <t>Radnóti Szabina</t>
  </si>
  <si>
    <t>Nyerges Hermina</t>
  </si>
  <si>
    <t>Somogyi Hermina</t>
  </si>
  <si>
    <t>Zsoldos Felícia</t>
  </si>
  <si>
    <t>Alföldi Frigyes</t>
  </si>
  <si>
    <t>Kerekes Terézia</t>
  </si>
  <si>
    <t>Serföző Levente</t>
  </si>
  <si>
    <t>Pusztai Levente</t>
  </si>
  <si>
    <t>Kőszegi Piroska</t>
  </si>
  <si>
    <t>Dömötör Jeromos</t>
  </si>
  <si>
    <t>Soltész Barbara</t>
  </si>
  <si>
    <t>Solymár Valéria</t>
  </si>
  <si>
    <t>Polányi Natália</t>
  </si>
  <si>
    <t>Horváth Kristóf</t>
  </si>
  <si>
    <t>Kamarás Szervác</t>
  </si>
  <si>
    <t>Forgács Gizella</t>
  </si>
  <si>
    <t>Lendvai Valéria</t>
  </si>
  <si>
    <t>Szalkai Felícia</t>
  </si>
  <si>
    <t>Szepesi Gertrúd</t>
  </si>
  <si>
    <t>Nyitrai Marcell</t>
  </si>
  <si>
    <t>Kulcsár Györgyi</t>
  </si>
  <si>
    <t>Berényi Kriszta</t>
  </si>
  <si>
    <t>Szebeni Orsolya</t>
  </si>
  <si>
    <t>Csontos Gellért</t>
  </si>
  <si>
    <t>Kertész Szeréna</t>
  </si>
  <si>
    <t>Fellegi Orsolya</t>
  </si>
  <si>
    <t>Surányi Szervác</t>
  </si>
  <si>
    <t>Selényi Gergely</t>
  </si>
  <si>
    <t>Perlaki Csenger</t>
  </si>
  <si>
    <t>Hatvani Richárd</t>
  </si>
  <si>
    <t>Pozsgai Adrienn</t>
  </si>
  <si>
    <t>Székely Gyöngyi</t>
  </si>
  <si>
    <t>Sárvári Taksony</t>
  </si>
  <si>
    <t>Buzsáki Katalin</t>
  </si>
  <si>
    <t>Szegedi Marcell</t>
  </si>
  <si>
    <t>Majoros Csongor</t>
  </si>
  <si>
    <t>Kárpáti Barbara</t>
  </si>
  <si>
    <t>Pázmány Leonóra</t>
  </si>
  <si>
    <t>Pásztor Gyöngyi</t>
  </si>
  <si>
    <t>Gyimesi Zsombor</t>
  </si>
  <si>
    <t>Jelinek Szilvia</t>
  </si>
  <si>
    <t>Perényi Boriska</t>
  </si>
  <si>
    <t>Sarkadi Jeromos</t>
  </si>
  <si>
    <t>Komlósi Jusztin</t>
  </si>
  <si>
    <t>Bakonyi Salamon</t>
  </si>
  <si>
    <t>001-FS</t>
  </si>
  <si>
    <t>002-SB</t>
  </si>
  <si>
    <t>003-SB</t>
  </si>
  <si>
    <t>004-CK</t>
  </si>
  <si>
    <t>005-CF</t>
  </si>
  <si>
    <t>006-HB</t>
  </si>
  <si>
    <t>007-SA</t>
  </si>
  <si>
    <t>008-CJ</t>
  </si>
  <si>
    <t>009-PM</t>
  </si>
  <si>
    <t>010-SK</t>
  </si>
  <si>
    <t>011-HN</t>
  </si>
  <si>
    <t>012-KG</t>
  </si>
  <si>
    <t>013-SK</t>
  </si>
  <si>
    <t>014-BS</t>
  </si>
  <si>
    <t>015-SK</t>
  </si>
  <si>
    <t>016-LB</t>
  </si>
  <si>
    <t>017-EN</t>
  </si>
  <si>
    <t>018-SK</t>
  </si>
  <si>
    <t>019-KK</t>
  </si>
  <si>
    <t>020-KT</t>
  </si>
  <si>
    <t>021-MS</t>
  </si>
  <si>
    <t>022-KB</t>
  </si>
  <si>
    <t>023-HP</t>
  </si>
  <si>
    <t>024-KG</t>
  </si>
  <si>
    <t>025-KC</t>
  </si>
  <si>
    <t>026-TT</t>
  </si>
  <si>
    <t>027-PA</t>
  </si>
  <si>
    <t>028-BT</t>
  </si>
  <si>
    <t>029-SM</t>
  </si>
  <si>
    <t>030-JB</t>
  </si>
  <si>
    <t>031-KG</t>
  </si>
  <si>
    <t>032-LG</t>
  </si>
  <si>
    <t>033-SK</t>
  </si>
  <si>
    <t>034-TM</t>
  </si>
  <si>
    <t>035-CT</t>
  </si>
  <si>
    <t>036-SS</t>
  </si>
  <si>
    <t>037-PS</t>
  </si>
  <si>
    <t>038-SP</t>
  </si>
  <si>
    <t>039-TÁ</t>
  </si>
  <si>
    <t>040-SS</t>
  </si>
  <si>
    <t>041-DL</t>
  </si>
  <si>
    <t>042-LC</t>
  </si>
  <si>
    <t>043-OA</t>
  </si>
  <si>
    <t>044-HÁ</t>
  </si>
  <si>
    <t>045-SK</t>
  </si>
  <si>
    <t>046-MG</t>
  </si>
  <si>
    <t>047-AL</t>
  </si>
  <si>
    <t>048-FG</t>
  </si>
  <si>
    <t>049-RP</t>
  </si>
  <si>
    <t>050-SC</t>
  </si>
  <si>
    <t>051-ML</t>
  </si>
  <si>
    <t>052-RC</t>
  </si>
  <si>
    <t>053-PS</t>
  </si>
  <si>
    <t>054-CG</t>
  </si>
  <si>
    <t>055-PR</t>
  </si>
  <si>
    <t>056-MK</t>
  </si>
  <si>
    <t>057-MT</t>
  </si>
  <si>
    <t>058-HT</t>
  </si>
  <si>
    <t>059-PN</t>
  </si>
  <si>
    <t>060-NZ</t>
  </si>
  <si>
    <t>061-HM</t>
  </si>
  <si>
    <t>062-SB</t>
  </si>
  <si>
    <t>063-JO</t>
  </si>
  <si>
    <t>064-SS</t>
  </si>
  <si>
    <t>065-SG</t>
  </si>
  <si>
    <t>066-UG</t>
  </si>
  <si>
    <t>067-RS</t>
  </si>
  <si>
    <t>068-NH</t>
  </si>
  <si>
    <t>069-SH</t>
  </si>
  <si>
    <t>070-ZF</t>
  </si>
  <si>
    <t>071-AF</t>
  </si>
  <si>
    <t>072-KT</t>
  </si>
  <si>
    <t>073-SL</t>
  </si>
  <si>
    <t>074-PL</t>
  </si>
  <si>
    <t>075-KP</t>
  </si>
  <si>
    <t>076-DJ</t>
  </si>
  <si>
    <t>077-SB</t>
  </si>
  <si>
    <t>078-SV</t>
  </si>
  <si>
    <t>079-PN</t>
  </si>
  <si>
    <t>080-HK</t>
  </si>
  <si>
    <t>081-KS</t>
  </si>
  <si>
    <t>082-FG</t>
  </si>
  <si>
    <t>083-LV</t>
  </si>
  <si>
    <t>084-SF</t>
  </si>
  <si>
    <t>085-SG</t>
  </si>
  <si>
    <t>086-NM</t>
  </si>
  <si>
    <t>087-KG</t>
  </si>
  <si>
    <t>088-BK</t>
  </si>
  <si>
    <t>089-SO</t>
  </si>
  <si>
    <t>090-CG</t>
  </si>
  <si>
    <t>091-KS</t>
  </si>
  <si>
    <t>092-FO</t>
  </si>
  <si>
    <t>093-SS</t>
  </si>
  <si>
    <t>094-SG</t>
  </si>
  <si>
    <t>095-PC</t>
  </si>
  <si>
    <t>096-HR</t>
  </si>
  <si>
    <t>097-PA</t>
  </si>
  <si>
    <t>098-SG</t>
  </si>
  <si>
    <t>099-ST</t>
  </si>
  <si>
    <t>100-BK</t>
  </si>
  <si>
    <t>101-SM</t>
  </si>
  <si>
    <t>102-MC</t>
  </si>
  <si>
    <t>103-KB</t>
  </si>
  <si>
    <t>104-PL</t>
  </si>
  <si>
    <t>105-PG</t>
  </si>
  <si>
    <t>106-GZ</t>
  </si>
  <si>
    <t>107-JS</t>
  </si>
  <si>
    <t>108-PB</t>
  </si>
  <si>
    <t>109-SJ</t>
  </si>
  <si>
    <t>110-KJ</t>
  </si>
  <si>
    <t>111-BS</t>
  </si>
  <si>
    <t>ügyfél</t>
  </si>
  <si>
    <t>város</t>
  </si>
  <si>
    <t>egyenleg</t>
  </si>
  <si>
    <t xml:space="preserve"> Abonyi Olimpia</t>
  </si>
  <si>
    <t>Székesfehérvár</t>
  </si>
  <si>
    <t xml:space="preserve"> Ács Rozália</t>
  </si>
  <si>
    <t>Pécs</t>
  </si>
  <si>
    <t xml:space="preserve"> Adorján Mihály</t>
  </si>
  <si>
    <t xml:space="preserve"> Adorján Szabrina</t>
  </si>
  <si>
    <t xml:space="preserve"> Agócs Norbert</t>
  </si>
  <si>
    <t xml:space="preserve"> Ambrus Bíborka</t>
  </si>
  <si>
    <t>Budapest</t>
  </si>
  <si>
    <t xml:space="preserve"> Angyal Katalin</t>
  </si>
  <si>
    <t xml:space="preserve"> Asolti Hermina</t>
  </si>
  <si>
    <t>Győr</t>
  </si>
  <si>
    <t xml:space="preserve"> Bacsó Csenge</t>
  </si>
  <si>
    <t xml:space="preserve"> Bacsó Katalin</t>
  </si>
  <si>
    <t>Kecskemét</t>
  </si>
  <si>
    <t xml:space="preserve"> Bacsó Tas</t>
  </si>
  <si>
    <t>Miskolc</t>
  </si>
  <si>
    <t xml:space="preserve"> Balog Nándor</t>
  </si>
  <si>
    <t>Szeged</t>
  </si>
  <si>
    <t xml:space="preserve"> Balog Olimpia</t>
  </si>
  <si>
    <t xml:space="preserve"> Bán Tibor</t>
  </si>
  <si>
    <t xml:space="preserve"> Baranyai Huba</t>
  </si>
  <si>
    <t>Debrecen</t>
  </si>
  <si>
    <t xml:space="preserve"> Bartos Bence</t>
  </si>
  <si>
    <t>Nyíregyháza</t>
  </si>
  <si>
    <t xml:space="preserve"> Bartos Szilvia</t>
  </si>
  <si>
    <t xml:space="preserve"> Beke Barbara</t>
  </si>
  <si>
    <t xml:space="preserve"> Beke Matild</t>
  </si>
  <si>
    <t xml:space="preserve"> Bene Ábrahám</t>
  </si>
  <si>
    <t xml:space="preserve"> Bene Olívia</t>
  </si>
  <si>
    <t xml:space="preserve"> Béres Félix</t>
  </si>
  <si>
    <t xml:space="preserve"> Béres Magda</t>
  </si>
  <si>
    <t xml:space="preserve"> Berkes Szilárd</t>
  </si>
  <si>
    <t xml:space="preserve"> Bertók Péter</t>
  </si>
  <si>
    <t xml:space="preserve"> Bihari Tünde</t>
  </si>
  <si>
    <t xml:space="preserve"> Blaskó László</t>
  </si>
  <si>
    <t xml:space="preserve"> Blaskó Teréz</t>
  </si>
  <si>
    <t xml:space="preserve"> Bobák Gergely</t>
  </si>
  <si>
    <t xml:space="preserve"> Bódi Valéria</t>
  </si>
  <si>
    <t xml:space="preserve"> Bodrogi Ákos</t>
  </si>
  <si>
    <t xml:space="preserve"> Boros Anita</t>
  </si>
  <si>
    <t xml:space="preserve"> Czakó Csanád</t>
  </si>
  <si>
    <t xml:space="preserve"> Czifra Krisztina</t>
  </si>
  <si>
    <t xml:space="preserve"> Csáki Gergely</t>
  </si>
  <si>
    <t xml:space="preserve"> Csányi Arika</t>
  </si>
  <si>
    <t xml:space="preserve"> Csaplár Vanda</t>
  </si>
  <si>
    <t xml:space="preserve"> Cseh Móricz</t>
  </si>
  <si>
    <t xml:space="preserve"> Cseke Ede</t>
  </si>
  <si>
    <t xml:space="preserve"> Csiszár Stefánia</t>
  </si>
  <si>
    <t xml:space="preserve"> Csóka Anikó</t>
  </si>
  <si>
    <t xml:space="preserve"> Csontos Hajnalka</t>
  </si>
  <si>
    <t xml:space="preserve"> Csorba István</t>
  </si>
  <si>
    <t xml:space="preserve"> Csorba Róza</t>
  </si>
  <si>
    <t xml:space="preserve"> Csordás Renáta</t>
  </si>
  <si>
    <t xml:space="preserve"> Dallos Edina</t>
  </si>
  <si>
    <t xml:space="preserve"> Dallos Ferenc</t>
  </si>
  <si>
    <t xml:space="preserve"> Debreceni Fábián</t>
  </si>
  <si>
    <t xml:space="preserve"> Dóczi Jónás</t>
  </si>
  <si>
    <t xml:space="preserve"> Dóczi Roland</t>
  </si>
  <si>
    <t xml:space="preserve"> Dóka Márta</t>
  </si>
  <si>
    <t xml:space="preserve"> Dombi Gáspár</t>
  </si>
  <si>
    <t xml:space="preserve"> Dózsa Krisztián</t>
  </si>
  <si>
    <t xml:space="preserve"> Dömötör Péter</t>
  </si>
  <si>
    <t xml:space="preserve"> Dömötör Rókus</t>
  </si>
  <si>
    <t xml:space="preserve"> Egervári Jolán</t>
  </si>
  <si>
    <t xml:space="preserve"> Egyed Ferenc</t>
  </si>
  <si>
    <t xml:space="preserve"> Egyed Gerda</t>
  </si>
  <si>
    <t xml:space="preserve"> Egyed Rózsa</t>
  </si>
  <si>
    <t xml:space="preserve"> Enyedi Márk</t>
  </si>
  <si>
    <t xml:space="preserve"> Erdei Albert</t>
  </si>
  <si>
    <t xml:space="preserve"> Erdélyi Martina</t>
  </si>
  <si>
    <t xml:space="preserve"> Fábián Terézia</t>
  </si>
  <si>
    <t xml:space="preserve"> Faludi Vazul</t>
  </si>
  <si>
    <t xml:space="preserve"> Farkas József</t>
  </si>
  <si>
    <t xml:space="preserve"> Farkas Kázmér</t>
  </si>
  <si>
    <t xml:space="preserve"> Fazekas Kata</t>
  </si>
  <si>
    <t xml:space="preserve"> Fehér Irma</t>
  </si>
  <si>
    <t xml:space="preserve"> Fellegi Károly</t>
  </si>
  <si>
    <t xml:space="preserve"> Fodor Sebestény</t>
  </si>
  <si>
    <t xml:space="preserve"> Fonyódi Mihály</t>
  </si>
  <si>
    <t xml:space="preserve"> Fóti Botond</t>
  </si>
  <si>
    <t xml:space="preserve"> Földes Zsófia</t>
  </si>
  <si>
    <t xml:space="preserve"> Földvári Annamária</t>
  </si>
  <si>
    <t xml:space="preserve"> Frank Margit</t>
  </si>
  <si>
    <t xml:space="preserve"> Füleki Orbán</t>
  </si>
  <si>
    <t xml:space="preserve"> Gál Emese</t>
  </si>
  <si>
    <t xml:space="preserve"> Galambos Adrienn</t>
  </si>
  <si>
    <t xml:space="preserve"> Galambos Antal</t>
  </si>
  <si>
    <t xml:space="preserve"> Galambos Helga</t>
  </si>
  <si>
    <t xml:space="preserve"> Galambos Szabina</t>
  </si>
  <si>
    <t xml:space="preserve"> Garami Lázár</t>
  </si>
  <si>
    <t xml:space="preserve"> Garami Orbán</t>
  </si>
  <si>
    <t xml:space="preserve"> Garamvölgyi Mátyás</t>
  </si>
  <si>
    <t xml:space="preserve"> Gazdag Lóránd</t>
  </si>
  <si>
    <t xml:space="preserve"> Gerencsér Emma</t>
  </si>
  <si>
    <t xml:space="preserve"> Gerencsér Ilka</t>
  </si>
  <si>
    <t xml:space="preserve"> Gosztonyi Áron</t>
  </si>
  <si>
    <t xml:space="preserve"> Gosztonyi Ede</t>
  </si>
  <si>
    <t xml:space="preserve"> Gosztonyi Sarolta</t>
  </si>
  <si>
    <t xml:space="preserve"> Gönci Gertrúd</t>
  </si>
  <si>
    <t xml:space="preserve"> Gyarmati Anna</t>
  </si>
  <si>
    <t xml:space="preserve"> Gyenes Brigitta</t>
  </si>
  <si>
    <t xml:space="preserve"> Gyenes Orbán</t>
  </si>
  <si>
    <t xml:space="preserve"> Győri Zsolt</t>
  </si>
  <si>
    <t xml:space="preserve"> Gyulai Viktória</t>
  </si>
  <si>
    <t xml:space="preserve"> Hagymási Arika</t>
  </si>
  <si>
    <t xml:space="preserve"> Hagymási Ervin</t>
  </si>
  <si>
    <t xml:space="preserve"> Hagymási Zétény</t>
  </si>
  <si>
    <t xml:space="preserve"> Hajdú Béla</t>
  </si>
  <si>
    <t xml:space="preserve"> Halasi Tivadar</t>
  </si>
  <si>
    <t xml:space="preserve"> Halmai Jeromos</t>
  </si>
  <si>
    <t xml:space="preserve"> Halmosi Gabriella</t>
  </si>
  <si>
    <t xml:space="preserve"> Hamar Lenke</t>
  </si>
  <si>
    <t xml:space="preserve"> Hanák Márta</t>
  </si>
  <si>
    <t xml:space="preserve"> Hanák Szaniszló</t>
  </si>
  <si>
    <t xml:space="preserve"> Harsányi Zsuzsanna</t>
  </si>
  <si>
    <t xml:space="preserve"> Hegyi Albert</t>
  </si>
  <si>
    <t xml:space="preserve"> Hegyi Elek</t>
  </si>
  <si>
    <t xml:space="preserve"> Hetényi Árpád</t>
  </si>
  <si>
    <t xml:space="preserve"> Hidas Frigyes</t>
  </si>
  <si>
    <t xml:space="preserve"> Hidvégi Bonifác</t>
  </si>
  <si>
    <t xml:space="preserve"> Holló Veronika</t>
  </si>
  <si>
    <t xml:space="preserve"> Homoki Heléna</t>
  </si>
  <si>
    <t xml:space="preserve"> Homoki Máté</t>
  </si>
  <si>
    <t xml:space="preserve"> Honti Vendel</t>
  </si>
  <si>
    <t xml:space="preserve"> Hornyák Adorján</t>
  </si>
  <si>
    <t xml:space="preserve"> Horváth Kálmán</t>
  </si>
  <si>
    <t xml:space="preserve"> Huszák Jakab</t>
  </si>
  <si>
    <t xml:space="preserve"> Huszák Zita</t>
  </si>
  <si>
    <t xml:space="preserve"> Huszár Ábel</t>
  </si>
  <si>
    <t xml:space="preserve"> Huszár Jakab</t>
  </si>
  <si>
    <t xml:space="preserve"> Huszka Géza</t>
  </si>
  <si>
    <t xml:space="preserve"> Iványi Vince</t>
  </si>
  <si>
    <t xml:space="preserve"> Jámbor Dénes</t>
  </si>
  <si>
    <t xml:space="preserve"> Jámbor Réka</t>
  </si>
  <si>
    <t xml:space="preserve"> Jancsó Attila</t>
  </si>
  <si>
    <t xml:space="preserve"> Jankovics Jácint</t>
  </si>
  <si>
    <t xml:space="preserve"> Jankovics Vencel</t>
  </si>
  <si>
    <t xml:space="preserve"> Jelinek Irén</t>
  </si>
  <si>
    <t xml:space="preserve"> Jelinek Zétény</t>
  </si>
  <si>
    <t xml:space="preserve"> Jenei Borisz</t>
  </si>
  <si>
    <t xml:space="preserve"> Jenei Jolán</t>
  </si>
  <si>
    <t xml:space="preserve"> Jobbágy Zoltán</t>
  </si>
  <si>
    <t xml:space="preserve"> Juhász Bulcsú</t>
  </si>
  <si>
    <t xml:space="preserve"> Jurányi Magdaléna</t>
  </si>
  <si>
    <t xml:space="preserve"> Kádár György</t>
  </si>
  <si>
    <t xml:space="preserve"> Kádár Olívia</t>
  </si>
  <si>
    <t xml:space="preserve"> Káldor Bernát</t>
  </si>
  <si>
    <t xml:space="preserve"> Kapás Petra</t>
  </si>
  <si>
    <t xml:space="preserve"> Káplár Dániel</t>
  </si>
  <si>
    <t xml:space="preserve"> Káplár Magdolna</t>
  </si>
  <si>
    <t xml:space="preserve"> Káplár Simon</t>
  </si>
  <si>
    <t xml:space="preserve"> Kardos Gedeon</t>
  </si>
  <si>
    <t xml:space="preserve"> Kardos Lívia</t>
  </si>
  <si>
    <t xml:space="preserve"> Kardos Vencel</t>
  </si>
  <si>
    <t xml:space="preserve"> Kárpáti Taksony</t>
  </si>
  <si>
    <t xml:space="preserve"> Karsai Balázs</t>
  </si>
  <si>
    <t xml:space="preserve"> Karsai Szaniszló</t>
  </si>
  <si>
    <t xml:space="preserve"> Kecskés Alfréd</t>
  </si>
  <si>
    <t xml:space="preserve"> Kende Bátor</t>
  </si>
  <si>
    <t xml:space="preserve"> Kenyeres Áron</t>
  </si>
  <si>
    <t xml:space="preserve"> Keresztes Irma</t>
  </si>
  <si>
    <t xml:space="preserve"> Kertes Aranka</t>
  </si>
  <si>
    <t xml:space="preserve"> Kertész Domonkos</t>
  </si>
  <si>
    <t xml:space="preserve"> Kertész Félix</t>
  </si>
  <si>
    <t xml:space="preserve"> Keszler Pál</t>
  </si>
  <si>
    <t xml:space="preserve"> Keszthelyi Vanda</t>
  </si>
  <si>
    <t xml:space="preserve"> Király Hedvig</t>
  </si>
  <si>
    <t xml:space="preserve"> Kis Zsombor</t>
  </si>
  <si>
    <t xml:space="preserve"> Komlósi Mónika</t>
  </si>
  <si>
    <t xml:space="preserve"> Kondor Pál</t>
  </si>
  <si>
    <t xml:space="preserve"> Kontra Márton</t>
  </si>
  <si>
    <t xml:space="preserve"> Korda Julianna</t>
  </si>
  <si>
    <t xml:space="preserve"> Kormos Kata</t>
  </si>
  <si>
    <t xml:space="preserve"> Kósa Kálmán</t>
  </si>
  <si>
    <t xml:space="preserve"> Kovács Arnold</t>
  </si>
  <si>
    <t xml:space="preserve"> Kovács Lukács</t>
  </si>
  <si>
    <t xml:space="preserve"> Kozák Kristóf</t>
  </si>
  <si>
    <t xml:space="preserve"> Kozma Amália</t>
  </si>
  <si>
    <t xml:space="preserve"> Kozma Leonóra</t>
  </si>
  <si>
    <t xml:space="preserve"> Kökény Erzsébet</t>
  </si>
  <si>
    <t xml:space="preserve"> Kőszegi Ede</t>
  </si>
  <si>
    <t xml:space="preserve"> Köves Antal</t>
  </si>
  <si>
    <t xml:space="preserve"> Köves Bonifác</t>
  </si>
  <si>
    <t xml:space="preserve"> Köves Olimpia</t>
  </si>
  <si>
    <t xml:space="preserve"> Krizsán Edina</t>
  </si>
  <si>
    <t xml:space="preserve"> Kubinyi Kelemen</t>
  </si>
  <si>
    <t xml:space="preserve"> Kulcsár Iván</t>
  </si>
  <si>
    <t xml:space="preserve"> Kun Angéla</t>
  </si>
  <si>
    <t xml:space="preserve"> Kun Jeromos</t>
  </si>
  <si>
    <t xml:space="preserve"> Kútvölgyi Gáspár</t>
  </si>
  <si>
    <t xml:space="preserve"> Kürti Paulina</t>
  </si>
  <si>
    <t xml:space="preserve"> Ladányi Ödön</t>
  </si>
  <si>
    <t xml:space="preserve"> Lakatos Viola</t>
  </si>
  <si>
    <t xml:space="preserve"> Lakatos Zsóka</t>
  </si>
  <si>
    <t xml:space="preserve"> Lakos Gertrúd</t>
  </si>
  <si>
    <t xml:space="preserve"> Lánczi Ágoston</t>
  </si>
  <si>
    <t xml:space="preserve"> Lánczi Lili</t>
  </si>
  <si>
    <t xml:space="preserve"> Lendvai Boriska</t>
  </si>
  <si>
    <t xml:space="preserve"> Lengyel Lázár</t>
  </si>
  <si>
    <t xml:space="preserve"> Ligeti Tibor</t>
  </si>
  <si>
    <t xml:space="preserve"> Mácsai Magdaléna</t>
  </si>
  <si>
    <t xml:space="preserve"> Magyar Barna</t>
  </si>
  <si>
    <t xml:space="preserve"> Magyar Katinka</t>
  </si>
  <si>
    <t xml:space="preserve"> Majoros Róza</t>
  </si>
  <si>
    <t xml:space="preserve"> Makai Áron</t>
  </si>
  <si>
    <t xml:space="preserve"> Makai Aurél</t>
  </si>
  <si>
    <t xml:space="preserve"> Márkus Katalin</t>
  </si>
  <si>
    <t xml:space="preserve"> Maróti Ede</t>
  </si>
  <si>
    <t xml:space="preserve"> Matos Berta</t>
  </si>
  <si>
    <t xml:space="preserve"> Matos Tamara</t>
  </si>
  <si>
    <t xml:space="preserve"> Medve Elza</t>
  </si>
  <si>
    <t xml:space="preserve"> Megyesi Levente</t>
  </si>
  <si>
    <t xml:space="preserve"> Méhes Valéria</t>
  </si>
  <si>
    <t xml:space="preserve"> Mester Cecilia</t>
  </si>
  <si>
    <t xml:space="preserve"> Mészáros Dorottya</t>
  </si>
  <si>
    <t xml:space="preserve"> Mészáros Oszkár</t>
  </si>
  <si>
    <t xml:space="preserve"> Mészáros Soma</t>
  </si>
  <si>
    <t xml:space="preserve"> Mező Zsigmond</t>
  </si>
  <si>
    <t xml:space="preserve"> Mikó Heléna</t>
  </si>
  <si>
    <t xml:space="preserve"> Mocsári Tas</t>
  </si>
  <si>
    <t xml:space="preserve"> Mohos Menyhért</t>
  </si>
  <si>
    <t xml:space="preserve"> Morvai Ildikó</t>
  </si>
  <si>
    <t xml:space="preserve"> Mózer Márkó</t>
  </si>
  <si>
    <t xml:space="preserve"> Murányi Hermina</t>
  </si>
  <si>
    <t xml:space="preserve"> Nádasi Lenke</t>
  </si>
  <si>
    <t xml:space="preserve"> Nádor Boglárka</t>
  </si>
  <si>
    <t xml:space="preserve"> Nádor Tivadar</t>
  </si>
  <si>
    <t xml:space="preserve"> Nemes Pál</t>
  </si>
  <si>
    <t xml:space="preserve"> Német Boglárka</t>
  </si>
  <si>
    <t xml:space="preserve"> Nyári Malvin</t>
  </si>
  <si>
    <t xml:space="preserve"> Nyéki Tibor</t>
  </si>
  <si>
    <t xml:space="preserve"> Nyerges Mária</t>
  </si>
  <si>
    <t xml:space="preserve"> Nyitrai Alíz</t>
  </si>
  <si>
    <t xml:space="preserve"> Nyitrai Csilla</t>
  </si>
  <si>
    <t xml:space="preserve"> Ocskó Dénes</t>
  </si>
  <si>
    <t xml:space="preserve"> Olajos Malvin</t>
  </si>
  <si>
    <t xml:space="preserve"> Orosz Boldizsár</t>
  </si>
  <si>
    <t xml:space="preserve"> Orosz Ervin</t>
  </si>
  <si>
    <t xml:space="preserve"> Országh Szidónia</t>
  </si>
  <si>
    <t xml:space="preserve"> Ötvös Tódor</t>
  </si>
  <si>
    <t xml:space="preserve"> Padányi Tihamér</t>
  </si>
  <si>
    <t xml:space="preserve"> Pados Lénárd</t>
  </si>
  <si>
    <t xml:space="preserve"> Pados Vazul</t>
  </si>
  <si>
    <t xml:space="preserve"> Pákozdi Lázár</t>
  </si>
  <si>
    <t xml:space="preserve"> Pálfi Botond</t>
  </si>
  <si>
    <t xml:space="preserve"> Pálfi Viktor</t>
  </si>
  <si>
    <t xml:space="preserve"> Pálinkás Antal</t>
  </si>
  <si>
    <t xml:space="preserve"> Pálinkás Dóra</t>
  </si>
  <si>
    <t xml:space="preserve"> Pálinkás Iván</t>
  </si>
  <si>
    <t xml:space="preserve"> Pálos Teréz</t>
  </si>
  <si>
    <t xml:space="preserve"> Pap Boldizsár</t>
  </si>
  <si>
    <t xml:space="preserve"> Parádi Pál</t>
  </si>
  <si>
    <t xml:space="preserve"> Parti Mózes</t>
  </si>
  <si>
    <t xml:space="preserve"> Pataki Gyöngyi</t>
  </si>
  <si>
    <t xml:space="preserve"> Pécsi Adrienn</t>
  </si>
  <si>
    <t xml:space="preserve"> Pék Sebestény</t>
  </si>
  <si>
    <t xml:space="preserve"> Péli Klára</t>
  </si>
  <si>
    <t xml:space="preserve"> Perjés Petra</t>
  </si>
  <si>
    <t xml:space="preserve"> Perlaki András</t>
  </si>
  <si>
    <t xml:space="preserve"> Perlaki Kázmér</t>
  </si>
  <si>
    <t xml:space="preserve"> Perlaki Tibor</t>
  </si>
  <si>
    <t xml:space="preserve"> Pesti Etelka</t>
  </si>
  <si>
    <t xml:space="preserve"> Pete Jónás</t>
  </si>
  <si>
    <t xml:space="preserve"> Petényi Ágota</t>
  </si>
  <si>
    <t xml:space="preserve"> Petrányi János</t>
  </si>
  <si>
    <t xml:space="preserve"> Petrovics Árpád</t>
  </si>
  <si>
    <t xml:space="preserve"> Petrovics Titusz</t>
  </si>
  <si>
    <t xml:space="preserve"> Piros Györgyi</t>
  </si>
  <si>
    <t xml:space="preserve"> Polányi Vilmos</t>
  </si>
  <si>
    <t xml:space="preserve"> Poór Gál</t>
  </si>
  <si>
    <t xml:space="preserve"> Porkoláb Béla</t>
  </si>
  <si>
    <t xml:space="preserve"> Porkoláb János</t>
  </si>
  <si>
    <t xml:space="preserve"> Porkoláb Zsófia</t>
  </si>
  <si>
    <t xml:space="preserve"> Pósa Jakab</t>
  </si>
  <si>
    <t xml:space="preserve"> Pósa Magdaléna</t>
  </si>
  <si>
    <t xml:space="preserve"> Pozsgai Klotild</t>
  </si>
  <si>
    <t xml:space="preserve"> Pozsonyi Szabina</t>
  </si>
  <si>
    <t xml:space="preserve"> Puskás Lídia</t>
  </si>
  <si>
    <t xml:space="preserve"> Rácz Olga</t>
  </si>
  <si>
    <t xml:space="preserve"> Rádi Zsuzsanna</t>
  </si>
  <si>
    <t xml:space="preserve"> Raffai Margit</t>
  </si>
  <si>
    <t xml:space="preserve"> Rajnai Attila</t>
  </si>
  <si>
    <t xml:space="preserve"> Rajnai Mózes</t>
  </si>
  <si>
    <t xml:space="preserve"> Rákoczi Jónás</t>
  </si>
  <si>
    <t xml:space="preserve"> Rákoczi Katalin</t>
  </si>
  <si>
    <t xml:space="preserve"> Rákosi Vilma</t>
  </si>
  <si>
    <t xml:space="preserve"> Rákosi Zsolt</t>
  </si>
  <si>
    <t xml:space="preserve"> Ráth Szilárd</t>
  </si>
  <si>
    <t xml:space="preserve"> Ravasz József</t>
  </si>
  <si>
    <t xml:space="preserve"> Rédei Annamária</t>
  </si>
  <si>
    <t xml:space="preserve"> Rédei Vilmos</t>
  </si>
  <si>
    <t xml:space="preserve"> Rejtő Benedek</t>
  </si>
  <si>
    <t xml:space="preserve"> Reményi Antal</t>
  </si>
  <si>
    <t xml:space="preserve"> Rényi Nóra</t>
  </si>
  <si>
    <t xml:space="preserve"> Réti Jenő</t>
  </si>
  <si>
    <t xml:space="preserve"> Révész Izolda</t>
  </si>
  <si>
    <t xml:space="preserve"> Révész Lídia</t>
  </si>
  <si>
    <t xml:space="preserve"> Réz Andor</t>
  </si>
  <si>
    <t xml:space="preserve"> Rigó Mária</t>
  </si>
  <si>
    <t xml:space="preserve"> Ritter Örs</t>
  </si>
  <si>
    <t xml:space="preserve"> Román Gyula</t>
  </si>
  <si>
    <t xml:space="preserve"> Romhányi Kitti</t>
  </si>
  <si>
    <t xml:space="preserve"> Rostás Ákos</t>
  </si>
  <si>
    <t xml:space="preserve"> Rostás Virág</t>
  </si>
  <si>
    <t xml:space="preserve"> Rózsa Kitti</t>
  </si>
  <si>
    <t xml:space="preserve"> Rózsa Marianna</t>
  </si>
  <si>
    <t xml:space="preserve"> Rózsa Tünde</t>
  </si>
  <si>
    <t xml:space="preserve"> Rózsahegyi Ivó</t>
  </si>
  <si>
    <t xml:space="preserve"> Rózsavölgyi Lipót</t>
  </si>
  <si>
    <t xml:space="preserve"> Rozsnyai Ágoston</t>
  </si>
  <si>
    <t xml:space="preserve"> Sági Amália</t>
  </si>
  <si>
    <t xml:space="preserve"> Sági László</t>
  </si>
  <si>
    <t xml:space="preserve"> Sajó Balázs</t>
  </si>
  <si>
    <t xml:space="preserve"> Sajó Rezső</t>
  </si>
  <si>
    <t xml:space="preserve"> Sánta Vilmos</t>
  </si>
  <si>
    <t xml:space="preserve"> Sápi Gál</t>
  </si>
  <si>
    <t xml:space="preserve"> Sápi Renáta</t>
  </si>
  <si>
    <t xml:space="preserve"> Sári Gedeon</t>
  </si>
  <si>
    <t xml:space="preserve"> Sári Kornélia</t>
  </si>
  <si>
    <t xml:space="preserve"> Sári Paulina</t>
  </si>
  <si>
    <t xml:space="preserve"> Sarkadi Ármin</t>
  </si>
  <si>
    <t xml:space="preserve"> Sarkadi Magdolna</t>
  </si>
  <si>
    <t xml:space="preserve"> Sárkány Gyöngyvér</t>
  </si>
  <si>
    <t xml:space="preserve"> Sárvári Viktória</t>
  </si>
  <si>
    <t xml:space="preserve"> Sátori Ida</t>
  </si>
  <si>
    <t xml:space="preserve"> Sebő Mária</t>
  </si>
  <si>
    <t xml:space="preserve"> Selényi Edvin</t>
  </si>
  <si>
    <t xml:space="preserve"> Selmeci Ágoston</t>
  </si>
  <si>
    <t xml:space="preserve"> Sényi Virág</t>
  </si>
  <si>
    <t xml:space="preserve"> Seres Júlia</t>
  </si>
  <si>
    <t xml:space="preserve"> Siklósi Adorján</t>
  </si>
  <si>
    <t xml:space="preserve"> Simó Amanda</t>
  </si>
  <si>
    <t xml:space="preserve"> Slezák Gedeon</t>
  </si>
  <si>
    <t xml:space="preserve"> Slezák Gusztáv</t>
  </si>
  <si>
    <t xml:space="preserve"> Solymár Emőd</t>
  </si>
  <si>
    <t xml:space="preserve"> Solymár Richárd</t>
  </si>
  <si>
    <t xml:space="preserve"> Solymos Lili</t>
  </si>
  <si>
    <t xml:space="preserve"> Somlai Lóránd</t>
  </si>
  <si>
    <t xml:space="preserve"> Somlai Vanda</t>
  </si>
  <si>
    <t xml:space="preserve"> Somogyi Richárd</t>
  </si>
  <si>
    <t xml:space="preserve"> Somogyvári Erzsébet</t>
  </si>
  <si>
    <t xml:space="preserve"> Sós Annabella</t>
  </si>
  <si>
    <t xml:space="preserve"> Sóti Franciska</t>
  </si>
  <si>
    <t xml:space="preserve"> Sulyok Csenger</t>
  </si>
  <si>
    <t xml:space="preserve"> Sulyok Ferenc</t>
  </si>
  <si>
    <t xml:space="preserve"> Sulyok Hermina</t>
  </si>
  <si>
    <t xml:space="preserve"> Sulyok Liza</t>
  </si>
  <si>
    <t xml:space="preserve"> Surányi Ágota</t>
  </si>
  <si>
    <t xml:space="preserve"> Surányi Frigyes</t>
  </si>
  <si>
    <t xml:space="preserve"> Sutka Pál</t>
  </si>
  <si>
    <t xml:space="preserve"> Sütő Konrád</t>
  </si>
  <si>
    <t xml:space="preserve"> Sütő Sebestény</t>
  </si>
  <si>
    <t xml:space="preserve"> Szakács Nóra</t>
  </si>
  <si>
    <t xml:space="preserve"> Szakál Csanád</t>
  </si>
  <si>
    <t xml:space="preserve"> Szakál Rózsa</t>
  </si>
  <si>
    <t xml:space="preserve"> Szalai Szabrina</t>
  </si>
  <si>
    <t xml:space="preserve"> Szalkai Vera</t>
  </si>
  <si>
    <t xml:space="preserve"> Szalontai Ignác</t>
  </si>
  <si>
    <t xml:space="preserve"> Szamosi Zsigmond</t>
  </si>
  <si>
    <t xml:space="preserve"> Szántai Imola</t>
  </si>
  <si>
    <t xml:space="preserve"> Szántó Aurél</t>
  </si>
  <si>
    <t xml:space="preserve"> Szanyi Enikő</t>
  </si>
  <si>
    <t xml:space="preserve"> Szappanos Mónika</t>
  </si>
  <si>
    <t xml:space="preserve"> Szarka Tivadar</t>
  </si>
  <si>
    <t xml:space="preserve"> Szegedi Gerda</t>
  </si>
  <si>
    <t xml:space="preserve"> Székács Dávid</t>
  </si>
  <si>
    <t xml:space="preserve"> Szekeres Vince</t>
  </si>
  <si>
    <t xml:space="preserve"> Szelei Krisztián</t>
  </si>
  <si>
    <t xml:space="preserve"> Szelei Pálma</t>
  </si>
  <si>
    <t xml:space="preserve"> Szendrei Beatrix</t>
  </si>
  <si>
    <t xml:space="preserve"> Szente Valentin</t>
  </si>
  <si>
    <t xml:space="preserve"> Szepesi Ágota</t>
  </si>
  <si>
    <t xml:space="preserve"> Szigeti Emőke</t>
  </si>
  <si>
    <t xml:space="preserve"> Szolnoki Fülöp</t>
  </si>
  <si>
    <t xml:space="preserve"> Szorád Tódor</t>
  </si>
  <si>
    <t xml:space="preserve"> Szűcs Márton</t>
  </si>
  <si>
    <t xml:space="preserve"> Táborosi Tivadar</t>
  </si>
  <si>
    <t xml:space="preserve"> Tar Irén</t>
  </si>
  <si>
    <t xml:space="preserve"> Tárnok Péter</t>
  </si>
  <si>
    <t xml:space="preserve"> Tasnádi Ilona</t>
  </si>
  <si>
    <t xml:space="preserve"> Toldi Felícia</t>
  </si>
  <si>
    <t xml:space="preserve"> Török Salamon</t>
  </si>
  <si>
    <t xml:space="preserve"> Udvardi Natália</t>
  </si>
  <si>
    <t xml:space="preserve"> Ujvári Hedvig</t>
  </si>
  <si>
    <t xml:space="preserve"> Unger Levente</t>
  </si>
  <si>
    <t xml:space="preserve"> Unger Márkus</t>
  </si>
  <si>
    <t xml:space="preserve"> Unger Márta</t>
  </si>
  <si>
    <t xml:space="preserve"> Vadász Ágoston</t>
  </si>
  <si>
    <t xml:space="preserve"> Vágó Helga</t>
  </si>
  <si>
    <t xml:space="preserve"> Vajda Frigyes</t>
  </si>
  <si>
    <t xml:space="preserve"> Valkó Bernát</t>
  </si>
  <si>
    <t xml:space="preserve"> Vámos Elza</t>
  </si>
  <si>
    <t xml:space="preserve"> Vámos Flóra</t>
  </si>
  <si>
    <t xml:space="preserve"> Vámos Márk</t>
  </si>
  <si>
    <t xml:space="preserve"> Váradi Borbála</t>
  </si>
  <si>
    <t xml:space="preserve"> Váradi Károly</t>
  </si>
  <si>
    <t xml:space="preserve"> Vári Mihály</t>
  </si>
  <si>
    <t xml:space="preserve"> Várszegi Antal</t>
  </si>
  <si>
    <t xml:space="preserve"> Végh Lőrinc</t>
  </si>
  <si>
    <t xml:space="preserve"> Vida András</t>
  </si>
  <si>
    <t xml:space="preserve"> Vida Vendel</t>
  </si>
  <si>
    <t xml:space="preserve"> Virág Magda</t>
  </si>
  <si>
    <t xml:space="preserve"> Virág Simon</t>
  </si>
  <si>
    <t xml:space="preserve"> Vörös Judit</t>
  </si>
  <si>
    <t xml:space="preserve"> Zágon Sára</t>
  </si>
  <si>
    <t xml:space="preserve"> Zeke Vendel</t>
  </si>
  <si>
    <t>számlaszám</t>
  </si>
  <si>
    <t>Gold Prémium</t>
  </si>
  <si>
    <t xml:space="preserve">Gold </t>
  </si>
  <si>
    <t xml:space="preserve">Elit </t>
  </si>
  <si>
    <t xml:space="preserve">Standard </t>
  </si>
  <si>
    <t>Standard Prémium</t>
  </si>
  <si>
    <t>Elit Prémium</t>
  </si>
  <si>
    <t>típus</t>
  </si>
  <si>
    <t>Platina Prémium</t>
  </si>
  <si>
    <t xml:space="preserve">Platina </t>
  </si>
  <si>
    <t>A táblázat első oszlopának adattípusa szám. A speciális formátu-</t>
  </si>
  <si>
    <t>mot a jó olvashatóság érdekében állítottam be. Feltételes formá-</t>
  </si>
  <si>
    <t>Használja a program beépített relációit!</t>
  </si>
  <si>
    <t>tatásokat rendelhetnek. Ez a Prémium csomag. Feltételes formá-</t>
  </si>
  <si>
    <t xml:space="preserve"> </t>
  </si>
  <si>
    <t>sal emelje ki a négy nullával kezdődő számlaszámokat: a betűszín</t>
  </si>
  <si>
    <t>kék legyen!</t>
  </si>
  <si>
    <t>zással emelje ki az alap-típusok celláit a D oszlopban: a világossár-</t>
  </si>
  <si>
    <t>ga háttér, világosszürke szegély körbe, vékony folyamatos vonallal!</t>
  </si>
  <si>
    <t>A negatív egyenlegű ügyfelek túlköltekeztek. Egyenlegük hitelként</t>
  </si>
  <si>
    <t>lesz kezelve. Feltételes formázással emelje ki a hiteleket: a betű-</t>
  </si>
  <si>
    <t>szín szürke legyen!</t>
  </si>
  <si>
    <t>Elit</t>
  </si>
  <si>
    <t>Feltételes formázással emelje ki azoknak az ügyfeleknek a celláit,</t>
  </si>
  <si>
    <t>akiknek számlaszáma két nullára végződik! A háttér világoskék le-</t>
  </si>
  <si>
    <t>gyen, körbe, világosszürke, vékony, folyamatos vonalú szegéllyel!</t>
  </si>
  <si>
    <t>Feltételes formázással emelje ki a budapesti Standard és Standard</t>
  </si>
  <si>
    <t>gos sárga legyen, körbe, világosszürke, vékony, folyamatos vonalú</t>
  </si>
  <si>
    <t>szegéllyel!</t>
  </si>
  <si>
    <t>Prémium számla-típusú ügyfelek mind az öt celláját! A háttér vilá-</t>
  </si>
  <si>
    <t>Standard</t>
  </si>
  <si>
    <t xml:space="preserve">Standard Prémium </t>
  </si>
  <si>
    <t>A bank négy alap számla-típusához az ügyfelek kiegészítő szolgál-</t>
  </si>
  <si>
    <t>A formázás az ügyfél mind az öt celláját érintse!</t>
  </si>
  <si>
    <t>A budapesti Standard Prémium számlatulajdonosok celláinak for-</t>
  </si>
  <si>
    <t>mázása, még jó formázó képlettel, sem működik. Nyomozza ki, mi</t>
  </si>
  <si>
    <t>ennek az oka! Javítsa ki a hibát és ellenőrizze a formázás végrehaj-</t>
  </si>
  <si>
    <t>tását!</t>
  </si>
  <si>
    <t>kiselőadás</t>
  </si>
  <si>
    <t>esszé</t>
  </si>
  <si>
    <t>írásbeli</t>
  </si>
  <si>
    <t>szóbeli</t>
  </si>
  <si>
    <t>Egy tanár a következő feltételekhez kötötte tantárgyának sikeres</t>
  </si>
  <si>
    <t>született</t>
  </si>
  <si>
    <t>anyja neve</t>
  </si>
  <si>
    <t>pontszám</t>
  </si>
  <si>
    <t>Pap Tibor</t>
  </si>
  <si>
    <t>Kertész Zsófia</t>
  </si>
  <si>
    <t>Tóth Sándor</t>
  </si>
  <si>
    <t>Gyenes Dóra</t>
  </si>
  <si>
    <t>Palotai János</t>
  </si>
  <si>
    <t>Mátrai Anita</t>
  </si>
  <si>
    <t>Nagy István</t>
  </si>
  <si>
    <t>Slezák Beáta</t>
  </si>
  <si>
    <t>Molnár István</t>
  </si>
  <si>
    <t>Cseke Annamária</t>
  </si>
  <si>
    <t>Végh Gergely</t>
  </si>
  <si>
    <t>Hernádi Edit</t>
  </si>
  <si>
    <t>Bíró Attila</t>
  </si>
  <si>
    <t>Orosz Magdaléna</t>
  </si>
  <si>
    <t>Mátyás Zsuzsanna</t>
  </si>
  <si>
    <t>Révész Liza</t>
  </si>
  <si>
    <t>Nagy Éva</t>
  </si>
  <si>
    <t>Berényi Paula</t>
  </si>
  <si>
    <t>Szegedi Vera</t>
  </si>
  <si>
    <t>Végh Petra</t>
  </si>
  <si>
    <t>Görög Ödön</t>
  </si>
  <si>
    <t>Sitkei Hajnalka</t>
  </si>
  <si>
    <t>Magyar Éva</t>
  </si>
  <si>
    <t>Pákozdi Szidónia</t>
  </si>
  <si>
    <t>Berkes Anna</t>
  </si>
  <si>
    <t>Bartos Matild</t>
  </si>
  <si>
    <t>Kis Aladár</t>
  </si>
  <si>
    <t>Petényi Annabella</t>
  </si>
  <si>
    <t>Debreceni Péter</t>
  </si>
  <si>
    <t>Török Aranka</t>
  </si>
  <si>
    <t>Fazekas Emőke</t>
  </si>
  <si>
    <t>Mohácsi Piroska</t>
  </si>
  <si>
    <t>Pék Aladár</t>
  </si>
  <si>
    <t>Révész Miléna</t>
  </si>
  <si>
    <t>Nagy Erzsébet</t>
  </si>
  <si>
    <t>Orosz Dorottya</t>
  </si>
  <si>
    <t>Sárosi Tibor</t>
  </si>
  <si>
    <t>Orosz Erika</t>
  </si>
  <si>
    <t>Seres Aladár</t>
  </si>
  <si>
    <t>Jankovics Szabrina</t>
  </si>
  <si>
    <t>Molnár Tamás</t>
  </si>
  <si>
    <t>Engi Márta</t>
  </si>
  <si>
    <t>Szegedi István</t>
  </si>
  <si>
    <t>Dallos Gyöngyvér</t>
  </si>
  <si>
    <t>Benkő Pálma</t>
  </si>
  <si>
    <t>Mátyás György</t>
  </si>
  <si>
    <t>Pelle Hermina</t>
  </si>
  <si>
    <t>Tóth Gergely</t>
  </si>
  <si>
    <t>Magyar Enikő</t>
  </si>
  <si>
    <t>Nagy Vilmos</t>
  </si>
  <si>
    <t>Engi Petra</t>
  </si>
  <si>
    <t>Végh Szilveszter</t>
  </si>
  <si>
    <t>Egyed Petra</t>
  </si>
  <si>
    <t>Balázs Erzsébet</t>
  </si>
  <si>
    <t>Bertók Zsuzsanna</t>
  </si>
  <si>
    <t>Pék Sándor</t>
  </si>
  <si>
    <t>Kardos Flóra</t>
  </si>
  <si>
    <t>Bokros Szilveszter</t>
  </si>
  <si>
    <t>Hegedűs Emma</t>
  </si>
  <si>
    <t>Fazekas István</t>
  </si>
  <si>
    <t>Rostás Hajnalka</t>
  </si>
  <si>
    <t>Berkes István</t>
  </si>
  <si>
    <t>Sulyok Hajnalka</t>
  </si>
  <si>
    <t>Kerekes Katalin</t>
  </si>
  <si>
    <t>Ember Enikő</t>
  </si>
  <si>
    <t>Berkes Tamás</t>
  </si>
  <si>
    <t>Horváth Imola</t>
  </si>
  <si>
    <t>Magyar Jenő</t>
  </si>
  <si>
    <t>Szekeres Regina</t>
  </si>
  <si>
    <t>Berkes Péter</t>
  </si>
  <si>
    <t>Ocskó Enikő</t>
  </si>
  <si>
    <t>Pap Gergely</t>
  </si>
  <si>
    <t>Szántai Julianna</t>
  </si>
  <si>
    <t>Molnár Éva</t>
  </si>
  <si>
    <t>Lugosi Anna</t>
  </si>
  <si>
    <t>Virág Emőke</t>
  </si>
  <si>
    <t>Rudas Hilda</t>
  </si>
  <si>
    <t>Kerekes Gergely</t>
  </si>
  <si>
    <t>Bodó Gizella</t>
  </si>
  <si>
    <t>Bíró Aladár</t>
  </si>
  <si>
    <t>Dóczi Tamara</t>
  </si>
  <si>
    <t>Kis Szilveszter</t>
  </si>
  <si>
    <t>Várszegi Boglárka</t>
  </si>
  <si>
    <t>Fazekas Szilveszter</t>
  </si>
  <si>
    <t>Boros Dóra</t>
  </si>
  <si>
    <t>Magyar Pál</t>
  </si>
  <si>
    <t>Várszegi Klára</t>
  </si>
  <si>
    <t>Kovács Nóra</t>
  </si>
  <si>
    <t>Zala Klára</t>
  </si>
  <si>
    <t>Sárosi Erzsébet</t>
  </si>
  <si>
    <t>Krizsán Eszter</t>
  </si>
  <si>
    <t>Kerekes Anna</t>
  </si>
  <si>
    <t>Gönci Olimpia</t>
  </si>
  <si>
    <t>Kövér Béla</t>
  </si>
  <si>
    <t>Gál Amália</t>
  </si>
  <si>
    <t>Farkas György</t>
  </si>
  <si>
    <t>Horváth Ilona</t>
  </si>
  <si>
    <t>Kövér Nóra</t>
  </si>
  <si>
    <t>Regős Annamária</t>
  </si>
  <si>
    <t>Bokros Orsolya</t>
  </si>
  <si>
    <t>Somogyi Zsuzsanna</t>
  </si>
  <si>
    <t>Székács Liza</t>
  </si>
  <si>
    <t>Varga György</t>
  </si>
  <si>
    <t>Szekeres Vilma</t>
  </si>
  <si>
    <t>Pap Tamás</t>
  </si>
  <si>
    <t>Nógrádi Nelli</t>
  </si>
  <si>
    <t>Mátyás Szilveszter</t>
  </si>
  <si>
    <t>Bíró Klára</t>
  </si>
  <si>
    <t>Sárosi Vanda</t>
  </si>
  <si>
    <t>Kassai Kornélia</t>
  </si>
  <si>
    <t>Kövér Károly</t>
  </si>
  <si>
    <t>Makai Tilda</t>
  </si>
  <si>
    <t>Balogh Aladár</t>
  </si>
  <si>
    <t>Rádi Zsuzsanna</t>
  </si>
  <si>
    <t>Seres János</t>
  </si>
  <si>
    <t>Keresztes Mária</t>
  </si>
  <si>
    <t>Palotai Erzsébet</t>
  </si>
  <si>
    <t>Martos Berta</t>
  </si>
  <si>
    <t>Pék Katalin</t>
  </si>
  <si>
    <t>Jurányi Tilda</t>
  </si>
  <si>
    <t>Kövér Erzsébet</t>
  </si>
  <si>
    <t>Pék Paulina</t>
  </si>
  <si>
    <t>Palotai Orsolya</t>
  </si>
  <si>
    <t>Kosztolányi Gizella</t>
  </si>
  <si>
    <t>Balázs Éva</t>
  </si>
  <si>
    <t>Szalai Boglárka</t>
  </si>
  <si>
    <t>Seres Anna</t>
  </si>
  <si>
    <t>Ötvös Kitti</t>
  </si>
  <si>
    <t>Sós Nóra</t>
  </si>
  <si>
    <t>Réti Etelka</t>
  </si>
  <si>
    <t>Kálmán Péter</t>
  </si>
  <si>
    <t>Padányi Stefánia</t>
  </si>
  <si>
    <t>Berkes Katalin</t>
  </si>
  <si>
    <t>Lendvai Regina</t>
  </si>
  <si>
    <t>Bokros Attila</t>
  </si>
  <si>
    <t>Gyimesi Kata</t>
  </si>
  <si>
    <t>Mátyás Károly</t>
  </si>
  <si>
    <t>Madarász Piroska</t>
  </si>
  <si>
    <t>Virág Péter</t>
  </si>
  <si>
    <t>Csergő Liliána</t>
  </si>
  <si>
    <t>Virág Tímea</t>
  </si>
  <si>
    <t>Hegedűs Laura</t>
  </si>
  <si>
    <t>Végh Emőke</t>
  </si>
  <si>
    <t>Kulcsár Jolán</t>
  </si>
  <si>
    <t>Bíró Péter</t>
  </si>
  <si>
    <t>Román Soma</t>
  </si>
  <si>
    <t>Pap Nóra</t>
  </si>
  <si>
    <t>Lapos Ágota</t>
  </si>
  <si>
    <t>Balázs János</t>
  </si>
  <si>
    <t>Sárközi Dóra</t>
  </si>
  <si>
    <t>Nagy Emőke</t>
  </si>
  <si>
    <t>Kökény Felícia</t>
  </si>
  <si>
    <t>Sós Erzsébet</t>
  </si>
  <si>
    <t>Gyurkovics Kornélia</t>
  </si>
  <si>
    <t>Kálmán Nóra</t>
  </si>
  <si>
    <t>Szalai Barbara</t>
  </si>
  <si>
    <t>Bokros Tímea</t>
  </si>
  <si>
    <t>Hanák Olimpia</t>
  </si>
  <si>
    <t>Déry István</t>
  </si>
  <si>
    <t>Lapos Emma</t>
  </si>
  <si>
    <t>Mátyás Aladár</t>
  </si>
  <si>
    <t>Réti Magda</t>
  </si>
  <si>
    <t>Csáki Rita</t>
  </si>
  <si>
    <t>Bíró Tamás</t>
  </si>
  <si>
    <t>Forgács Rozália</t>
  </si>
  <si>
    <t>Sziráki Pálma</t>
  </si>
  <si>
    <t>Déry Vilmos</t>
  </si>
  <si>
    <t>Gyurkovics Helga</t>
  </si>
  <si>
    <t>Kovács Vanda</t>
  </si>
  <si>
    <t>Pajor Ildikó</t>
  </si>
  <si>
    <t>Kis Sándor</t>
  </si>
  <si>
    <t>Fazekas Gyöngyvér</t>
  </si>
  <si>
    <t>Farkas Tamás</t>
  </si>
  <si>
    <t>Szabó Beáta</t>
  </si>
  <si>
    <t>Berkes Teréz</t>
  </si>
  <si>
    <t>Gosztonyi Katalin</t>
  </si>
  <si>
    <t>Bíró Judit</t>
  </si>
  <si>
    <t>Almási Edit</t>
  </si>
  <si>
    <t>Szegedi Erzsébet</t>
  </si>
  <si>
    <t>Róka Irén</t>
  </si>
  <si>
    <t>Nagy Gergely</t>
  </si>
  <si>
    <t>Simák Dóra</t>
  </si>
  <si>
    <t>Palotai György</t>
  </si>
  <si>
    <t>Petró Jolán</t>
  </si>
  <si>
    <t>Kálmán Béla</t>
  </si>
  <si>
    <t>Bakonyi Boglár</t>
  </si>
  <si>
    <t>Kerekes Sándor</t>
  </si>
  <si>
    <t>Fazekas Beatrix</t>
  </si>
  <si>
    <t>Debreceni Emőke</t>
  </si>
  <si>
    <t>Solymos Katalin</t>
  </si>
  <si>
    <t>Déry György</t>
  </si>
  <si>
    <t>Bolgár Matild</t>
  </si>
  <si>
    <t>Keleti Kinga</t>
  </si>
  <si>
    <t>Déry Emőke</t>
  </si>
  <si>
    <t>Kerepesi Ágnes</t>
  </si>
  <si>
    <t>Végh Vanda</t>
  </si>
  <si>
    <t>Romhányi Gizella</t>
  </si>
  <si>
    <t>Kálmán Katalin</t>
  </si>
  <si>
    <t>Bakonyi Elvira</t>
  </si>
  <si>
    <t>Berkes Béla</t>
  </si>
  <si>
    <t>Petényi Tilda</t>
  </si>
  <si>
    <t>Barta Teréz</t>
  </si>
  <si>
    <t>Kövér Katalin</t>
  </si>
  <si>
    <t>Kollár Adrienn</t>
  </si>
  <si>
    <t>Sárosi Nóra</t>
  </si>
  <si>
    <t>Várszegi Ágota</t>
  </si>
  <si>
    <t>Végh Pál</t>
  </si>
  <si>
    <t>Várnai Fanni</t>
  </si>
  <si>
    <t>Tóth Péter</t>
  </si>
  <si>
    <t>Bihari Rózsa</t>
  </si>
  <si>
    <t>Farkas Teréz</t>
  </si>
  <si>
    <t>Szántó Sarolta</t>
  </si>
  <si>
    <t>Bíró Béla</t>
  </si>
  <si>
    <t>Csonka Hilda</t>
  </si>
  <si>
    <t>Seres György</t>
  </si>
  <si>
    <t>Péli Kinga</t>
  </si>
  <si>
    <t>Farkas Sándor</t>
  </si>
  <si>
    <t>Zentai Ibolya</t>
  </si>
  <si>
    <t>Kovács Katalin</t>
  </si>
  <si>
    <t>Kemény Katinka</t>
  </si>
  <si>
    <t>Görög Zsuzsanna</t>
  </si>
  <si>
    <t>Sátori Paula</t>
  </si>
  <si>
    <t>Kövér Szilveszter</t>
  </si>
  <si>
    <t>Svéd Tilda</t>
  </si>
  <si>
    <t>Végh Judit</t>
  </si>
  <si>
    <t>Piller Debóra</t>
  </si>
  <si>
    <t>Rádai Kármen</t>
  </si>
  <si>
    <t>Fazekas György</t>
  </si>
  <si>
    <t>Soproni Ágnes</t>
  </si>
  <si>
    <t>Szegedi Vanda</t>
  </si>
  <si>
    <t>Rádi Júlia</t>
  </si>
  <si>
    <t>Bokros Teréz</t>
  </si>
  <si>
    <t>Pusztai Martina</t>
  </si>
  <si>
    <t>Fazekas Vera</t>
  </si>
  <si>
    <t>Sebő Réka</t>
  </si>
  <si>
    <t>Fazekas Gergely</t>
  </si>
  <si>
    <t>Ocskó Magdolna</t>
  </si>
  <si>
    <t>Szegedi Katalin</t>
  </si>
  <si>
    <t>Kassai Brigitta</t>
  </si>
  <si>
    <t>Balázs Tímea</t>
  </si>
  <si>
    <t>Kalmár Enikő</t>
  </si>
  <si>
    <t>lezárását: (egy) a hallgató tartott egy kiselőadást vagy írt egy esz-</t>
  </si>
  <si>
    <t>szét, (kettő) az írásbelije legalább hatvan százalékos vagy eredmé-</t>
  </si>
  <si>
    <t>Feltételes formázással ossza két azonos létszámú csoportra a hall-</t>
  </si>
  <si>
    <t>csoport tagjainak celláit (mind a négy cellájukat) kell formáznia</t>
  </si>
  <si>
    <t>gatókat pontszámaik rangsora alapján! A magasabb pontszámú</t>
  </si>
  <si>
    <t>Feltételes formázással (félkövér, kék betűk) emelje ki a pontszá-</t>
  </si>
  <si>
    <t>mok rangsora szerinti felső tizedbe tartozó hallgatókat!</t>
  </si>
  <si>
    <t>pasztell háttérszínnel és a cellaráccsal azonos szegélyezéssel!</t>
  </si>
  <si>
    <t>nyes szóbeli vizsgát tett. Feltételes formázással emelje ki a sikeres</t>
  </si>
  <si>
    <t>hallgatók celláit (mind a hatot): pasztell színű háttér, a cellaráccsal</t>
  </si>
  <si>
    <t>azonos szegélyezés! A formázó képletben ne használjon függvényt!</t>
  </si>
  <si>
    <t>adós</t>
  </si>
  <si>
    <t>határidő</t>
  </si>
  <si>
    <t>tartozás</t>
  </si>
  <si>
    <t>001-PT</t>
  </si>
  <si>
    <t>002-TS</t>
  </si>
  <si>
    <t>003-PJ</t>
  </si>
  <si>
    <t>004-NI</t>
  </si>
  <si>
    <t>005-MI</t>
  </si>
  <si>
    <t>006-VG</t>
  </si>
  <si>
    <t>007-BA</t>
  </si>
  <si>
    <t>008-MZ</t>
  </si>
  <si>
    <t>009-NÉ</t>
  </si>
  <si>
    <t>010-SV</t>
  </si>
  <si>
    <t>011-GÖ</t>
  </si>
  <si>
    <t>012-MÉ</t>
  </si>
  <si>
    <t>013-BA</t>
  </si>
  <si>
    <t>014-KA</t>
  </si>
  <si>
    <t>015-DP</t>
  </si>
  <si>
    <t>016-FE</t>
  </si>
  <si>
    <t>017-PA</t>
  </si>
  <si>
    <t>018-NE</t>
  </si>
  <si>
    <t>019-ST</t>
  </si>
  <si>
    <t>020-SA</t>
  </si>
  <si>
    <t>021-MT</t>
  </si>
  <si>
    <t>022-SI</t>
  </si>
  <si>
    <t>023-BA</t>
  </si>
  <si>
    <t>024-MG</t>
  </si>
  <si>
    <t>025-TG</t>
  </si>
  <si>
    <t>026-NV</t>
  </si>
  <si>
    <t>027-VS</t>
  </si>
  <si>
    <t>028-BE</t>
  </si>
  <si>
    <t>029-PS</t>
  </si>
  <si>
    <t>030-BS</t>
  </si>
  <si>
    <t>031-FI</t>
  </si>
  <si>
    <t>032-BI</t>
  </si>
  <si>
    <t>033-KK</t>
  </si>
  <si>
    <t>034-BT</t>
  </si>
  <si>
    <t>035-MJ</t>
  </si>
  <si>
    <t>036-BP</t>
  </si>
  <si>
    <t>037-PG</t>
  </si>
  <si>
    <t>038-MÉ</t>
  </si>
  <si>
    <t>039-VE</t>
  </si>
  <si>
    <t>040-KG</t>
  </si>
  <si>
    <t>041-BA</t>
  </si>
  <si>
    <t>042-KS</t>
  </si>
  <si>
    <t>043-FS</t>
  </si>
  <si>
    <t>044-MP</t>
  </si>
  <si>
    <t>045-KN</t>
  </si>
  <si>
    <t>046-SE</t>
  </si>
  <si>
    <t>047-KA</t>
  </si>
  <si>
    <t>048-KB</t>
  </si>
  <si>
    <t>049-FG</t>
  </si>
  <si>
    <t>050-KN</t>
  </si>
  <si>
    <t>051-BO</t>
  </si>
  <si>
    <t>052-ST</t>
  </si>
  <si>
    <t>053-VG</t>
  </si>
  <si>
    <t>054-PT</t>
  </si>
  <si>
    <t>055-MS</t>
  </si>
  <si>
    <t>056-SV</t>
  </si>
  <si>
    <t>057-KK</t>
  </si>
  <si>
    <t>058-BA</t>
  </si>
  <si>
    <t>059-SJ</t>
  </si>
  <si>
    <t>060-PE</t>
  </si>
  <si>
    <t>061-PK</t>
  </si>
  <si>
    <t>062-KE</t>
  </si>
  <si>
    <t>063-PO</t>
  </si>
  <si>
    <t>064-BÉ</t>
  </si>
  <si>
    <t>065-SA</t>
  </si>
  <si>
    <t>066-SN</t>
  </si>
  <si>
    <t>067-KP</t>
  </si>
  <si>
    <t>068-BK</t>
  </si>
  <si>
    <t>069-BA</t>
  </si>
  <si>
    <t>070-MK</t>
  </si>
  <si>
    <t>071-VP</t>
  </si>
  <si>
    <t>072-VT</t>
  </si>
  <si>
    <t>073-VE</t>
  </si>
  <si>
    <t>074-BP</t>
  </si>
  <si>
    <t>075-PN</t>
  </si>
  <si>
    <t>076-BJ</t>
  </si>
  <si>
    <t>077-NE</t>
  </si>
  <si>
    <t>078-SE</t>
  </si>
  <si>
    <t>079-KN</t>
  </si>
  <si>
    <t>080-BT</t>
  </si>
  <si>
    <t>081-DI</t>
  </si>
  <si>
    <t>082-MA</t>
  </si>
  <si>
    <t>083-DI</t>
  </si>
  <si>
    <t>084-BT</t>
  </si>
  <si>
    <t>085-KN</t>
  </si>
  <si>
    <t>086-DV</t>
  </si>
  <si>
    <t>087-KV</t>
  </si>
  <si>
    <t>088-KS</t>
  </si>
  <si>
    <t>089-FT</t>
  </si>
  <si>
    <t>090-BT</t>
  </si>
  <si>
    <t>091-BJ</t>
  </si>
  <si>
    <t>092-SE</t>
  </si>
  <si>
    <t>093-NG</t>
  </si>
  <si>
    <t>094-PG</t>
  </si>
  <si>
    <t>095-KB</t>
  </si>
  <si>
    <t>096-KS</t>
  </si>
  <si>
    <t>097-DE</t>
  </si>
  <si>
    <t>098-DG</t>
  </si>
  <si>
    <t>099-NE</t>
  </si>
  <si>
    <t>100-DE</t>
  </si>
  <si>
    <t>101-VV</t>
  </si>
  <si>
    <t>102-KK</t>
  </si>
  <si>
    <t>103-BB</t>
  </si>
  <si>
    <t>104-KN</t>
  </si>
  <si>
    <t>105-KK</t>
  </si>
  <si>
    <t>106-SN</t>
  </si>
  <si>
    <t>107-VP</t>
  </si>
  <si>
    <t>108-TP</t>
  </si>
  <si>
    <t>109-FT</t>
  </si>
  <si>
    <t>110-BB</t>
  </si>
  <si>
    <t>111-SG</t>
  </si>
  <si>
    <t>112-FS</t>
  </si>
  <si>
    <t>113-KK</t>
  </si>
  <si>
    <t>114-GZ</t>
  </si>
  <si>
    <t>115-KS</t>
  </si>
  <si>
    <t>116-VJ</t>
  </si>
  <si>
    <t>117-SV</t>
  </si>
  <si>
    <t>118-FG</t>
  </si>
  <si>
    <t>119-SV</t>
  </si>
  <si>
    <t>120-BT</t>
  </si>
  <si>
    <t>121-FV</t>
  </si>
  <si>
    <t>122-FG</t>
  </si>
  <si>
    <t>123-SK</t>
  </si>
  <si>
    <t>124-BT</t>
  </si>
  <si>
    <t>A fenti feltételes formázáson felül, a már több, mint százötven</t>
  </si>
  <si>
    <t>rait! A formázás világossárga háttér és a cellaráccsal azonos szegé-</t>
  </si>
  <si>
    <t>zés legyen! A formázás napról-napra aktualizálódjon!</t>
  </si>
  <si>
    <t>napja lejárt tartozások adataira állítson be feltételes formázást:</t>
  </si>
  <si>
    <t>félkövér betűk!  A formázás napról-napra aktualizálódjon!</t>
  </si>
  <si>
    <t>ügyintéző</t>
  </si>
  <si>
    <t>B-692</t>
  </si>
  <si>
    <t>A-804</t>
  </si>
  <si>
    <t>B-745</t>
  </si>
  <si>
    <t>B-312</t>
  </si>
  <si>
    <t>A-578</t>
  </si>
  <si>
    <t>C-757</t>
  </si>
  <si>
    <t>B-015</t>
  </si>
  <si>
    <t>B-016</t>
  </si>
  <si>
    <t>A-620</t>
  </si>
  <si>
    <t>C-066</t>
  </si>
  <si>
    <t>C-544</t>
  </si>
  <si>
    <t>B-667</t>
  </si>
  <si>
    <t>B-163</t>
  </si>
  <si>
    <t>A-366</t>
  </si>
  <si>
    <t>C-503</t>
  </si>
  <si>
    <t>A-663</t>
  </si>
  <si>
    <t>A-809</t>
  </si>
  <si>
    <t>A-877</t>
  </si>
  <si>
    <t>B-048</t>
  </si>
  <si>
    <t>B-258</t>
  </si>
  <si>
    <t>B-940</t>
  </si>
  <si>
    <t>A-234</t>
  </si>
  <si>
    <t>C-654</t>
  </si>
  <si>
    <t>A-927</t>
  </si>
  <si>
    <t>C-633</t>
  </si>
  <si>
    <t>C-776</t>
  </si>
  <si>
    <t>A-147</t>
  </si>
  <si>
    <t>C-994</t>
  </si>
  <si>
    <t>A-242</t>
  </si>
  <si>
    <t>A-321</t>
  </si>
  <si>
    <t>A-921</t>
  </si>
  <si>
    <t>C-027</t>
  </si>
  <si>
    <t>C-448</t>
  </si>
  <si>
    <t>C-290</t>
  </si>
  <si>
    <t>A-987</t>
  </si>
  <si>
    <t>C-421</t>
  </si>
  <si>
    <t>C-084</t>
  </si>
  <si>
    <t>A-980</t>
  </si>
  <si>
    <t>A-803</t>
  </si>
  <si>
    <t>B-634</t>
  </si>
  <si>
    <t>A-169</t>
  </si>
  <si>
    <t>C-494</t>
  </si>
  <si>
    <t>B-687</t>
  </si>
  <si>
    <t>C-643</t>
  </si>
  <si>
    <t>A-878</t>
  </si>
  <si>
    <t>munka</t>
  </si>
  <si>
    <t>megrendelő</t>
  </si>
  <si>
    <t>Nemes Pál</t>
  </si>
  <si>
    <t>Mester Cecilia</t>
  </si>
  <si>
    <t>Bódi Valéria</t>
  </si>
  <si>
    <t>Bene Olívia</t>
  </si>
  <si>
    <t>Selényi Edvin</t>
  </si>
  <si>
    <t>Ligeti Tibor</t>
  </si>
  <si>
    <t>Berkes Szilárd</t>
  </si>
  <si>
    <t>Sági László</t>
  </si>
  <si>
    <t>Kertes Aranka</t>
  </si>
  <si>
    <t>Toldi Felícia</t>
  </si>
  <si>
    <t>Feltételes formázással emelje ki azoknak a munkáknak az adatait,</t>
  </si>
  <si>
    <t>Feltételes formázással emelje ki a lejárt határidejű tartozások so-</t>
  </si>
  <si>
    <t>amelyek határideje az aktuális negyedévre esik! A mai napra és az</t>
  </si>
  <si>
    <t>elmúlt napokra eső határidejű munkák ne legyenek formázva.</t>
  </si>
  <si>
    <t>A formázás napról-napra aktualizálódjon! A formázás halványkék</t>
  </si>
  <si>
    <t>háttér és a cellaráccsal azonos szegélyezés legyen!</t>
  </si>
  <si>
    <t>266:NP</t>
  </si>
  <si>
    <t>265:MC</t>
  </si>
  <si>
    <t>264:MC</t>
  </si>
  <si>
    <t>263:BV</t>
  </si>
  <si>
    <t>262:BO</t>
  </si>
  <si>
    <t>261:SE</t>
  </si>
  <si>
    <t>260:MC</t>
  </si>
  <si>
    <t>259:BO</t>
  </si>
  <si>
    <t>258:LT</t>
  </si>
  <si>
    <t>257:MC</t>
  </si>
  <si>
    <t>256:BS</t>
  </si>
  <si>
    <t>255:SL</t>
  </si>
  <si>
    <t>254:LT</t>
  </si>
  <si>
    <t>253:SL</t>
  </si>
  <si>
    <t>252:KA</t>
  </si>
  <si>
    <t>251:SE</t>
  </si>
  <si>
    <t>250:MC</t>
  </si>
  <si>
    <t>249:SE</t>
  </si>
  <si>
    <t>248:MC</t>
  </si>
  <si>
    <t>247:BO</t>
  </si>
  <si>
    <t>246:SE</t>
  </si>
  <si>
    <t>245:LT</t>
  </si>
  <si>
    <t>244:SE</t>
  </si>
  <si>
    <t>243:SE</t>
  </si>
  <si>
    <t>242:LT</t>
  </si>
  <si>
    <t>241:LT</t>
  </si>
  <si>
    <t>240:NP</t>
  </si>
  <si>
    <t>239:BS</t>
  </si>
  <si>
    <t>238:KA</t>
  </si>
  <si>
    <t>237:MC</t>
  </si>
  <si>
    <t>236:KA</t>
  </si>
  <si>
    <t>235:BS</t>
  </si>
  <si>
    <t>234:BO</t>
  </si>
  <si>
    <t>233:MC</t>
  </si>
  <si>
    <t>232:MC</t>
  </si>
  <si>
    <t>231:NP</t>
  </si>
  <si>
    <t>230:SE</t>
  </si>
  <si>
    <t>229:TF</t>
  </si>
  <si>
    <t>228:NP</t>
  </si>
  <si>
    <t>227:BV</t>
  </si>
  <si>
    <t>226:SE</t>
  </si>
  <si>
    <t>225:NP</t>
  </si>
  <si>
    <t>224:BV</t>
  </si>
  <si>
    <t>223:KA</t>
  </si>
  <si>
    <t>222:BS</t>
  </si>
  <si>
    <t>221:KA</t>
  </si>
  <si>
    <t>220:SL</t>
  </si>
  <si>
    <t>219:BS</t>
  </si>
  <si>
    <t>218:LT</t>
  </si>
  <si>
    <t>217:BO</t>
  </si>
  <si>
    <t>216:BS</t>
  </si>
  <si>
    <t>215:KA</t>
  </si>
  <si>
    <t>214:LT</t>
  </si>
  <si>
    <t>213:MC</t>
  </si>
  <si>
    <t>212:KA</t>
  </si>
  <si>
    <t>211:SL</t>
  </si>
  <si>
    <t>210:MC</t>
  </si>
  <si>
    <t>209:BS</t>
  </si>
  <si>
    <t>208:KA</t>
  </si>
  <si>
    <t>207:BO</t>
  </si>
  <si>
    <t>206:BO</t>
  </si>
  <si>
    <t>205:MC</t>
  </si>
  <si>
    <t>204:BO</t>
  </si>
  <si>
    <t>203:KA</t>
  </si>
  <si>
    <t>202:BV</t>
  </si>
  <si>
    <t>201:MC</t>
  </si>
  <si>
    <t>200:TF</t>
  </si>
  <si>
    <t>199:LT</t>
  </si>
  <si>
    <t>198:BS</t>
  </si>
  <si>
    <t>197:NP</t>
  </si>
  <si>
    <t>196:LT</t>
  </si>
  <si>
    <t>195:SL</t>
  </si>
  <si>
    <t>194:BS</t>
  </si>
  <si>
    <t>193:KA</t>
  </si>
  <si>
    <t>192:BV</t>
  </si>
  <si>
    <t>191:SL</t>
  </si>
  <si>
    <t>190:BV</t>
  </si>
  <si>
    <t>189:NP</t>
  </si>
  <si>
    <t>188:KA</t>
  </si>
  <si>
    <t>187:BV</t>
  </si>
  <si>
    <t>186:BO</t>
  </si>
  <si>
    <t>185:BV</t>
  </si>
  <si>
    <t>184:BO</t>
  </si>
  <si>
    <t>183:KA</t>
  </si>
  <si>
    <t>182:SE</t>
  </si>
  <si>
    <t>181:NP</t>
  </si>
  <si>
    <t>180:SL</t>
  </si>
  <si>
    <t>179:SE</t>
  </si>
  <si>
    <t>178:KA</t>
  </si>
  <si>
    <t>177:BO</t>
  </si>
  <si>
    <t>176:KA</t>
  </si>
  <si>
    <t>175:KA</t>
  </si>
  <si>
    <t>174:BV</t>
  </si>
  <si>
    <t>173:SL</t>
  </si>
  <si>
    <t>172:TF</t>
  </si>
  <si>
    <t>171:SE</t>
  </si>
  <si>
    <t>170:KA</t>
  </si>
  <si>
    <t>169:LT</t>
  </si>
  <si>
    <t>168:SE</t>
  </si>
  <si>
    <t>167:MC</t>
  </si>
  <si>
    <t>166:SL</t>
  </si>
  <si>
    <t>165:SE</t>
  </si>
  <si>
    <t>164:KA</t>
  </si>
  <si>
    <t>163:LT</t>
  </si>
  <si>
    <t>162:SE</t>
  </si>
  <si>
    <t>161:SE</t>
  </si>
  <si>
    <t>160:LT</t>
  </si>
  <si>
    <t>159:KA</t>
  </si>
  <si>
    <t>158:BV</t>
  </si>
  <si>
    <t>157:TF</t>
  </si>
  <si>
    <t>156:LT</t>
  </si>
  <si>
    <t>155:NP</t>
  </si>
  <si>
    <t>154:TF</t>
  </si>
  <si>
    <t>153:MC</t>
  </si>
  <si>
    <t>152:SE</t>
  </si>
  <si>
    <t>151:TF</t>
  </si>
  <si>
    <t>150:KA</t>
  </si>
  <si>
    <t>149:BO</t>
  </si>
  <si>
    <t>148:TF</t>
  </si>
  <si>
    <t>147:BO</t>
  </si>
  <si>
    <t>146:BO</t>
  </si>
  <si>
    <t>145:MC</t>
  </si>
  <si>
    <t>144:SE</t>
  </si>
  <si>
    <t>143:BS</t>
  </si>
  <si>
    <t>142:MC</t>
  </si>
  <si>
    <t>141:SE</t>
  </si>
  <si>
    <t>140:KA</t>
  </si>
  <si>
    <t>139:TF</t>
  </si>
  <si>
    <t>138:BO</t>
  </si>
  <si>
    <t>137:SE</t>
  </si>
  <si>
    <t>136:NP</t>
  </si>
  <si>
    <t>135:TF</t>
  </si>
  <si>
    <t>134:MC</t>
  </si>
  <si>
    <t>133:BV</t>
  </si>
  <si>
    <t>132:LT</t>
  </si>
  <si>
    <t>131:NP</t>
  </si>
  <si>
    <t>130:SL</t>
  </si>
  <si>
    <t>129:LT</t>
  </si>
  <si>
    <t>128:TF</t>
  </si>
  <si>
    <t>127:SL</t>
  </si>
  <si>
    <t>126:NP</t>
  </si>
  <si>
    <t>125:SE</t>
  </si>
  <si>
    <t>124:KA</t>
  </si>
  <si>
    <t>123:BS</t>
  </si>
  <si>
    <t>122:BS</t>
  </si>
  <si>
    <t>121:BV</t>
  </si>
  <si>
    <t>120:BO</t>
  </si>
  <si>
    <t>119:BV</t>
  </si>
  <si>
    <t>118:KA</t>
  </si>
  <si>
    <t>117:BV</t>
  </si>
  <si>
    <t>116:LT</t>
  </si>
  <si>
    <t>115:BV</t>
  </si>
  <si>
    <t>114:NP</t>
  </si>
  <si>
    <t>113:BO</t>
  </si>
  <si>
    <t>112:SL</t>
  </si>
  <si>
    <t>111:BS</t>
  </si>
  <si>
    <t>110:MC</t>
  </si>
  <si>
    <t>109:SL</t>
  </si>
  <si>
    <t>108:SE</t>
  </si>
  <si>
    <t>107:MC</t>
  </si>
  <si>
    <t>106:SL</t>
  </si>
  <si>
    <t>105:NP</t>
  </si>
  <si>
    <t>104:SE</t>
  </si>
  <si>
    <t>103:NP</t>
  </si>
  <si>
    <t>102:MC</t>
  </si>
  <si>
    <t>101:KA</t>
  </si>
  <si>
    <t>100:NP</t>
  </si>
  <si>
    <t>99:BO</t>
  </si>
  <si>
    <t>98:BO</t>
  </si>
  <si>
    <t>97:TF</t>
  </si>
  <si>
    <t>96:LT</t>
  </si>
  <si>
    <t>95:MC</t>
  </si>
  <si>
    <t>94:NP</t>
  </si>
  <si>
    <t>93:SE</t>
  </si>
  <si>
    <t>92:BS</t>
  </si>
  <si>
    <t>91:BS</t>
  </si>
  <si>
    <t>90:BO</t>
  </si>
  <si>
    <t>89:SE</t>
  </si>
  <si>
    <t>88:TF</t>
  </si>
  <si>
    <t>87:NP</t>
  </si>
  <si>
    <t>86:SE</t>
  </si>
  <si>
    <t>85:TF</t>
  </si>
  <si>
    <t>84:SE</t>
  </si>
  <si>
    <t>83:TF</t>
  </si>
  <si>
    <t>82:NP</t>
  </si>
  <si>
    <t>81:BS</t>
  </si>
  <si>
    <t>80:KA</t>
  </si>
  <si>
    <t>79:TF</t>
  </si>
  <si>
    <t>78:KA</t>
  </si>
  <si>
    <t>77:BS</t>
  </si>
  <si>
    <t>76:SL</t>
  </si>
  <si>
    <t>75:KA</t>
  </si>
  <si>
    <t>74:MC</t>
  </si>
  <si>
    <t>73:SL</t>
  </si>
  <si>
    <t>72:NP</t>
  </si>
  <si>
    <t>71:TF</t>
  </si>
  <si>
    <t>70:LT</t>
  </si>
  <si>
    <t>69:MC</t>
  </si>
  <si>
    <t>68:BV</t>
  </si>
  <si>
    <t>67:BS</t>
  </si>
  <si>
    <t>66:BO</t>
  </si>
  <si>
    <t>65:NP</t>
  </si>
  <si>
    <t>64:LT</t>
  </si>
  <si>
    <t>63:BO</t>
  </si>
  <si>
    <t>62:BV</t>
  </si>
  <si>
    <t>61:BO</t>
  </si>
  <si>
    <t>60:NP</t>
  </si>
  <si>
    <t>59:KA</t>
  </si>
  <si>
    <t>58:BV</t>
  </si>
  <si>
    <t>57:BS</t>
  </si>
  <si>
    <t>56:TF</t>
  </si>
  <si>
    <t>55:SL</t>
  </si>
  <si>
    <t>54:LT</t>
  </si>
  <si>
    <t>53:TF</t>
  </si>
  <si>
    <t>52:MC</t>
  </si>
  <si>
    <t>51:NP</t>
  </si>
  <si>
    <t>50:BO</t>
  </si>
  <si>
    <t>49:SL</t>
  </si>
  <si>
    <t>48:SE</t>
  </si>
  <si>
    <t>47:SL</t>
  </si>
  <si>
    <t>46:NP</t>
  </si>
  <si>
    <t>45:KA</t>
  </si>
  <si>
    <t>44:BO</t>
  </si>
  <si>
    <t>43:LT</t>
  </si>
  <si>
    <t>42:SE</t>
  </si>
  <si>
    <t>41:BO</t>
  </si>
  <si>
    <t>40:BS</t>
  </si>
  <si>
    <t>39:LT</t>
  </si>
  <si>
    <t>38:BO</t>
  </si>
  <si>
    <t>37:BO</t>
  </si>
  <si>
    <t>36:NP</t>
  </si>
  <si>
    <t>35:BS</t>
  </si>
  <si>
    <t>34:BO</t>
  </si>
  <si>
    <t>33:LT</t>
  </si>
  <si>
    <t>32:SL</t>
  </si>
  <si>
    <t>31:SL</t>
  </si>
  <si>
    <t>30:LT</t>
  </si>
  <si>
    <t>29:NP</t>
  </si>
  <si>
    <t>28:BO</t>
  </si>
  <si>
    <t>27:MC</t>
  </si>
  <si>
    <t>26:BV</t>
  </si>
  <si>
    <t>25:TF</t>
  </si>
  <si>
    <t>24:MC</t>
  </si>
  <si>
    <t>23:MC</t>
  </si>
  <si>
    <t>22:BS</t>
  </si>
  <si>
    <t>21:MC</t>
  </si>
  <si>
    <t>20:SL</t>
  </si>
  <si>
    <t>19:TF</t>
  </si>
  <si>
    <t>18:TF</t>
  </si>
  <si>
    <t>17:KA</t>
  </si>
  <si>
    <t>16:NP</t>
  </si>
  <si>
    <t>15:SL</t>
  </si>
  <si>
    <t>14:SL</t>
  </si>
  <si>
    <t>13:SL</t>
  </si>
  <si>
    <t>12:MC</t>
  </si>
  <si>
    <t>11:BO</t>
  </si>
  <si>
    <t>10:BO</t>
  </si>
  <si>
    <t>9:BO</t>
  </si>
  <si>
    <t>8:BS</t>
  </si>
  <si>
    <t>7:LT</t>
  </si>
  <si>
    <t>6:BV</t>
  </si>
  <si>
    <t>5:LT</t>
  </si>
  <si>
    <t>4:SL</t>
  </si>
  <si>
    <t>3:BO</t>
  </si>
  <si>
    <t>2:KA</t>
  </si>
  <si>
    <t>1:BO</t>
  </si>
  <si>
    <t>dátum</t>
  </si>
  <si>
    <t>Egy banki táblázatot lát. Ebben a táblázatban vezetik az ügyfelek</t>
  </si>
  <si>
    <t>egyenlegeit. A D oszlopban a bejegyzett egyenleg sorszámát látja</t>
  </si>
  <si>
    <t>e. index</t>
  </si>
  <si>
    <t>(egyenleg index). Feltételes formázással emelje ki minden számla</t>
  </si>
  <si>
    <t>Az egyenleg index az ebben a táblázatban tárolt egyenlegeket sor-</t>
  </si>
  <si>
    <t>számozza. Rostás Ákos első egyenlege a munkalap hatodik sorá-</t>
  </si>
  <si>
    <t>ban áll. De két nap múlva (tizenegyedik sor) már pénzmozgás volt</t>
  </si>
  <si>
    <t>a számláján, ezért egy új egyenleg lett rögzítve.</t>
  </si>
  <si>
    <t>aktuális, tehát az utolsó egyenlegét! Mielőtt hozzáfogna a formázó</t>
  </si>
  <si>
    <t>képlet szerkesztéséhez, alakítsa át úgy a táblázatot, hogy a for-</t>
  </si>
  <si>
    <t>mázás az új egyenlegek soraira is érvényesüljön!</t>
  </si>
  <si>
    <t>Ne ijedjen meg! Ha a formázó képlete jó, akkor a formázott soro-</t>
  </si>
  <si>
    <t>kat a táblázat alsó részében találja.</t>
  </si>
  <si>
    <t>középérték</t>
  </si>
  <si>
    <t>sávszélesség</t>
  </si>
  <si>
    <t>rögzítés</t>
  </si>
  <si>
    <t>bejegyző</t>
  </si>
  <si>
    <t>Sárosi Ottó</t>
  </si>
  <si>
    <t>Puskás Máté</t>
  </si>
  <si>
    <t>Pandúr Adél</t>
  </si>
  <si>
    <t>Garami Ilka</t>
  </si>
  <si>
    <t>Heller Irma</t>
  </si>
  <si>
    <t>Dallos Edit</t>
  </si>
  <si>
    <t>Pénzes Kata</t>
  </si>
  <si>
    <t>Perjés Huba</t>
  </si>
  <si>
    <t>Bognár Emma</t>
  </si>
  <si>
    <t>Pataki Ábel</t>
  </si>
  <si>
    <t>Kardos Liza</t>
  </si>
  <si>
    <t>Pomázi Nóra</t>
  </si>
  <si>
    <t>Polgár Alíz</t>
  </si>
  <si>
    <t>Rákosi Emőd</t>
  </si>
  <si>
    <t>Ambrus Sára</t>
  </si>
  <si>
    <t>mérés</t>
  </si>
  <si>
    <t>A NapiJelentés nevű adatbázis-táblázatot látja, amelyben nap, mint nap fel-</t>
  </si>
  <si>
    <t>jegyzik egy mérés eredményét. A mért tulajdonság középértéke a H3-as cellá-</t>
  </si>
  <si>
    <t xml:space="preserve">ban áll. Akkor ideális a mért érték, ha a H4-es cellában álló sávon belül van. </t>
  </si>
  <si>
    <t>A középérték és a sávszélesség változhat. Feltételes formázással emelje ki a</t>
  </si>
  <si>
    <t>vőben rögzítésre kerülő rekordokra is érvényesüljön!</t>
  </si>
  <si>
    <t>sávon kívüli értékek sorát! A feladatot úgy oldja meg, hogy a formázás a jö-</t>
  </si>
  <si>
    <t>ményét, a 420-t!</t>
  </si>
  <si>
    <t>Fekete autószerviz</t>
  </si>
  <si>
    <t>VAK-296</t>
  </si>
  <si>
    <t>MYL-428</t>
  </si>
  <si>
    <t>Szikszai Autó</t>
  </si>
  <si>
    <t>UAB-592</t>
  </si>
  <si>
    <t>M5 autószerviz</t>
  </si>
  <si>
    <t>SHV-248</t>
  </si>
  <si>
    <t>OLX-203</t>
  </si>
  <si>
    <t xml:space="preserve">FCA </t>
  </si>
  <si>
    <t>BYT-652</t>
  </si>
  <si>
    <t>ROF-812</t>
  </si>
  <si>
    <t>BYT-651</t>
  </si>
  <si>
    <t>VJI-094</t>
  </si>
  <si>
    <t>BYT-657</t>
  </si>
  <si>
    <t>SHV-252</t>
  </si>
  <si>
    <t>GKN-548</t>
  </si>
  <si>
    <t>Tóth &amp; Fiai</t>
  </si>
  <si>
    <t>NGF-019</t>
  </si>
  <si>
    <t>BYT-659</t>
  </si>
  <si>
    <t>MBG-364</t>
  </si>
  <si>
    <t>WOW-639</t>
  </si>
  <si>
    <t>BYT-658</t>
  </si>
  <si>
    <t>ROF-813</t>
  </si>
  <si>
    <t>WOW-640</t>
  </si>
  <si>
    <t>LXD-236</t>
  </si>
  <si>
    <t>GKN-551</t>
  </si>
  <si>
    <t>OLX-204</t>
  </si>
  <si>
    <t>AML-420</t>
  </si>
  <si>
    <t>CIT-617</t>
  </si>
  <si>
    <t>LPB-007</t>
  </si>
  <si>
    <t>VAK-295</t>
  </si>
  <si>
    <t>CIT-616</t>
  </si>
  <si>
    <t>NGF-021</t>
  </si>
  <si>
    <t>VJI-092</t>
  </si>
  <si>
    <t>SHV-251</t>
  </si>
  <si>
    <t>VJI-097</t>
  </si>
  <si>
    <t>AML-421</t>
  </si>
  <si>
    <t>DUI-455</t>
  </si>
  <si>
    <t>LPB-006</t>
  </si>
  <si>
    <t>UAB-594</t>
  </si>
  <si>
    <t>LXD-240</t>
  </si>
  <si>
    <t>VAK-294</t>
  </si>
  <si>
    <t>LNX-900</t>
  </si>
  <si>
    <t>UAB-593</t>
  </si>
  <si>
    <t>VAK-298</t>
  </si>
  <si>
    <t>XIM-052</t>
  </si>
  <si>
    <t>CIT-621</t>
  </si>
  <si>
    <t>VJI-091</t>
  </si>
  <si>
    <t>WOW-641</t>
  </si>
  <si>
    <t>DUI-453</t>
  </si>
  <si>
    <t>AXZ-741</t>
  </si>
  <si>
    <t>AXZ-740</t>
  </si>
  <si>
    <t>VJI-096</t>
  </si>
  <si>
    <t>XIM-051</t>
  </si>
  <si>
    <t>GKN-547</t>
  </si>
  <si>
    <t>XZZ-279</t>
  </si>
  <si>
    <t>XZZ-278</t>
  </si>
  <si>
    <t>XZZ-284</t>
  </si>
  <si>
    <t>CIT-619</t>
  </si>
  <si>
    <t>VJI-093</t>
  </si>
  <si>
    <t>XIM-050</t>
  </si>
  <si>
    <t>CIT-615</t>
  </si>
  <si>
    <t>DUI-454</t>
  </si>
  <si>
    <t>XZZ-287</t>
  </si>
  <si>
    <t>DUI-452</t>
  </si>
  <si>
    <t>CIT-618</t>
  </si>
  <si>
    <t>NGF-020</t>
  </si>
  <si>
    <t>CIT-614</t>
  </si>
  <si>
    <t>NGF-018</t>
  </si>
  <si>
    <t>WOW-642</t>
  </si>
  <si>
    <t>VAK-297</t>
  </si>
  <si>
    <t>VJI-095</t>
  </si>
  <si>
    <t>CIT-620</t>
  </si>
  <si>
    <t>XZZ-282</t>
  </si>
  <si>
    <t>DUI-451</t>
  </si>
  <si>
    <t>XZZ-280</t>
  </si>
  <si>
    <t>SHV-250</t>
  </si>
  <si>
    <t>VJI-090</t>
  </si>
  <si>
    <t>AXZ-743</t>
  </si>
  <si>
    <t>LXD-237</t>
  </si>
  <si>
    <t>LNX-901</t>
  </si>
  <si>
    <t>XIM-049</t>
  </si>
  <si>
    <t>SOW-834</t>
  </si>
  <si>
    <t>XZZ-285</t>
  </si>
  <si>
    <t>WOW-638</t>
  </si>
  <si>
    <t>Répássy Kft.</t>
  </si>
  <si>
    <t>ERR-723</t>
  </si>
  <si>
    <t>LXD-238</t>
  </si>
  <si>
    <t>ERR-721</t>
  </si>
  <si>
    <t>ERR-720</t>
  </si>
  <si>
    <t>LXD-239</t>
  </si>
  <si>
    <t>VWS-247</t>
  </si>
  <si>
    <t>ERR-722</t>
  </si>
  <si>
    <t>RVI-992</t>
  </si>
  <si>
    <t>ERK-008</t>
  </si>
  <si>
    <t>SOW-831</t>
  </si>
  <si>
    <t>ERK-011</t>
  </si>
  <si>
    <t>MDC-820</t>
  </si>
  <si>
    <t>ERR-725</t>
  </si>
  <si>
    <t>XZZ-286</t>
  </si>
  <si>
    <t>SOW-835</t>
  </si>
  <si>
    <t>QPW-826</t>
  </si>
  <si>
    <t>ERK-012</t>
  </si>
  <si>
    <t>ERK-009</t>
  </si>
  <si>
    <t>NTX-951</t>
  </si>
  <si>
    <t>MDC-822</t>
  </si>
  <si>
    <t>SBA-447</t>
  </si>
  <si>
    <t>ERR-719</t>
  </si>
  <si>
    <t>MDC-821</t>
  </si>
  <si>
    <t>OXW-762</t>
  </si>
  <si>
    <t>ERK-010</t>
  </si>
  <si>
    <t>SOW-833</t>
  </si>
  <si>
    <t>WYA-471</t>
  </si>
  <si>
    <t>QPW-823</t>
  </si>
  <si>
    <t>RVI-993</t>
  </si>
  <si>
    <t>MDC-823</t>
  </si>
  <si>
    <t>QPW-824</t>
  </si>
  <si>
    <t>ERR-724</t>
  </si>
  <si>
    <t>SBA-446</t>
  </si>
  <si>
    <t>WYA-468</t>
  </si>
  <si>
    <t>QPW-827</t>
  </si>
  <si>
    <t>SBA-454</t>
  </si>
  <si>
    <t>OXW-763</t>
  </si>
  <si>
    <t>JAF-795</t>
  </si>
  <si>
    <t>OXW-761</t>
  </si>
  <si>
    <t>SBA-451</t>
  </si>
  <si>
    <t>NTX-949</t>
  </si>
  <si>
    <t>QPW-825</t>
  </si>
  <si>
    <t>NTX-947</t>
  </si>
  <si>
    <t>RVI-990</t>
  </si>
  <si>
    <t>RVI-994</t>
  </si>
  <si>
    <t>TFQ-071</t>
  </si>
  <si>
    <t>JAF-796</t>
  </si>
  <si>
    <t>WYA-470</t>
  </si>
  <si>
    <t>SBA-453</t>
  </si>
  <si>
    <t>SBA-449</t>
  </si>
  <si>
    <t>WYA-467</t>
  </si>
  <si>
    <t>SOW-832</t>
  </si>
  <si>
    <t>VWS-251</t>
  </si>
  <si>
    <t>MDC-819</t>
  </si>
  <si>
    <t>NTX-950</t>
  </si>
  <si>
    <t>VWS-248</t>
  </si>
  <si>
    <t>OXW-760</t>
  </si>
  <si>
    <t>WYA-469</t>
  </si>
  <si>
    <t>SBA-445</t>
  </si>
  <si>
    <t>SBA-450</t>
  </si>
  <si>
    <t>NTX-948</t>
  </si>
  <si>
    <t>TFQ-069</t>
  </si>
  <si>
    <t>RVI-991</t>
  </si>
  <si>
    <t>VWS-250</t>
  </si>
  <si>
    <t>OXW-759</t>
  </si>
  <si>
    <t>JAF-794</t>
  </si>
  <si>
    <t>ERR-726</t>
  </si>
  <si>
    <t>TFQ-070</t>
  </si>
  <si>
    <t>VWS-249</t>
  </si>
  <si>
    <t>SBA-444</t>
  </si>
  <si>
    <t>SBA-452</t>
  </si>
  <si>
    <t>SBA-448</t>
  </si>
  <si>
    <t>szerviz</t>
  </si>
  <si>
    <t>sajáthibás</t>
  </si>
  <si>
    <t>számla</t>
  </si>
  <si>
    <t>szervizből</t>
  </si>
  <si>
    <t>szervizbe</t>
  </si>
  <si>
    <t>rendszám</t>
  </si>
  <si>
    <t>index</t>
  </si>
  <si>
    <t>Tesztelje a formázást! Adja hozzá az adatbázis-táblázathoz a mai mérés ered-</t>
  </si>
  <si>
    <t>Strukturálja az adatbázis-táblázatot feltételes formázással! Minden ötödik ja-</t>
  </si>
  <si>
    <t xml:space="preserve">vítás cellái legyenek világosszürkék és mind a négy oldalukon szegélyezettek! </t>
  </si>
  <si>
    <t xml:space="preserve">A bal-, a felső- és a jobb oldali szegély a cellarácsokkal azonos színű, az alsó </t>
  </si>
  <si>
    <t>sötétszürke legyen!</t>
  </si>
  <si>
    <t>A sáv a számegyenes egy tizenöt egész számot tartalmazó szakasza. A jelen-</t>
  </si>
  <si>
    <t>gi adatokkal az első szám a négyszázhuszonegy, az utolsó négyszázharmincöt.</t>
  </si>
  <si>
    <t>A nyolcadik szám a négyszázhuszonnyolc.</t>
  </si>
  <si>
    <t>hónap</t>
  </si>
  <si>
    <t>létszám</t>
  </si>
  <si>
    <t>a vizsgált hónap</t>
  </si>
  <si>
    <t>Hét év létszám adatait látja, havi bontásban. Meghatározott hónap</t>
  </si>
  <si>
    <t>adatait akarjuk vizsgálni. A vizsgálandó hónap számát beírjuk az E3-</t>
  </si>
  <si>
    <t>as cellába. Feltételes formázással emelje ki minden év a H3-as cel-</t>
  </si>
  <si>
    <t>lában megadott sorszámú hónapjának sorát! A cellák legyenek vilá-</t>
  </si>
  <si>
    <t>goskékek (RGB 235, 235, 255) és körbe szegélyezettek. A bal-, a fel-</t>
  </si>
  <si>
    <t>ső- és a jobb oldali szegély színe egyezzen meg a cellarács színével,</t>
  </si>
  <si>
    <t>míg az alsó szegélye legyen sötétszürke.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</si>
</sst>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&quot;Ft&quot;"/>
    <numFmt numFmtId="165" formatCode="00\ 00\ 00\ 00"/>
    <numFmt numFmtId="166" formatCode="yyyy\-mm\-dd"/>
    <numFmt numFmtId="167" formatCode="000"/>
    <numFmt numFmtId="168" formatCode="hh:mm"/>
    <numFmt numFmtId="169" formatCode="yyyy\ \-\ mmmm"/>
  </numFmts>
  <fonts count="8" x14ac:knownFonts="1">
    <font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b/>
      <sz val="9"/>
      <color theme="1"/>
      <name val="Calibri"/>
      <family val="2"/>
      <charset val="238"/>
    </font>
    <font>
      <b/>
      <sz val="9"/>
      <color rgb="FF0000FF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5" fillId="0" borderId="0" applyFont="0" applyFill="0" applyBorder="0" applyAlignment="0" applyProtection="0"/>
    <xf numFmtId="0" fontId="6" fillId="0" borderId="0"/>
    <xf numFmtId="0" fontId="7" fillId="0" borderId="0"/>
    <xf numFmtId="0" fontId="5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2" fillId="0" borderId="0" xfId="0" applyFont="1"/>
    <xf numFmtId="164" fontId="0" fillId="0" borderId="0" xfId="0" applyNumberFormat="1" applyAlignment="1">
      <alignment horizontal="right" indent="1"/>
    </xf>
    <xf numFmtId="165" fontId="0" fillId="0" borderId="0" xfId="0" applyNumberFormat="1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4" fillId="0" borderId="0" xfId="0" applyFont="1"/>
    <xf numFmtId="9" fontId="0" fillId="0" borderId="0" xfId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indent="2"/>
    </xf>
    <xf numFmtId="3" fontId="0" fillId="0" borderId="0" xfId="0" applyNumberFormat="1" applyAlignment="1">
      <alignment horizontal="center"/>
    </xf>
    <xf numFmtId="1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right" indent="1"/>
    </xf>
    <xf numFmtId="0" fontId="1" fillId="0" borderId="0" xfId="0" applyFont="1" applyAlignment="1">
      <alignment horizontal="left"/>
    </xf>
    <xf numFmtId="0" fontId="1" fillId="0" borderId="0" xfId="0" applyFont="1" applyBorder="1" applyAlignment="1"/>
    <xf numFmtId="0" fontId="3" fillId="0" borderId="0" xfId="0" applyFont="1" applyBorder="1" applyAlignment="1">
      <alignment vertical="center"/>
    </xf>
    <xf numFmtId="0" fontId="1" fillId="0" borderId="0" xfId="0" applyFont="1" applyAlignment="1"/>
    <xf numFmtId="0" fontId="0" fillId="0" borderId="0" xfId="0" applyAlignment="1">
      <alignment horizontal="right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5" fillId="0" borderId="0" xfId="4" applyNumberFormat="1"/>
    <xf numFmtId="167" fontId="5" fillId="0" borderId="0" xfId="4" applyNumberFormat="1" applyAlignment="1">
      <alignment horizontal="center"/>
    </xf>
    <xf numFmtId="0" fontId="5" fillId="0" borderId="0" xfId="4" applyAlignment="1">
      <alignment horizontal="left" vertical="center" wrapText="1" indent="1"/>
    </xf>
    <xf numFmtId="0" fontId="5" fillId="0" borderId="0" xfId="4" applyAlignment="1">
      <alignment horizontal="left" indent="1"/>
    </xf>
    <xf numFmtId="0" fontId="1" fillId="0" borderId="1" xfId="4" applyFont="1" applyBorder="1" applyAlignment="1">
      <alignment horizontal="left" vertical="center" wrapText="1"/>
    </xf>
    <xf numFmtId="166" fontId="5" fillId="0" borderId="0" xfId="4" applyNumberFormat="1" applyAlignment="1">
      <alignment horizontal="center"/>
    </xf>
    <xf numFmtId="3" fontId="5" fillId="0" borderId="0" xfId="4" applyNumberFormat="1" applyAlignment="1">
      <alignment horizontal="right" indent="1"/>
    </xf>
    <xf numFmtId="0" fontId="1" fillId="0" borderId="1" xfId="4" applyFont="1" applyBorder="1" applyAlignment="1">
      <alignment horizontal="left"/>
    </xf>
    <xf numFmtId="14" fontId="0" fillId="0" borderId="0" xfId="0" applyNumberFormat="1"/>
    <xf numFmtId="169" fontId="0" fillId="0" borderId="0" xfId="0" applyNumberFormat="1" applyAlignment="1">
      <alignment horizontal="left" indent="1"/>
    </xf>
    <xf numFmtId="0" fontId="0" fillId="0" borderId="0" xfId="0" applyNumberFormat="1" applyAlignment="1">
      <alignment horizontal="left" indent="1"/>
    </xf>
  </cellXfs>
  <cellStyles count="5">
    <cellStyle name="Normál" xfId="0" builtinId="0"/>
    <cellStyle name="Normál 2" xfId="3" xr:uid="{22D4F9F2-17CC-4E2B-82C7-2F45977EB06E}"/>
    <cellStyle name="Normál 2 2" xfId="2" xr:uid="{F1BB9D7B-40F2-4C80-9576-CAC48C1A03AA}"/>
    <cellStyle name="Normál 2 3" xfId="4" xr:uid="{F3F3E71F-354B-4B34-A92F-928F134A4B3E}"/>
    <cellStyle name="Százalék" xfId="1" builtinId="5"/>
  </cellStyles>
  <dxfs count="29"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ont>
        <color theme="5" tint="0.39994506668294322"/>
      </font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color theme="5" tint="0.39994506668294322"/>
      </font>
    </dxf>
    <dxf>
      <alignment horizontal="left" vertical="bottom" textRotation="0" wrapText="0" indent="1" justifyLastLine="0" shrinkToFit="0" readingOrder="0"/>
    </dxf>
    <dxf>
      <numFmt numFmtId="19" formatCode="yyyy/mm/dd"/>
    </dxf>
    <dxf>
      <numFmt numFmtId="3" formatCode="#,##0"/>
      <alignment horizontal="right" vertical="bottom" textRotation="0" wrapText="0" indent="1" justifyLastLine="0" shrinkToFit="0" readingOrder="0"/>
    </dxf>
    <dxf>
      <numFmt numFmtId="166" formatCode="yyyy\-mm\-dd"/>
      <alignment horizontal="center" vertical="bottom" textRotation="0" wrapText="0" indent="0" justifyLastLine="0" shrinkToFit="0" readingOrder="0"/>
    </dxf>
    <dxf>
      <numFmt numFmtId="166" formatCode="yyyy\-mm\-dd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167" formatCode="000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38"/>
        <scheme val="minor"/>
      </font>
      <alignment horizontal="left" vertical="center" textRotation="0" wrapText="1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68" formatCode="hh:mm"/>
      <alignment horizontal="left" vertical="bottom" textRotation="0" wrapText="0" indent="0" justifyLastLine="0" shrinkToFit="0" readingOrder="0"/>
    </dxf>
    <dxf>
      <numFmt numFmtId="168" formatCode="hh:mm"/>
      <alignment horizontal="center" vertical="bottom" textRotation="0" wrapText="0" indent="0" justifyLastLine="0" shrinkToFit="0" readingOrder="0"/>
    </dxf>
    <dxf>
      <numFmt numFmtId="166" formatCode="yyyy\-mm\-dd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color theme="4"/>
      </font>
      <fill>
        <patternFill>
          <bgColor theme="0"/>
        </patternFill>
      </fill>
    </dxf>
    <dxf>
      <font>
        <color theme="6" tint="-0.499984740745262"/>
      </font>
      <fill>
        <patternFill>
          <bgColor theme="0"/>
        </patternFill>
      </fill>
    </dxf>
    <dxf>
      <font>
        <color rgb="FF9C0006"/>
      </font>
      <fill>
        <patternFill>
          <bgColor rgb="FFFFFF00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color theme="4"/>
      </font>
    </dxf>
  </dxfs>
  <tableStyles count="0" defaultTableStyle="TableStyleMedium2" defaultPivotStyle="PivotStyleLight16"/>
  <colors>
    <mruColors>
      <color rgb="FFEBEBFF"/>
      <color rgb="FFE1E1FF"/>
      <color rgb="FFCCCCFF"/>
      <color rgb="FF0000FF"/>
      <color rgb="FFFFFFD5"/>
      <color rgb="FFFFFF97"/>
      <color rgb="FFFFFFE1"/>
      <color rgb="FFEFEFFF"/>
      <color rgb="FFFFFFDD"/>
      <color rgb="FFFF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0C4417-0A2A-4D7A-BFE4-662AB305D863}" name="NapiJelentés" displayName="NapiJelentés" ref="A1:D504" totalsRowShown="0" headerRowDxfId="24">
  <autoFilter ref="A1:D504" xr:uid="{D4FDCDB4-074C-4032-B836-4B08A315FEE6}"/>
  <tableColumns count="4">
    <tableColumn id="1" xr3:uid="{8252AC5C-B7F1-4217-98DA-1FA1C3C015E1}" name="dátum" dataDxfId="23">
      <calculatedColumnFormula>TODAY()-(505-ROW())</calculatedColumnFormula>
    </tableColumn>
    <tableColumn id="2" xr3:uid="{0229F99F-EDB2-4ABF-8C4D-20EED2675A79}" name="rögzítés" dataDxfId="22"/>
    <tableColumn id="4" xr3:uid="{42186394-92C3-47D8-BA80-43C0ED5E21CD}" name="bejegyző" dataDxfId="21"/>
    <tableColumn id="3" xr3:uid="{790FC6B9-CDCB-45F6-8857-6B115C930EE5}" name="mérés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FC53C-0346-48A0-ABA0-FF1AA8509D4C}" name="javítások" displayName="javítások" ref="A1:G443" totalsRowShown="0" headerRowDxfId="19" headerRowBorderDxfId="18" headerRowCellStyle="Normál 2 3">
  <autoFilter ref="A1:G443" xr:uid="{39FA4C36-4078-4E59-9A2C-4C6DFF90EF01}"/>
  <tableColumns count="7">
    <tableColumn id="1" xr3:uid="{0BFF9863-BAF6-4D0A-A02E-8460CE3A660A}" name="index" dataDxfId="17" dataCellStyle="Normál 2 3"/>
    <tableColumn id="2" xr3:uid="{25ABED6C-1847-42B4-BBC3-1ECA131A090F}" name="rendszám" dataDxfId="16" dataCellStyle="Normál 2 3"/>
    <tableColumn id="3" xr3:uid="{CC1DABA6-C15F-4EED-B2A7-F1CAA33AE346}" name="szervizbe" dataDxfId="15" dataCellStyle="Normál 2 3"/>
    <tableColumn id="4" xr3:uid="{6A77B17D-D2E3-4D69-AA2C-16BADF202E92}" name="szervizből" dataDxfId="14" dataCellStyle="Normál 2 3"/>
    <tableColumn id="5" xr3:uid="{DFF448A1-B303-43FB-A66B-C271E2156980}" name="számla" dataDxfId="13" dataCellStyle="Normál 2 3"/>
    <tableColumn id="6" xr3:uid="{601B5072-8B9E-4FC8-AD11-C7D3877C0FA0}" name="sajáthibás" dataDxfId="12" dataCellStyle="Normál 2 3"/>
    <tableColumn id="7" xr3:uid="{97E4D661-A068-4FD6-AF8F-D60F2F3FB0F3}" name="szerviz" dataDxfId="11" dataCellStyle="Normál 2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C806-DA62-4B8B-8AAA-82C6A17BFB93}">
  <dimension ref="A1:H401"/>
  <sheetViews>
    <sheetView topLeftCell="A10" workbookViewId="0">
      <selection activeCell="E2" sqref="E2"/>
    </sheetView>
  </sheetViews>
  <sheetFormatPr defaultRowHeight="12" x14ac:dyDescent="0.2"/>
  <cols>
    <col min="1" max="1" width="12.33203125" bestFit="1" customWidth="1"/>
    <col min="2" max="2" width="22" bestFit="1" customWidth="1"/>
    <col min="3" max="3" width="19.83203125" customWidth="1"/>
    <col min="4" max="4" width="20.83203125" customWidth="1"/>
    <col min="5" max="5" width="13.6640625" customWidth="1"/>
  </cols>
  <sheetData>
    <row r="1" spans="1:8" ht="12.95" customHeight="1" x14ac:dyDescent="0.2">
      <c r="A1" s="10" t="s">
        <v>634</v>
      </c>
      <c r="B1" s="11" t="s">
        <v>224</v>
      </c>
      <c r="C1" s="11" t="s">
        <v>225</v>
      </c>
      <c r="D1" s="11" t="s">
        <v>641</v>
      </c>
      <c r="E1" s="11" t="s">
        <v>226</v>
      </c>
    </row>
    <row r="2" spans="1:8" x14ac:dyDescent="0.2">
      <c r="A2" s="5">
        <v>415</v>
      </c>
      <c r="B2" s="2" t="s">
        <v>227</v>
      </c>
      <c r="C2" s="2" t="s">
        <v>241</v>
      </c>
      <c r="D2" t="s">
        <v>642</v>
      </c>
      <c r="E2" s="4">
        <v>-163000</v>
      </c>
    </row>
    <row r="3" spans="1:8" x14ac:dyDescent="0.2">
      <c r="A3" s="5">
        <v>98</v>
      </c>
      <c r="B3" s="2" t="s">
        <v>229</v>
      </c>
      <c r="C3" s="2" t="s">
        <v>235</v>
      </c>
      <c r="D3" t="s">
        <v>635</v>
      </c>
      <c r="E3" s="4">
        <v>84000</v>
      </c>
      <c r="G3" s="3" t="s">
        <v>644</v>
      </c>
    </row>
    <row r="4" spans="1:8" x14ac:dyDescent="0.2">
      <c r="A4" s="5">
        <v>22</v>
      </c>
      <c r="B4" s="2" t="s">
        <v>231</v>
      </c>
      <c r="C4" s="2" t="s">
        <v>230</v>
      </c>
      <c r="D4" t="s">
        <v>636</v>
      </c>
      <c r="E4" s="4">
        <v>-308000</v>
      </c>
      <c r="G4" s="3" t="s">
        <v>645</v>
      </c>
    </row>
    <row r="5" spans="1:8" x14ac:dyDescent="0.2">
      <c r="A5" s="5">
        <v>35071</v>
      </c>
      <c r="B5" s="2" t="s">
        <v>232</v>
      </c>
      <c r="C5" s="2" t="s">
        <v>235</v>
      </c>
      <c r="D5" t="s">
        <v>637</v>
      </c>
      <c r="E5" s="4">
        <v>-205000</v>
      </c>
      <c r="G5" s="3" t="s">
        <v>649</v>
      </c>
    </row>
    <row r="6" spans="1:8" x14ac:dyDescent="0.2">
      <c r="A6" s="5">
        <v>7598438</v>
      </c>
      <c r="B6" s="2" t="s">
        <v>233</v>
      </c>
      <c r="C6" s="2" t="s">
        <v>235</v>
      </c>
      <c r="D6" t="s">
        <v>638</v>
      </c>
      <c r="E6" s="4">
        <v>49000</v>
      </c>
      <c r="G6" s="3" t="s">
        <v>650</v>
      </c>
    </row>
    <row r="7" spans="1:8" x14ac:dyDescent="0.2">
      <c r="A7" s="5">
        <v>99596</v>
      </c>
      <c r="B7" s="2" t="s">
        <v>234</v>
      </c>
      <c r="C7" s="2" t="s">
        <v>235</v>
      </c>
      <c r="D7" t="s">
        <v>637</v>
      </c>
      <c r="E7" s="4">
        <v>-451000</v>
      </c>
    </row>
    <row r="8" spans="1:8" x14ac:dyDescent="0.2">
      <c r="A8" s="5">
        <v>26778</v>
      </c>
      <c r="B8" s="2" t="s">
        <v>236</v>
      </c>
      <c r="C8" s="2" t="s">
        <v>238</v>
      </c>
      <c r="D8" t="s">
        <v>635</v>
      </c>
      <c r="E8" s="4">
        <v>69000</v>
      </c>
      <c r="G8" s="8" t="s">
        <v>646</v>
      </c>
      <c r="H8" s="3"/>
    </row>
    <row r="9" spans="1:8" x14ac:dyDescent="0.2">
      <c r="A9" s="5">
        <v>655656</v>
      </c>
      <c r="B9" s="2" t="s">
        <v>237</v>
      </c>
      <c r="C9" s="2" t="s">
        <v>235</v>
      </c>
      <c r="D9" t="s">
        <v>639</v>
      </c>
      <c r="E9" s="4">
        <v>-352000</v>
      </c>
    </row>
    <row r="10" spans="1:8" x14ac:dyDescent="0.2">
      <c r="A10" s="5">
        <v>82</v>
      </c>
      <c r="B10" s="2" t="s">
        <v>239</v>
      </c>
      <c r="C10" s="2" t="s">
        <v>228</v>
      </c>
      <c r="D10" t="s">
        <v>636</v>
      </c>
      <c r="E10" s="4">
        <v>-389000</v>
      </c>
      <c r="H10" s="6"/>
    </row>
    <row r="11" spans="1:8" x14ac:dyDescent="0.2">
      <c r="A11" s="5">
        <v>55516</v>
      </c>
      <c r="B11" s="2" t="s">
        <v>240</v>
      </c>
      <c r="C11" s="2" t="s">
        <v>235</v>
      </c>
      <c r="D11" t="s">
        <v>638</v>
      </c>
      <c r="E11" s="4">
        <v>-233000</v>
      </c>
    </row>
    <row r="12" spans="1:8" x14ac:dyDescent="0.2">
      <c r="A12" s="5">
        <v>1643039</v>
      </c>
      <c r="B12" s="2" t="s">
        <v>242</v>
      </c>
      <c r="C12" s="2" t="s">
        <v>235</v>
      </c>
      <c r="D12" t="s">
        <v>636</v>
      </c>
      <c r="E12" s="4">
        <v>350000</v>
      </c>
      <c r="G12" s="7" t="s">
        <v>666</v>
      </c>
    </row>
    <row r="13" spans="1:8" x14ac:dyDescent="0.2">
      <c r="A13" s="5">
        <v>539400</v>
      </c>
      <c r="B13" s="2" t="s">
        <v>244</v>
      </c>
      <c r="C13" s="2" t="s">
        <v>238</v>
      </c>
      <c r="D13" t="s">
        <v>636</v>
      </c>
      <c r="E13" s="4">
        <v>369000</v>
      </c>
      <c r="G13" s="7" t="s">
        <v>647</v>
      </c>
      <c r="H13" s="6"/>
    </row>
    <row r="14" spans="1:8" x14ac:dyDescent="0.2">
      <c r="A14" s="5">
        <v>5975150</v>
      </c>
      <c r="B14" s="2" t="s">
        <v>246</v>
      </c>
      <c r="C14" s="2" t="s">
        <v>228</v>
      </c>
      <c r="D14" t="s">
        <v>638</v>
      </c>
      <c r="E14" s="4">
        <v>-72000</v>
      </c>
      <c r="G14" s="3" t="s">
        <v>651</v>
      </c>
      <c r="H14" s="6"/>
    </row>
    <row r="15" spans="1:8" x14ac:dyDescent="0.2">
      <c r="A15" s="5">
        <v>19</v>
      </c>
      <c r="B15" s="2" t="s">
        <v>247</v>
      </c>
      <c r="C15" s="2" t="s">
        <v>235</v>
      </c>
      <c r="D15" t="s">
        <v>636</v>
      </c>
      <c r="E15" s="4">
        <v>134000</v>
      </c>
      <c r="G15" s="3" t="s">
        <v>652</v>
      </c>
      <c r="H15" s="6"/>
    </row>
    <row r="16" spans="1:8" x14ac:dyDescent="0.2">
      <c r="A16" s="5">
        <v>933</v>
      </c>
      <c r="B16" s="2" t="s">
        <v>248</v>
      </c>
      <c r="C16" s="2" t="s">
        <v>235</v>
      </c>
      <c r="D16" t="s">
        <v>635</v>
      </c>
      <c r="E16" s="4">
        <v>-121000</v>
      </c>
      <c r="H16" s="6"/>
    </row>
    <row r="17" spans="1:8" x14ac:dyDescent="0.2">
      <c r="A17" s="5">
        <v>18</v>
      </c>
      <c r="B17" s="2" t="s">
        <v>250</v>
      </c>
      <c r="C17" s="2" t="s">
        <v>235</v>
      </c>
      <c r="D17" t="s">
        <v>638</v>
      </c>
      <c r="E17" s="4">
        <v>-8000</v>
      </c>
      <c r="H17" s="6"/>
    </row>
    <row r="18" spans="1:8" x14ac:dyDescent="0.2">
      <c r="A18" s="5">
        <v>91</v>
      </c>
      <c r="B18" s="2" t="s">
        <v>252</v>
      </c>
      <c r="C18" s="2" t="s">
        <v>235</v>
      </c>
      <c r="D18" t="s">
        <v>638</v>
      </c>
      <c r="E18" s="4">
        <v>159000</v>
      </c>
      <c r="H18" s="6"/>
    </row>
    <row r="19" spans="1:8" x14ac:dyDescent="0.2">
      <c r="A19" s="5">
        <v>13602</v>
      </c>
      <c r="B19" s="2" t="s">
        <v>253</v>
      </c>
      <c r="C19" s="2" t="s">
        <v>235</v>
      </c>
      <c r="D19" t="s">
        <v>643</v>
      </c>
      <c r="E19" s="4">
        <v>245000</v>
      </c>
      <c r="G19" s="3" t="s">
        <v>653</v>
      </c>
      <c r="H19" s="6"/>
    </row>
    <row r="20" spans="1:8" x14ac:dyDescent="0.2">
      <c r="A20" s="5">
        <v>2003</v>
      </c>
      <c r="B20" s="2" t="s">
        <v>254</v>
      </c>
      <c r="C20" s="2" t="s">
        <v>228</v>
      </c>
      <c r="D20" t="s">
        <v>638</v>
      </c>
      <c r="E20" s="4">
        <v>267000</v>
      </c>
      <c r="G20" s="3" t="s">
        <v>654</v>
      </c>
      <c r="H20" s="6"/>
    </row>
    <row r="21" spans="1:8" x14ac:dyDescent="0.2">
      <c r="A21" s="5">
        <v>1104</v>
      </c>
      <c r="B21" s="2" t="s">
        <v>255</v>
      </c>
      <c r="C21" s="2" t="s">
        <v>230</v>
      </c>
      <c r="D21" t="s">
        <v>636</v>
      </c>
      <c r="E21" s="4">
        <v>397000</v>
      </c>
      <c r="G21" s="3" t="s">
        <v>655</v>
      </c>
      <c r="H21" s="6"/>
    </row>
    <row r="22" spans="1:8" x14ac:dyDescent="0.2">
      <c r="A22" s="5">
        <v>61</v>
      </c>
      <c r="B22" s="2" t="s">
        <v>256</v>
      </c>
      <c r="C22" s="2" t="s">
        <v>249</v>
      </c>
      <c r="D22" t="s">
        <v>643</v>
      </c>
      <c r="E22" s="4">
        <v>-170000</v>
      </c>
      <c r="H22" s="6"/>
    </row>
    <row r="23" spans="1:8" x14ac:dyDescent="0.2">
      <c r="A23" s="5">
        <v>5821910</v>
      </c>
      <c r="B23" s="2" t="s">
        <v>257</v>
      </c>
      <c r="C23" s="2" t="s">
        <v>241</v>
      </c>
      <c r="D23" t="s">
        <v>638</v>
      </c>
      <c r="E23" s="4">
        <v>-443000</v>
      </c>
      <c r="H23" s="6"/>
    </row>
    <row r="24" spans="1:8" x14ac:dyDescent="0.2">
      <c r="A24" s="5">
        <v>40</v>
      </c>
      <c r="B24" s="2" t="s">
        <v>258</v>
      </c>
      <c r="C24" s="2" t="s">
        <v>228</v>
      </c>
      <c r="D24" t="s">
        <v>642</v>
      </c>
      <c r="E24" s="4">
        <v>359000</v>
      </c>
      <c r="H24" s="6"/>
    </row>
    <row r="25" spans="1:8" x14ac:dyDescent="0.2">
      <c r="A25" s="5">
        <v>56</v>
      </c>
      <c r="B25" s="2" t="s">
        <v>259</v>
      </c>
      <c r="C25" s="2" t="s">
        <v>235</v>
      </c>
      <c r="D25" t="s">
        <v>635</v>
      </c>
      <c r="E25" s="4">
        <v>89000</v>
      </c>
      <c r="H25" s="6"/>
    </row>
    <row r="26" spans="1:8" x14ac:dyDescent="0.2">
      <c r="A26" s="5">
        <v>296</v>
      </c>
      <c r="B26" s="2" t="s">
        <v>260</v>
      </c>
      <c r="C26" s="2" t="s">
        <v>235</v>
      </c>
      <c r="D26" t="s">
        <v>643</v>
      </c>
      <c r="E26" s="4">
        <v>35000</v>
      </c>
    </row>
    <row r="27" spans="1:8" x14ac:dyDescent="0.2">
      <c r="A27" s="5">
        <v>18265</v>
      </c>
      <c r="B27" s="2" t="s">
        <v>261</v>
      </c>
      <c r="C27" s="2" t="s">
        <v>230</v>
      </c>
      <c r="D27" t="s">
        <v>640</v>
      </c>
      <c r="E27" s="4">
        <v>14000</v>
      </c>
    </row>
    <row r="28" spans="1:8" x14ac:dyDescent="0.2">
      <c r="A28" s="5">
        <v>46</v>
      </c>
      <c r="B28" s="2" t="s">
        <v>262</v>
      </c>
      <c r="C28" s="2" t="s">
        <v>235</v>
      </c>
      <c r="D28" t="s">
        <v>640</v>
      </c>
      <c r="E28" s="4">
        <v>-402000</v>
      </c>
    </row>
    <row r="29" spans="1:8" x14ac:dyDescent="0.2">
      <c r="A29" s="5">
        <v>560</v>
      </c>
      <c r="B29" s="2" t="s">
        <v>263</v>
      </c>
      <c r="C29" s="2" t="s">
        <v>235</v>
      </c>
      <c r="D29" t="s">
        <v>642</v>
      </c>
      <c r="E29" s="4">
        <v>283000</v>
      </c>
    </row>
    <row r="30" spans="1:8" x14ac:dyDescent="0.2">
      <c r="A30" s="5">
        <v>33045961</v>
      </c>
      <c r="B30" s="2" t="s">
        <v>264</v>
      </c>
      <c r="C30" s="2" t="s">
        <v>249</v>
      </c>
      <c r="D30" t="s">
        <v>637</v>
      </c>
      <c r="E30" s="4">
        <v>-156000</v>
      </c>
    </row>
    <row r="31" spans="1:8" x14ac:dyDescent="0.2">
      <c r="A31" s="5">
        <v>58</v>
      </c>
      <c r="B31" s="2" t="s">
        <v>265</v>
      </c>
      <c r="C31" s="2" t="s">
        <v>235</v>
      </c>
      <c r="D31" t="s">
        <v>639</v>
      </c>
      <c r="E31" s="4">
        <v>451000</v>
      </c>
    </row>
    <row r="32" spans="1:8" x14ac:dyDescent="0.2">
      <c r="A32" s="5">
        <v>73259</v>
      </c>
      <c r="B32" s="2" t="s">
        <v>266</v>
      </c>
      <c r="C32" s="2" t="s">
        <v>235</v>
      </c>
      <c r="D32" t="s">
        <v>637</v>
      </c>
      <c r="E32" s="4">
        <v>93000</v>
      </c>
    </row>
    <row r="33" spans="1:5" x14ac:dyDescent="0.2">
      <c r="A33" s="5">
        <v>162793</v>
      </c>
      <c r="B33" s="2" t="s">
        <v>267</v>
      </c>
      <c r="C33" s="2" t="s">
        <v>235</v>
      </c>
      <c r="D33" t="s">
        <v>642</v>
      </c>
      <c r="E33" s="4">
        <v>-257000</v>
      </c>
    </row>
    <row r="34" spans="1:5" x14ac:dyDescent="0.2">
      <c r="A34" s="5">
        <v>1523</v>
      </c>
      <c r="B34" s="2" t="s">
        <v>268</v>
      </c>
      <c r="C34" s="2" t="s">
        <v>241</v>
      </c>
      <c r="D34" t="s">
        <v>640</v>
      </c>
      <c r="E34" s="4">
        <v>210000</v>
      </c>
    </row>
    <row r="35" spans="1:5" x14ac:dyDescent="0.2">
      <c r="A35" s="5">
        <v>7383976</v>
      </c>
      <c r="B35" s="2" t="s">
        <v>269</v>
      </c>
      <c r="C35" s="2" t="s">
        <v>243</v>
      </c>
      <c r="D35" t="s">
        <v>638</v>
      </c>
      <c r="E35" s="4">
        <v>-436000</v>
      </c>
    </row>
    <row r="36" spans="1:5" x14ac:dyDescent="0.2">
      <c r="A36" s="5">
        <v>592047</v>
      </c>
      <c r="B36" s="2" t="s">
        <v>270</v>
      </c>
      <c r="C36" s="2" t="s">
        <v>228</v>
      </c>
      <c r="D36" t="s">
        <v>637</v>
      </c>
      <c r="E36" s="4">
        <v>409000</v>
      </c>
    </row>
    <row r="37" spans="1:5" x14ac:dyDescent="0.2">
      <c r="A37" s="5">
        <v>41312447</v>
      </c>
      <c r="B37" s="2" t="s">
        <v>271</v>
      </c>
      <c r="C37" s="2" t="s">
        <v>235</v>
      </c>
      <c r="D37" t="s">
        <v>643</v>
      </c>
      <c r="E37" s="4">
        <v>111000</v>
      </c>
    </row>
    <row r="38" spans="1:5" x14ac:dyDescent="0.2">
      <c r="A38" s="5">
        <v>2822</v>
      </c>
      <c r="B38" s="2" t="s">
        <v>272</v>
      </c>
      <c r="C38" s="2" t="s">
        <v>235</v>
      </c>
      <c r="D38" t="s">
        <v>638</v>
      </c>
      <c r="E38" s="4">
        <v>-388000</v>
      </c>
    </row>
    <row r="39" spans="1:5" x14ac:dyDescent="0.2">
      <c r="A39" s="5">
        <v>35</v>
      </c>
      <c r="B39" s="2" t="s">
        <v>273</v>
      </c>
      <c r="C39" s="2" t="s">
        <v>235</v>
      </c>
      <c r="D39" t="s">
        <v>637</v>
      </c>
      <c r="E39" s="4">
        <v>-177000</v>
      </c>
    </row>
    <row r="40" spans="1:5" x14ac:dyDescent="0.2">
      <c r="A40" s="5">
        <v>4888890</v>
      </c>
      <c r="B40" s="2" t="s">
        <v>274</v>
      </c>
      <c r="C40" s="2" t="s">
        <v>228</v>
      </c>
      <c r="D40" t="s">
        <v>637</v>
      </c>
      <c r="E40" s="4">
        <v>162000</v>
      </c>
    </row>
    <row r="41" spans="1:5" x14ac:dyDescent="0.2">
      <c r="A41" s="5">
        <v>89</v>
      </c>
      <c r="B41" s="2" t="s">
        <v>275</v>
      </c>
      <c r="C41" s="2" t="s">
        <v>235</v>
      </c>
      <c r="D41" t="s">
        <v>636</v>
      </c>
      <c r="E41" s="4">
        <v>290000</v>
      </c>
    </row>
    <row r="42" spans="1:5" x14ac:dyDescent="0.2">
      <c r="A42" s="5">
        <v>72290</v>
      </c>
      <c r="B42" s="2" t="s">
        <v>276</v>
      </c>
      <c r="C42" s="2" t="s">
        <v>235</v>
      </c>
      <c r="D42" t="s">
        <v>642</v>
      </c>
      <c r="E42" s="4">
        <v>-273000</v>
      </c>
    </row>
    <row r="43" spans="1:5" x14ac:dyDescent="0.2">
      <c r="A43" s="5">
        <v>91373</v>
      </c>
      <c r="B43" s="2" t="s">
        <v>277</v>
      </c>
      <c r="C43" s="2" t="s">
        <v>230</v>
      </c>
      <c r="D43" t="s">
        <v>638</v>
      </c>
      <c r="E43" s="4">
        <v>118000</v>
      </c>
    </row>
    <row r="44" spans="1:5" x14ac:dyDescent="0.2">
      <c r="A44" s="5">
        <v>7925608</v>
      </c>
      <c r="B44" s="2" t="s">
        <v>278</v>
      </c>
      <c r="C44" s="2" t="s">
        <v>235</v>
      </c>
      <c r="D44" t="s">
        <v>642</v>
      </c>
      <c r="E44" s="4">
        <v>-180000</v>
      </c>
    </row>
    <row r="45" spans="1:5" x14ac:dyDescent="0.2">
      <c r="A45" s="5">
        <v>932</v>
      </c>
      <c r="B45" s="2" t="s">
        <v>279</v>
      </c>
      <c r="C45" s="2" t="s">
        <v>235</v>
      </c>
      <c r="D45" t="s">
        <v>643</v>
      </c>
      <c r="E45" s="4">
        <v>-461000</v>
      </c>
    </row>
    <row r="46" spans="1:5" x14ac:dyDescent="0.2">
      <c r="A46" s="5">
        <v>49606</v>
      </c>
      <c r="B46" s="2" t="s">
        <v>280</v>
      </c>
      <c r="C46" s="2" t="s">
        <v>235</v>
      </c>
      <c r="D46" t="s">
        <v>636</v>
      </c>
      <c r="E46" s="4">
        <v>-61000</v>
      </c>
    </row>
    <row r="47" spans="1:5" x14ac:dyDescent="0.2">
      <c r="A47" s="5">
        <v>63038</v>
      </c>
      <c r="B47" s="2" t="s">
        <v>281</v>
      </c>
      <c r="C47" s="2" t="s">
        <v>235</v>
      </c>
      <c r="D47" t="s">
        <v>637</v>
      </c>
      <c r="E47" s="4">
        <v>-20000</v>
      </c>
    </row>
    <row r="48" spans="1:5" x14ac:dyDescent="0.2">
      <c r="A48" s="5">
        <v>389</v>
      </c>
      <c r="B48" s="2" t="s">
        <v>282</v>
      </c>
      <c r="C48" s="2" t="s">
        <v>235</v>
      </c>
      <c r="D48" t="s">
        <v>643</v>
      </c>
      <c r="E48" s="4">
        <v>-418000</v>
      </c>
    </row>
    <row r="49" spans="1:5" x14ac:dyDescent="0.2">
      <c r="A49" s="5">
        <v>674</v>
      </c>
      <c r="B49" s="2" t="s">
        <v>283</v>
      </c>
      <c r="C49" s="2" t="s">
        <v>228</v>
      </c>
      <c r="D49" t="s">
        <v>642</v>
      </c>
      <c r="E49" s="4">
        <v>421000</v>
      </c>
    </row>
    <row r="50" spans="1:5" x14ac:dyDescent="0.2">
      <c r="A50" s="5">
        <v>18645</v>
      </c>
      <c r="B50" s="2" t="s">
        <v>284</v>
      </c>
      <c r="C50" s="2" t="s">
        <v>235</v>
      </c>
      <c r="D50" t="s">
        <v>639</v>
      </c>
      <c r="E50" s="4">
        <v>168000</v>
      </c>
    </row>
    <row r="51" spans="1:5" x14ac:dyDescent="0.2">
      <c r="A51" s="5">
        <v>182638</v>
      </c>
      <c r="B51" s="2" t="s">
        <v>285</v>
      </c>
      <c r="C51" s="2" t="s">
        <v>245</v>
      </c>
      <c r="D51" t="s">
        <v>640</v>
      </c>
      <c r="E51" s="4">
        <v>292000</v>
      </c>
    </row>
    <row r="52" spans="1:5" x14ac:dyDescent="0.2">
      <c r="A52" s="5">
        <v>358917</v>
      </c>
      <c r="B52" s="2" t="s">
        <v>286</v>
      </c>
      <c r="C52" s="2" t="s">
        <v>235</v>
      </c>
      <c r="D52" t="s">
        <v>636</v>
      </c>
      <c r="E52" s="4">
        <v>-380000</v>
      </c>
    </row>
    <row r="53" spans="1:5" x14ac:dyDescent="0.2">
      <c r="A53" s="5">
        <v>49401672</v>
      </c>
      <c r="B53" s="2" t="s">
        <v>287</v>
      </c>
      <c r="C53" s="2" t="s">
        <v>235</v>
      </c>
      <c r="D53" t="s">
        <v>638</v>
      </c>
      <c r="E53" s="4">
        <v>56000</v>
      </c>
    </row>
    <row r="54" spans="1:5" x14ac:dyDescent="0.2">
      <c r="A54" s="5">
        <v>30953166</v>
      </c>
      <c r="B54" s="2" t="s">
        <v>288</v>
      </c>
      <c r="C54" s="2" t="s">
        <v>235</v>
      </c>
      <c r="D54" t="s">
        <v>640</v>
      </c>
      <c r="E54" s="4">
        <v>-327000</v>
      </c>
    </row>
    <row r="55" spans="1:5" x14ac:dyDescent="0.2">
      <c r="A55" s="5">
        <v>6463888</v>
      </c>
      <c r="B55" s="2" t="s">
        <v>289</v>
      </c>
      <c r="C55" s="2" t="s">
        <v>235</v>
      </c>
      <c r="D55" t="s">
        <v>643</v>
      </c>
      <c r="E55" s="4">
        <v>370000</v>
      </c>
    </row>
    <row r="56" spans="1:5" x14ac:dyDescent="0.2">
      <c r="A56" s="5">
        <v>632331</v>
      </c>
      <c r="B56" s="2" t="s">
        <v>290</v>
      </c>
      <c r="C56" s="2" t="s">
        <v>243</v>
      </c>
      <c r="D56" t="s">
        <v>638</v>
      </c>
      <c r="E56" s="4">
        <v>105000</v>
      </c>
    </row>
    <row r="57" spans="1:5" x14ac:dyDescent="0.2">
      <c r="A57" s="5">
        <v>82598</v>
      </c>
      <c r="B57" s="2" t="s">
        <v>291</v>
      </c>
      <c r="C57" s="2" t="s">
        <v>235</v>
      </c>
      <c r="D57" t="s">
        <v>643</v>
      </c>
      <c r="E57" s="4">
        <v>244000</v>
      </c>
    </row>
    <row r="58" spans="1:5" x14ac:dyDescent="0.2">
      <c r="A58" s="5">
        <v>11127428</v>
      </c>
      <c r="B58" s="2" t="s">
        <v>292</v>
      </c>
      <c r="C58" s="2" t="s">
        <v>235</v>
      </c>
      <c r="D58" t="s">
        <v>639</v>
      </c>
      <c r="E58" s="4">
        <v>-52000</v>
      </c>
    </row>
    <row r="59" spans="1:5" x14ac:dyDescent="0.2">
      <c r="A59" s="5">
        <v>182</v>
      </c>
      <c r="B59" s="2" t="s">
        <v>293</v>
      </c>
      <c r="C59" s="2" t="s">
        <v>249</v>
      </c>
      <c r="D59" t="s">
        <v>635</v>
      </c>
      <c r="E59" s="4">
        <v>399000</v>
      </c>
    </row>
    <row r="60" spans="1:5" x14ac:dyDescent="0.2">
      <c r="A60" s="5">
        <v>54380044</v>
      </c>
      <c r="B60" s="2" t="s">
        <v>294</v>
      </c>
      <c r="C60" s="2" t="s">
        <v>235</v>
      </c>
      <c r="D60" t="s">
        <v>643</v>
      </c>
      <c r="E60" s="4">
        <v>106000</v>
      </c>
    </row>
    <row r="61" spans="1:5" x14ac:dyDescent="0.2">
      <c r="A61" s="5">
        <v>5635729</v>
      </c>
      <c r="B61" s="2" t="s">
        <v>295</v>
      </c>
      <c r="C61" s="2" t="s">
        <v>249</v>
      </c>
      <c r="D61" t="s">
        <v>638</v>
      </c>
      <c r="E61" s="4">
        <v>289000</v>
      </c>
    </row>
    <row r="62" spans="1:5" x14ac:dyDescent="0.2">
      <c r="A62" s="5">
        <v>35690</v>
      </c>
      <c r="B62" s="2" t="s">
        <v>296</v>
      </c>
      <c r="C62" s="2" t="s">
        <v>245</v>
      </c>
      <c r="D62" t="s">
        <v>638</v>
      </c>
      <c r="E62" s="4">
        <v>36000</v>
      </c>
    </row>
    <row r="63" spans="1:5" x14ac:dyDescent="0.2">
      <c r="A63" s="5">
        <v>867471</v>
      </c>
      <c r="B63" s="2" t="s">
        <v>297</v>
      </c>
      <c r="C63" s="2" t="s">
        <v>245</v>
      </c>
      <c r="D63" t="s">
        <v>636</v>
      </c>
      <c r="E63" s="4">
        <v>-199000</v>
      </c>
    </row>
    <row r="64" spans="1:5" x14ac:dyDescent="0.2">
      <c r="A64" s="5">
        <v>30160</v>
      </c>
      <c r="B64" s="2" t="s">
        <v>298</v>
      </c>
      <c r="C64" s="2" t="s">
        <v>235</v>
      </c>
      <c r="D64" t="s">
        <v>636</v>
      </c>
      <c r="E64" s="4">
        <v>-482000</v>
      </c>
    </row>
    <row r="65" spans="1:5" x14ac:dyDescent="0.2">
      <c r="A65" s="5">
        <v>47459</v>
      </c>
      <c r="B65" s="2" t="s">
        <v>299</v>
      </c>
      <c r="C65" s="2" t="s">
        <v>251</v>
      </c>
      <c r="D65" t="s">
        <v>636</v>
      </c>
      <c r="E65" s="4">
        <v>35000</v>
      </c>
    </row>
    <row r="66" spans="1:5" x14ac:dyDescent="0.2">
      <c r="A66" s="5">
        <v>17</v>
      </c>
      <c r="B66" s="2" t="s">
        <v>300</v>
      </c>
      <c r="C66" s="2" t="s">
        <v>243</v>
      </c>
      <c r="D66" t="s">
        <v>638</v>
      </c>
      <c r="E66" s="4">
        <v>373000</v>
      </c>
    </row>
    <row r="67" spans="1:5" x14ac:dyDescent="0.2">
      <c r="A67" s="5">
        <v>340806</v>
      </c>
      <c r="B67" s="2" t="s">
        <v>301</v>
      </c>
      <c r="C67" s="2" t="s">
        <v>235</v>
      </c>
      <c r="D67" t="s">
        <v>636</v>
      </c>
      <c r="E67" s="4">
        <v>-95000</v>
      </c>
    </row>
    <row r="68" spans="1:5" x14ac:dyDescent="0.2">
      <c r="A68" s="5">
        <v>699</v>
      </c>
      <c r="B68" s="2" t="s">
        <v>302</v>
      </c>
      <c r="C68" s="2" t="s">
        <v>235</v>
      </c>
      <c r="D68" t="s">
        <v>643</v>
      </c>
      <c r="E68" s="4">
        <v>-37000</v>
      </c>
    </row>
    <row r="69" spans="1:5" x14ac:dyDescent="0.2">
      <c r="A69" s="5">
        <v>1401</v>
      </c>
      <c r="B69" s="2" t="s">
        <v>303</v>
      </c>
      <c r="C69" s="2" t="s">
        <v>249</v>
      </c>
      <c r="D69" t="s">
        <v>637</v>
      </c>
      <c r="E69" s="4">
        <v>-215000</v>
      </c>
    </row>
    <row r="70" spans="1:5" x14ac:dyDescent="0.2">
      <c r="A70" s="5">
        <v>77</v>
      </c>
      <c r="B70" s="2" t="s">
        <v>304</v>
      </c>
      <c r="C70" s="2" t="s">
        <v>249</v>
      </c>
      <c r="D70" t="s">
        <v>639</v>
      </c>
      <c r="E70" s="4">
        <v>-334000</v>
      </c>
    </row>
    <row r="71" spans="1:5" x14ac:dyDescent="0.2">
      <c r="A71" s="5">
        <v>4994487</v>
      </c>
      <c r="B71" s="2" t="s">
        <v>305</v>
      </c>
      <c r="C71" s="2" t="s">
        <v>238</v>
      </c>
      <c r="D71" t="s">
        <v>640</v>
      </c>
      <c r="E71" s="4">
        <v>197000</v>
      </c>
    </row>
    <row r="72" spans="1:5" x14ac:dyDescent="0.2">
      <c r="A72" s="5">
        <v>5290</v>
      </c>
      <c r="B72" s="2" t="s">
        <v>306</v>
      </c>
      <c r="C72" s="2" t="s">
        <v>235</v>
      </c>
      <c r="D72" t="s">
        <v>640</v>
      </c>
      <c r="E72" s="4">
        <v>-254000</v>
      </c>
    </row>
    <row r="73" spans="1:5" x14ac:dyDescent="0.2">
      <c r="A73" s="5">
        <v>4815770</v>
      </c>
      <c r="B73" s="2" t="s">
        <v>307</v>
      </c>
      <c r="C73" s="2" t="s">
        <v>251</v>
      </c>
      <c r="D73" t="s">
        <v>640</v>
      </c>
      <c r="E73" s="4">
        <v>40000</v>
      </c>
    </row>
    <row r="74" spans="1:5" x14ac:dyDescent="0.2">
      <c r="A74" s="5">
        <v>101694</v>
      </c>
      <c r="B74" s="2" t="s">
        <v>308</v>
      </c>
      <c r="C74" s="2" t="s">
        <v>235</v>
      </c>
      <c r="D74" t="s">
        <v>637</v>
      </c>
      <c r="E74" s="4">
        <v>321000</v>
      </c>
    </row>
    <row r="75" spans="1:5" x14ac:dyDescent="0.2">
      <c r="A75" s="5">
        <v>212255</v>
      </c>
      <c r="B75" s="2" t="s">
        <v>309</v>
      </c>
      <c r="C75" s="2" t="s">
        <v>235</v>
      </c>
      <c r="D75" t="s">
        <v>638</v>
      </c>
      <c r="E75" s="4">
        <v>314000</v>
      </c>
    </row>
    <row r="76" spans="1:5" x14ac:dyDescent="0.2">
      <c r="A76" s="5">
        <v>82983</v>
      </c>
      <c r="B76" s="2" t="s">
        <v>310</v>
      </c>
      <c r="C76" s="2" t="s">
        <v>230</v>
      </c>
      <c r="D76" t="s">
        <v>636</v>
      </c>
      <c r="E76" s="4">
        <v>282000</v>
      </c>
    </row>
    <row r="77" spans="1:5" x14ac:dyDescent="0.2">
      <c r="A77" s="5">
        <v>33</v>
      </c>
      <c r="B77" s="2" t="s">
        <v>311</v>
      </c>
      <c r="C77" s="2" t="s">
        <v>235</v>
      </c>
      <c r="D77" t="s">
        <v>640</v>
      </c>
      <c r="E77" s="4">
        <v>365000</v>
      </c>
    </row>
    <row r="78" spans="1:5" x14ac:dyDescent="0.2">
      <c r="A78" s="5">
        <v>3766</v>
      </c>
      <c r="B78" s="2" t="s">
        <v>312</v>
      </c>
      <c r="C78" s="2" t="s">
        <v>235</v>
      </c>
      <c r="D78" t="s">
        <v>643</v>
      </c>
      <c r="E78" s="4">
        <v>-149000</v>
      </c>
    </row>
    <row r="79" spans="1:5" x14ac:dyDescent="0.2">
      <c r="A79" s="5">
        <v>321673</v>
      </c>
      <c r="B79" s="2" t="s">
        <v>313</v>
      </c>
      <c r="C79" s="2" t="s">
        <v>243</v>
      </c>
      <c r="D79" t="s">
        <v>635</v>
      </c>
      <c r="E79" s="4">
        <v>-442000</v>
      </c>
    </row>
    <row r="80" spans="1:5" x14ac:dyDescent="0.2">
      <c r="A80" s="5">
        <v>83</v>
      </c>
      <c r="B80" s="2" t="s">
        <v>314</v>
      </c>
      <c r="C80" s="2" t="s">
        <v>243</v>
      </c>
      <c r="D80" t="s">
        <v>637</v>
      </c>
      <c r="E80" s="4">
        <v>-198000</v>
      </c>
    </row>
    <row r="81" spans="1:5" x14ac:dyDescent="0.2">
      <c r="A81" s="5">
        <v>148445</v>
      </c>
      <c r="B81" s="2" t="s">
        <v>315</v>
      </c>
      <c r="C81" s="2" t="s">
        <v>251</v>
      </c>
      <c r="D81" t="s">
        <v>638</v>
      </c>
      <c r="E81" s="4">
        <v>229000</v>
      </c>
    </row>
    <row r="82" spans="1:5" x14ac:dyDescent="0.2">
      <c r="A82" s="5">
        <v>5346</v>
      </c>
      <c r="B82" s="2" t="s">
        <v>316</v>
      </c>
      <c r="C82" s="2" t="s">
        <v>241</v>
      </c>
      <c r="D82" t="s">
        <v>642</v>
      </c>
      <c r="E82" s="4">
        <v>49000</v>
      </c>
    </row>
    <row r="83" spans="1:5" x14ac:dyDescent="0.2">
      <c r="A83" s="5">
        <v>88144</v>
      </c>
      <c r="B83" s="2" t="s">
        <v>317</v>
      </c>
      <c r="C83" s="2" t="s">
        <v>235</v>
      </c>
      <c r="D83" t="s">
        <v>638</v>
      </c>
      <c r="E83" s="4">
        <v>61000</v>
      </c>
    </row>
    <row r="84" spans="1:5" x14ac:dyDescent="0.2">
      <c r="A84" s="5">
        <v>36182332</v>
      </c>
      <c r="B84" s="2" t="s">
        <v>318</v>
      </c>
      <c r="C84" s="2" t="s">
        <v>249</v>
      </c>
      <c r="D84" t="s">
        <v>637</v>
      </c>
      <c r="E84" s="4">
        <v>181000</v>
      </c>
    </row>
    <row r="85" spans="1:5" x14ac:dyDescent="0.2">
      <c r="A85" s="5">
        <v>51</v>
      </c>
      <c r="B85" s="2" t="s">
        <v>319</v>
      </c>
      <c r="C85" s="2" t="s">
        <v>245</v>
      </c>
      <c r="D85" t="s">
        <v>636</v>
      </c>
      <c r="E85" s="4">
        <v>350000</v>
      </c>
    </row>
    <row r="86" spans="1:5" x14ac:dyDescent="0.2">
      <c r="A86" s="5">
        <v>848</v>
      </c>
      <c r="B86" s="2" t="s">
        <v>320</v>
      </c>
      <c r="C86" s="2" t="s">
        <v>241</v>
      </c>
      <c r="D86" t="s">
        <v>636</v>
      </c>
      <c r="E86" s="4">
        <v>-4000</v>
      </c>
    </row>
    <row r="87" spans="1:5" x14ac:dyDescent="0.2">
      <c r="A87" s="5">
        <v>9892</v>
      </c>
      <c r="B87" s="2" t="s">
        <v>321</v>
      </c>
      <c r="C87" s="2" t="s">
        <v>243</v>
      </c>
      <c r="D87" t="s">
        <v>635</v>
      </c>
      <c r="E87" s="4">
        <v>-443000</v>
      </c>
    </row>
    <row r="88" spans="1:5" x14ac:dyDescent="0.2">
      <c r="A88" s="5">
        <v>3942</v>
      </c>
      <c r="B88" s="2" t="s">
        <v>322</v>
      </c>
      <c r="C88" s="2" t="s">
        <v>235</v>
      </c>
      <c r="D88" t="s">
        <v>643</v>
      </c>
      <c r="E88" s="4">
        <v>-415000</v>
      </c>
    </row>
    <row r="89" spans="1:5" x14ac:dyDescent="0.2">
      <c r="A89" s="5">
        <v>481</v>
      </c>
      <c r="B89" s="2" t="s">
        <v>323</v>
      </c>
      <c r="C89" s="2" t="s">
        <v>235</v>
      </c>
      <c r="D89" t="s">
        <v>643</v>
      </c>
      <c r="E89" s="4">
        <v>410000</v>
      </c>
    </row>
    <row r="90" spans="1:5" x14ac:dyDescent="0.2">
      <c r="A90" s="5">
        <v>958162</v>
      </c>
      <c r="B90" s="2" t="s">
        <v>324</v>
      </c>
      <c r="C90" s="2" t="s">
        <v>249</v>
      </c>
      <c r="D90" t="s">
        <v>638</v>
      </c>
      <c r="E90" s="4">
        <v>495000</v>
      </c>
    </row>
    <row r="91" spans="1:5" x14ac:dyDescent="0.2">
      <c r="A91" s="5">
        <v>229</v>
      </c>
      <c r="B91" s="2" t="s">
        <v>325</v>
      </c>
      <c r="C91" s="2" t="s">
        <v>241</v>
      </c>
      <c r="D91" t="s">
        <v>640</v>
      </c>
      <c r="E91" s="4">
        <v>279000</v>
      </c>
    </row>
    <row r="92" spans="1:5" x14ac:dyDescent="0.2">
      <c r="A92" s="5">
        <v>23729876</v>
      </c>
      <c r="B92" s="2" t="s">
        <v>326</v>
      </c>
      <c r="C92" s="2" t="s">
        <v>251</v>
      </c>
      <c r="D92" t="s">
        <v>637</v>
      </c>
      <c r="E92" s="4">
        <v>-457000</v>
      </c>
    </row>
    <row r="93" spans="1:5" x14ac:dyDescent="0.2">
      <c r="A93" s="5">
        <v>4746939</v>
      </c>
      <c r="B93" s="2" t="s">
        <v>327</v>
      </c>
      <c r="C93" s="2" t="s">
        <v>235</v>
      </c>
      <c r="D93" t="s">
        <v>638</v>
      </c>
      <c r="E93" s="4">
        <v>-362000</v>
      </c>
    </row>
    <row r="94" spans="1:5" x14ac:dyDescent="0.2">
      <c r="A94" s="5">
        <v>19264</v>
      </c>
      <c r="B94" s="2" t="s">
        <v>328</v>
      </c>
      <c r="C94" s="2" t="s">
        <v>243</v>
      </c>
      <c r="D94" t="s">
        <v>642</v>
      </c>
      <c r="E94" s="4">
        <v>167000</v>
      </c>
    </row>
    <row r="95" spans="1:5" x14ac:dyDescent="0.2">
      <c r="A95" s="5">
        <v>5308</v>
      </c>
      <c r="B95" s="2" t="s">
        <v>329</v>
      </c>
      <c r="C95" s="2" t="s">
        <v>249</v>
      </c>
      <c r="D95" t="s">
        <v>637</v>
      </c>
      <c r="E95" s="4">
        <v>76000</v>
      </c>
    </row>
    <row r="96" spans="1:5" x14ac:dyDescent="0.2">
      <c r="A96" s="5">
        <v>920</v>
      </c>
      <c r="B96" s="2" t="s">
        <v>330</v>
      </c>
      <c r="C96" s="2" t="s">
        <v>241</v>
      </c>
      <c r="D96" t="s">
        <v>638</v>
      </c>
      <c r="E96" s="4">
        <v>-146000</v>
      </c>
    </row>
    <row r="97" spans="1:5" x14ac:dyDescent="0.2">
      <c r="A97" s="5">
        <v>78374480</v>
      </c>
      <c r="B97" s="2" t="s">
        <v>331</v>
      </c>
      <c r="C97" s="2" t="s">
        <v>235</v>
      </c>
      <c r="D97" t="s">
        <v>638</v>
      </c>
      <c r="E97" s="4">
        <v>493000</v>
      </c>
    </row>
    <row r="98" spans="1:5" x14ac:dyDescent="0.2">
      <c r="A98" s="5">
        <v>1662218</v>
      </c>
      <c r="B98" s="2" t="s">
        <v>332</v>
      </c>
      <c r="C98" s="2" t="s">
        <v>235</v>
      </c>
      <c r="D98" t="s">
        <v>638</v>
      </c>
      <c r="E98" s="4">
        <v>-15000</v>
      </c>
    </row>
    <row r="99" spans="1:5" x14ac:dyDescent="0.2">
      <c r="A99" s="5">
        <v>248</v>
      </c>
      <c r="B99" s="2" t="s">
        <v>333</v>
      </c>
      <c r="C99" s="2" t="s">
        <v>245</v>
      </c>
      <c r="D99" t="s">
        <v>640</v>
      </c>
      <c r="E99" s="4">
        <v>205000</v>
      </c>
    </row>
    <row r="100" spans="1:5" x14ac:dyDescent="0.2">
      <c r="A100" s="5">
        <v>53910</v>
      </c>
      <c r="B100" s="2" t="s">
        <v>334</v>
      </c>
      <c r="C100" s="2" t="s">
        <v>238</v>
      </c>
      <c r="D100" t="s">
        <v>635</v>
      </c>
      <c r="E100" s="4">
        <v>34000</v>
      </c>
    </row>
    <row r="101" spans="1:5" x14ac:dyDescent="0.2">
      <c r="A101" s="5">
        <v>53043</v>
      </c>
      <c r="B101" s="2" t="s">
        <v>335</v>
      </c>
      <c r="C101" s="2" t="s">
        <v>230</v>
      </c>
      <c r="D101" t="s">
        <v>643</v>
      </c>
      <c r="E101" s="4">
        <v>100000</v>
      </c>
    </row>
    <row r="102" spans="1:5" x14ac:dyDescent="0.2">
      <c r="A102" s="5">
        <v>90924</v>
      </c>
      <c r="B102" s="2" t="s">
        <v>336</v>
      </c>
      <c r="C102" s="2" t="s">
        <v>251</v>
      </c>
      <c r="D102" t="s">
        <v>638</v>
      </c>
      <c r="E102" s="4">
        <v>-124000</v>
      </c>
    </row>
    <row r="103" spans="1:5" x14ac:dyDescent="0.2">
      <c r="A103" s="5">
        <v>149</v>
      </c>
      <c r="B103" s="2" t="s">
        <v>337</v>
      </c>
      <c r="C103" s="2" t="s">
        <v>230</v>
      </c>
      <c r="D103" t="s">
        <v>640</v>
      </c>
      <c r="E103" s="4">
        <v>291000</v>
      </c>
    </row>
    <row r="104" spans="1:5" x14ac:dyDescent="0.2">
      <c r="A104" s="5">
        <v>9142</v>
      </c>
      <c r="B104" s="2" t="s">
        <v>338</v>
      </c>
      <c r="C104" s="2" t="s">
        <v>235</v>
      </c>
      <c r="D104" t="s">
        <v>638</v>
      </c>
      <c r="E104" s="4">
        <v>-423000</v>
      </c>
    </row>
    <row r="105" spans="1:5" x14ac:dyDescent="0.2">
      <c r="A105" s="5">
        <v>97700070</v>
      </c>
      <c r="B105" s="2" t="s">
        <v>338</v>
      </c>
      <c r="C105" s="2" t="s">
        <v>235</v>
      </c>
      <c r="D105" t="s">
        <v>638</v>
      </c>
      <c r="E105" s="4">
        <v>-48000</v>
      </c>
    </row>
    <row r="106" spans="1:5" x14ac:dyDescent="0.2">
      <c r="A106" s="5">
        <v>159</v>
      </c>
      <c r="B106" s="2" t="s">
        <v>339</v>
      </c>
      <c r="C106" s="2" t="s">
        <v>241</v>
      </c>
      <c r="D106" t="s">
        <v>643</v>
      </c>
      <c r="E106" s="4">
        <v>38000</v>
      </c>
    </row>
    <row r="107" spans="1:5" x14ac:dyDescent="0.2">
      <c r="A107" s="5">
        <v>87</v>
      </c>
      <c r="B107" s="2" t="s">
        <v>340</v>
      </c>
      <c r="C107" s="2" t="s">
        <v>243</v>
      </c>
      <c r="D107" t="s">
        <v>642</v>
      </c>
      <c r="E107" s="4">
        <v>328000</v>
      </c>
    </row>
    <row r="108" spans="1:5" x14ac:dyDescent="0.2">
      <c r="A108" s="5">
        <v>8585145</v>
      </c>
      <c r="B108" s="2" t="s">
        <v>341</v>
      </c>
      <c r="C108" s="2" t="s">
        <v>235</v>
      </c>
      <c r="D108" t="s">
        <v>638</v>
      </c>
      <c r="E108" s="4">
        <v>289000</v>
      </c>
    </row>
    <row r="109" spans="1:5" x14ac:dyDescent="0.2">
      <c r="A109" s="5">
        <v>7731613</v>
      </c>
      <c r="B109" s="2" t="s">
        <v>342</v>
      </c>
      <c r="C109" s="2" t="s">
        <v>235</v>
      </c>
      <c r="D109" t="s">
        <v>638</v>
      </c>
      <c r="E109" s="4">
        <v>-169000</v>
      </c>
    </row>
    <row r="110" spans="1:5" x14ac:dyDescent="0.2">
      <c r="A110" s="5">
        <v>23</v>
      </c>
      <c r="B110" s="2" t="s">
        <v>343</v>
      </c>
      <c r="C110" s="2" t="s">
        <v>249</v>
      </c>
      <c r="D110" t="s">
        <v>636</v>
      </c>
      <c r="E110" s="4">
        <v>-294000</v>
      </c>
    </row>
    <row r="111" spans="1:5" x14ac:dyDescent="0.2">
      <c r="A111" s="5">
        <v>39</v>
      </c>
      <c r="B111" s="2" t="s">
        <v>344</v>
      </c>
      <c r="C111" s="2" t="s">
        <v>238</v>
      </c>
      <c r="D111" t="s">
        <v>636</v>
      </c>
      <c r="E111" s="4">
        <v>-422000</v>
      </c>
    </row>
    <row r="112" spans="1:5" x14ac:dyDescent="0.2">
      <c r="A112" s="5">
        <v>910515</v>
      </c>
      <c r="B112" s="2" t="s">
        <v>345</v>
      </c>
      <c r="C112" s="2" t="s">
        <v>235</v>
      </c>
      <c r="D112" t="s">
        <v>643</v>
      </c>
      <c r="E112" s="4">
        <v>175000</v>
      </c>
    </row>
    <row r="113" spans="1:5" x14ac:dyDescent="0.2">
      <c r="A113" s="5">
        <v>580341</v>
      </c>
      <c r="B113" s="2" t="s">
        <v>346</v>
      </c>
      <c r="C113" s="2" t="s">
        <v>238</v>
      </c>
      <c r="D113" t="s">
        <v>643</v>
      </c>
      <c r="E113" s="4">
        <v>162000</v>
      </c>
    </row>
    <row r="114" spans="1:5" x14ac:dyDescent="0.2">
      <c r="A114" s="5">
        <v>323</v>
      </c>
      <c r="B114" s="2" t="s">
        <v>347</v>
      </c>
      <c r="C114" s="2" t="s">
        <v>235</v>
      </c>
      <c r="D114" t="s">
        <v>636</v>
      </c>
      <c r="E114" s="4">
        <v>184000</v>
      </c>
    </row>
    <row r="115" spans="1:5" x14ac:dyDescent="0.2">
      <c r="A115" s="5">
        <v>5787</v>
      </c>
      <c r="B115" s="2" t="s">
        <v>348</v>
      </c>
      <c r="C115" s="2" t="s">
        <v>235</v>
      </c>
      <c r="D115" t="s">
        <v>636</v>
      </c>
      <c r="E115" s="4">
        <v>231000</v>
      </c>
    </row>
    <row r="116" spans="1:5" x14ac:dyDescent="0.2">
      <c r="A116" s="5">
        <v>3242180</v>
      </c>
      <c r="B116" s="2" t="s">
        <v>349</v>
      </c>
      <c r="C116" s="2" t="s">
        <v>235</v>
      </c>
      <c r="D116" t="s">
        <v>640</v>
      </c>
      <c r="E116" s="4">
        <v>-393000</v>
      </c>
    </row>
    <row r="117" spans="1:5" x14ac:dyDescent="0.2">
      <c r="A117" s="5">
        <v>48434256</v>
      </c>
      <c r="B117" s="2" t="s">
        <v>350</v>
      </c>
      <c r="C117" s="2" t="s">
        <v>245</v>
      </c>
      <c r="D117" t="s">
        <v>642</v>
      </c>
      <c r="E117" s="4">
        <v>17000</v>
      </c>
    </row>
    <row r="118" spans="1:5" x14ac:dyDescent="0.2">
      <c r="A118" s="5">
        <v>198</v>
      </c>
      <c r="B118" s="2" t="s">
        <v>351</v>
      </c>
      <c r="C118" s="2" t="s">
        <v>235</v>
      </c>
      <c r="D118" t="s">
        <v>642</v>
      </c>
      <c r="E118" s="4">
        <v>446000</v>
      </c>
    </row>
    <row r="119" spans="1:5" x14ac:dyDescent="0.2">
      <c r="A119" s="5">
        <v>750049</v>
      </c>
      <c r="B119" s="2" t="s">
        <v>352</v>
      </c>
      <c r="C119" s="2" t="s">
        <v>235</v>
      </c>
      <c r="D119" t="s">
        <v>637</v>
      </c>
      <c r="E119" s="4">
        <v>-358000</v>
      </c>
    </row>
    <row r="120" spans="1:5" x14ac:dyDescent="0.2">
      <c r="A120" s="5">
        <v>1308</v>
      </c>
      <c r="B120" s="2" t="s">
        <v>353</v>
      </c>
      <c r="C120" s="2" t="s">
        <v>235</v>
      </c>
      <c r="D120" t="s">
        <v>636</v>
      </c>
      <c r="E120" s="4">
        <v>-215000</v>
      </c>
    </row>
    <row r="121" spans="1:5" x14ac:dyDescent="0.2">
      <c r="A121" s="5">
        <v>18057537</v>
      </c>
      <c r="B121" s="2" t="s">
        <v>354</v>
      </c>
      <c r="C121" s="2" t="s">
        <v>241</v>
      </c>
      <c r="D121" t="s">
        <v>643</v>
      </c>
      <c r="E121" s="4">
        <v>490000</v>
      </c>
    </row>
    <row r="122" spans="1:5" x14ac:dyDescent="0.2">
      <c r="A122" s="5">
        <v>69528</v>
      </c>
      <c r="B122" s="2" t="s">
        <v>355</v>
      </c>
      <c r="C122" s="2" t="s">
        <v>245</v>
      </c>
      <c r="D122" t="s">
        <v>637</v>
      </c>
      <c r="E122" s="4">
        <v>63000</v>
      </c>
    </row>
    <row r="123" spans="1:5" x14ac:dyDescent="0.2">
      <c r="A123" s="5">
        <v>75273</v>
      </c>
      <c r="B123" s="2" t="s">
        <v>356</v>
      </c>
      <c r="C123" s="2" t="s">
        <v>235</v>
      </c>
      <c r="D123" t="s">
        <v>638</v>
      </c>
      <c r="E123" s="4">
        <v>-345000</v>
      </c>
    </row>
    <row r="124" spans="1:5" x14ac:dyDescent="0.2">
      <c r="A124" s="5">
        <v>42535077</v>
      </c>
      <c r="B124" s="2" t="s">
        <v>357</v>
      </c>
      <c r="C124" s="2" t="s">
        <v>238</v>
      </c>
      <c r="D124" t="s">
        <v>637</v>
      </c>
      <c r="E124" s="4">
        <v>-122000</v>
      </c>
    </row>
    <row r="125" spans="1:5" x14ac:dyDescent="0.2">
      <c r="A125" s="5">
        <v>820945</v>
      </c>
      <c r="B125" s="2" t="s">
        <v>358</v>
      </c>
      <c r="C125" s="2" t="s">
        <v>235</v>
      </c>
      <c r="D125" t="s">
        <v>636</v>
      </c>
      <c r="E125" s="4">
        <v>403000</v>
      </c>
    </row>
    <row r="126" spans="1:5" x14ac:dyDescent="0.2">
      <c r="A126" s="5">
        <v>95804106</v>
      </c>
      <c r="B126" s="2" t="s">
        <v>359</v>
      </c>
      <c r="C126" s="2" t="s">
        <v>245</v>
      </c>
      <c r="D126" t="s">
        <v>636</v>
      </c>
      <c r="E126" s="4">
        <v>-243000</v>
      </c>
    </row>
    <row r="127" spans="1:5" x14ac:dyDescent="0.2">
      <c r="A127" s="5">
        <v>98597711</v>
      </c>
      <c r="B127" s="2" t="s">
        <v>360</v>
      </c>
      <c r="C127" s="2" t="s">
        <v>235</v>
      </c>
      <c r="D127" t="s">
        <v>636</v>
      </c>
      <c r="E127" s="4">
        <v>-1000</v>
      </c>
    </row>
    <row r="128" spans="1:5" x14ac:dyDescent="0.2">
      <c r="A128" s="5">
        <v>1762696</v>
      </c>
      <c r="B128" s="2" t="s">
        <v>361</v>
      </c>
      <c r="C128" s="2" t="s">
        <v>235</v>
      </c>
      <c r="D128" t="s">
        <v>640</v>
      </c>
      <c r="E128" s="4">
        <v>-425000</v>
      </c>
    </row>
    <row r="129" spans="1:5" x14ac:dyDescent="0.2">
      <c r="A129" s="5">
        <v>3325623</v>
      </c>
      <c r="B129" s="2" t="s">
        <v>362</v>
      </c>
      <c r="C129" s="2" t="s">
        <v>235</v>
      </c>
      <c r="D129" t="s">
        <v>638</v>
      </c>
      <c r="E129" s="4">
        <v>-9000</v>
      </c>
    </row>
    <row r="130" spans="1:5" x14ac:dyDescent="0.2">
      <c r="A130" s="5">
        <v>13605</v>
      </c>
      <c r="B130" s="2" t="s">
        <v>363</v>
      </c>
      <c r="C130" s="2" t="s">
        <v>245</v>
      </c>
      <c r="D130" t="s">
        <v>638</v>
      </c>
      <c r="E130" s="4">
        <v>161000</v>
      </c>
    </row>
    <row r="131" spans="1:5" x14ac:dyDescent="0.2">
      <c r="A131" s="5">
        <v>895084</v>
      </c>
      <c r="B131" s="2" t="s">
        <v>364</v>
      </c>
      <c r="C131" s="2" t="s">
        <v>235</v>
      </c>
      <c r="D131" t="s">
        <v>643</v>
      </c>
      <c r="E131" s="4">
        <v>77000</v>
      </c>
    </row>
    <row r="132" spans="1:5" x14ac:dyDescent="0.2">
      <c r="A132" s="5">
        <v>4087190</v>
      </c>
      <c r="B132" s="2" t="s">
        <v>365</v>
      </c>
      <c r="C132" s="2" t="s">
        <v>235</v>
      </c>
      <c r="D132" t="s">
        <v>637</v>
      </c>
      <c r="E132" s="4">
        <v>295000</v>
      </c>
    </row>
    <row r="133" spans="1:5" x14ac:dyDescent="0.2">
      <c r="A133" s="5">
        <v>4515</v>
      </c>
      <c r="B133" s="2" t="s">
        <v>366</v>
      </c>
      <c r="C133" s="2" t="s">
        <v>235</v>
      </c>
      <c r="D133" t="s">
        <v>643</v>
      </c>
      <c r="E133" s="4">
        <v>152000</v>
      </c>
    </row>
    <row r="134" spans="1:5" x14ac:dyDescent="0.2">
      <c r="A134" s="5">
        <v>56383353</v>
      </c>
      <c r="B134" s="2" t="s">
        <v>367</v>
      </c>
      <c r="C134" s="2" t="s">
        <v>235</v>
      </c>
      <c r="D134" t="s">
        <v>642</v>
      </c>
      <c r="E134" s="4">
        <v>-234000</v>
      </c>
    </row>
    <row r="135" spans="1:5" x14ac:dyDescent="0.2">
      <c r="A135" s="5">
        <v>92019613</v>
      </c>
      <c r="B135" s="2" t="s">
        <v>368</v>
      </c>
      <c r="C135" s="2" t="s">
        <v>235</v>
      </c>
      <c r="D135" t="s">
        <v>636</v>
      </c>
      <c r="E135" s="4">
        <v>-286000</v>
      </c>
    </row>
    <row r="136" spans="1:5" x14ac:dyDescent="0.2">
      <c r="A136" s="5">
        <v>655</v>
      </c>
      <c r="B136" s="2" t="s">
        <v>369</v>
      </c>
      <c r="C136" s="2" t="s">
        <v>235</v>
      </c>
      <c r="D136" t="s">
        <v>638</v>
      </c>
      <c r="E136" s="4">
        <v>289000</v>
      </c>
    </row>
    <row r="137" spans="1:5" x14ac:dyDescent="0.2">
      <c r="A137" s="5">
        <v>57493</v>
      </c>
      <c r="B137" s="2" t="s">
        <v>370</v>
      </c>
      <c r="C137" s="2" t="s">
        <v>235</v>
      </c>
      <c r="D137" t="s">
        <v>636</v>
      </c>
      <c r="E137" s="4">
        <v>-90000</v>
      </c>
    </row>
    <row r="138" spans="1:5" x14ac:dyDescent="0.2">
      <c r="A138" s="5">
        <v>44</v>
      </c>
      <c r="B138" s="2" t="s">
        <v>371</v>
      </c>
      <c r="C138" s="2" t="s">
        <v>249</v>
      </c>
      <c r="D138" t="s">
        <v>636</v>
      </c>
      <c r="E138" s="4">
        <v>-288000</v>
      </c>
    </row>
    <row r="139" spans="1:5" x14ac:dyDescent="0.2">
      <c r="A139" s="5">
        <v>1028</v>
      </c>
      <c r="B139" s="2" t="s">
        <v>372</v>
      </c>
      <c r="C139" s="2" t="s">
        <v>251</v>
      </c>
      <c r="D139" t="s">
        <v>636</v>
      </c>
      <c r="E139" s="4">
        <v>-49000</v>
      </c>
    </row>
    <row r="140" spans="1:5" x14ac:dyDescent="0.2">
      <c r="A140" s="5">
        <v>4382272</v>
      </c>
      <c r="B140" s="2" t="s">
        <v>373</v>
      </c>
      <c r="C140" s="2" t="s">
        <v>235</v>
      </c>
      <c r="D140" t="s">
        <v>637</v>
      </c>
      <c r="E140" s="4">
        <v>30000</v>
      </c>
    </row>
    <row r="141" spans="1:5" x14ac:dyDescent="0.2">
      <c r="A141" s="5">
        <v>409</v>
      </c>
      <c r="B141" s="2" t="s">
        <v>374</v>
      </c>
      <c r="C141" s="2" t="s">
        <v>235</v>
      </c>
      <c r="D141" t="s">
        <v>635</v>
      </c>
      <c r="E141" s="4">
        <v>213000</v>
      </c>
    </row>
    <row r="142" spans="1:5" x14ac:dyDescent="0.2">
      <c r="A142" s="5">
        <v>212</v>
      </c>
      <c r="B142" s="2" t="s">
        <v>375</v>
      </c>
      <c r="C142" s="2" t="s">
        <v>235</v>
      </c>
      <c r="D142" t="s">
        <v>637</v>
      </c>
      <c r="E142" s="4">
        <v>264000</v>
      </c>
    </row>
    <row r="143" spans="1:5" x14ac:dyDescent="0.2">
      <c r="A143" s="5">
        <v>78565</v>
      </c>
      <c r="B143" s="2" t="s">
        <v>376</v>
      </c>
      <c r="C143" s="2" t="s">
        <v>235</v>
      </c>
      <c r="D143" t="s">
        <v>640</v>
      </c>
      <c r="E143" s="4">
        <v>95000</v>
      </c>
    </row>
    <row r="144" spans="1:5" x14ac:dyDescent="0.2">
      <c r="A144" s="5">
        <v>999</v>
      </c>
      <c r="B144" s="2" t="s">
        <v>377</v>
      </c>
      <c r="C144" s="2" t="s">
        <v>245</v>
      </c>
      <c r="D144" t="s">
        <v>638</v>
      </c>
      <c r="E144" s="4">
        <v>-423000</v>
      </c>
    </row>
    <row r="145" spans="1:5" x14ac:dyDescent="0.2">
      <c r="A145" s="5">
        <v>3840</v>
      </c>
      <c r="B145" s="2" t="s">
        <v>378</v>
      </c>
      <c r="C145" s="2" t="s">
        <v>235</v>
      </c>
      <c r="D145" t="s">
        <v>643</v>
      </c>
      <c r="E145" s="4">
        <v>443000</v>
      </c>
    </row>
    <row r="146" spans="1:5" x14ac:dyDescent="0.2">
      <c r="A146" s="5">
        <v>41</v>
      </c>
      <c r="B146" s="2" t="s">
        <v>379</v>
      </c>
      <c r="C146" s="2" t="s">
        <v>235</v>
      </c>
      <c r="D146" t="s">
        <v>636</v>
      </c>
      <c r="E146" s="4">
        <v>126000</v>
      </c>
    </row>
    <row r="147" spans="1:5" x14ac:dyDescent="0.2">
      <c r="A147" s="5">
        <v>2413</v>
      </c>
      <c r="B147" s="2" t="s">
        <v>380</v>
      </c>
      <c r="C147" s="2" t="s">
        <v>249</v>
      </c>
      <c r="D147" t="s">
        <v>643</v>
      </c>
      <c r="E147" s="4">
        <v>242000</v>
      </c>
    </row>
    <row r="148" spans="1:5" x14ac:dyDescent="0.2">
      <c r="A148" s="5">
        <v>9255851</v>
      </c>
      <c r="B148" s="2" t="s">
        <v>381</v>
      </c>
      <c r="C148" s="2" t="s">
        <v>235</v>
      </c>
      <c r="D148" t="s">
        <v>642</v>
      </c>
      <c r="E148" s="4">
        <v>405000</v>
      </c>
    </row>
    <row r="149" spans="1:5" x14ac:dyDescent="0.2">
      <c r="A149" s="5">
        <v>63528015</v>
      </c>
      <c r="B149" s="2" t="s">
        <v>382</v>
      </c>
      <c r="C149" s="2" t="s">
        <v>230</v>
      </c>
      <c r="D149" t="s">
        <v>643</v>
      </c>
      <c r="E149" s="4">
        <v>-255000</v>
      </c>
    </row>
    <row r="150" spans="1:5" x14ac:dyDescent="0.2">
      <c r="A150" s="5">
        <v>746941</v>
      </c>
      <c r="B150" s="2" t="s">
        <v>383</v>
      </c>
      <c r="C150" s="2" t="s">
        <v>235</v>
      </c>
      <c r="D150" t="s">
        <v>643</v>
      </c>
      <c r="E150" s="4">
        <v>220000</v>
      </c>
    </row>
    <row r="151" spans="1:5" x14ac:dyDescent="0.2">
      <c r="A151" s="5">
        <v>360588</v>
      </c>
      <c r="B151" s="2" t="s">
        <v>384</v>
      </c>
      <c r="C151" s="2" t="s">
        <v>235</v>
      </c>
      <c r="D151" t="s">
        <v>636</v>
      </c>
      <c r="E151" s="4">
        <v>372000</v>
      </c>
    </row>
    <row r="152" spans="1:5" x14ac:dyDescent="0.2">
      <c r="A152" s="5">
        <v>868</v>
      </c>
      <c r="B152" s="2" t="s">
        <v>385</v>
      </c>
      <c r="C152" s="2" t="s">
        <v>235</v>
      </c>
      <c r="D152" t="s">
        <v>639</v>
      </c>
      <c r="E152" s="4">
        <v>454000</v>
      </c>
    </row>
    <row r="153" spans="1:5" x14ac:dyDescent="0.2">
      <c r="A153" s="5">
        <v>95651</v>
      </c>
      <c r="B153" s="2" t="s">
        <v>386</v>
      </c>
      <c r="C153" s="2" t="s">
        <v>235</v>
      </c>
      <c r="D153" t="s">
        <v>643</v>
      </c>
      <c r="E153" s="4">
        <v>-312000</v>
      </c>
    </row>
    <row r="154" spans="1:5" x14ac:dyDescent="0.2">
      <c r="A154" s="5">
        <v>1634</v>
      </c>
      <c r="B154" s="2" t="s">
        <v>387</v>
      </c>
      <c r="C154" s="2" t="s">
        <v>235</v>
      </c>
      <c r="D154" t="s">
        <v>637</v>
      </c>
      <c r="E154" s="4">
        <v>-293000</v>
      </c>
    </row>
    <row r="155" spans="1:5" x14ac:dyDescent="0.2">
      <c r="A155" s="5">
        <v>708</v>
      </c>
      <c r="B155" s="2" t="s">
        <v>388</v>
      </c>
      <c r="C155" s="2" t="s">
        <v>235</v>
      </c>
      <c r="D155" t="s">
        <v>638</v>
      </c>
      <c r="E155" s="4">
        <v>443000</v>
      </c>
    </row>
    <row r="156" spans="1:5" x14ac:dyDescent="0.2">
      <c r="A156" s="5">
        <v>69</v>
      </c>
      <c r="B156" s="2" t="s">
        <v>389</v>
      </c>
      <c r="C156" s="2" t="s">
        <v>238</v>
      </c>
      <c r="D156" t="s">
        <v>640</v>
      </c>
      <c r="E156" s="4">
        <v>346000</v>
      </c>
    </row>
    <row r="157" spans="1:5" x14ac:dyDescent="0.2">
      <c r="A157" s="5">
        <v>9977853</v>
      </c>
      <c r="B157" s="2" t="s">
        <v>390</v>
      </c>
      <c r="C157" s="2" t="s">
        <v>235</v>
      </c>
      <c r="D157" t="s">
        <v>643</v>
      </c>
      <c r="E157" s="4">
        <v>83000</v>
      </c>
    </row>
    <row r="158" spans="1:5" x14ac:dyDescent="0.2">
      <c r="A158" s="5">
        <v>86480935</v>
      </c>
      <c r="B158" s="2" t="s">
        <v>391</v>
      </c>
      <c r="C158" s="2" t="s">
        <v>241</v>
      </c>
      <c r="D158" t="s">
        <v>643</v>
      </c>
      <c r="E158" s="4">
        <v>69000</v>
      </c>
    </row>
    <row r="159" spans="1:5" x14ac:dyDescent="0.2">
      <c r="A159" s="5">
        <v>1339249</v>
      </c>
      <c r="B159" s="2" t="s">
        <v>392</v>
      </c>
      <c r="C159" s="2" t="s">
        <v>228</v>
      </c>
      <c r="D159" t="s">
        <v>639</v>
      </c>
      <c r="E159" s="4">
        <v>-294000</v>
      </c>
    </row>
    <row r="160" spans="1:5" x14ac:dyDescent="0.2">
      <c r="A160" s="5">
        <v>1125568</v>
      </c>
      <c r="B160" s="2" t="s">
        <v>393</v>
      </c>
      <c r="C160" s="2" t="s">
        <v>235</v>
      </c>
      <c r="D160" t="s">
        <v>643</v>
      </c>
      <c r="E160" s="4">
        <v>-331000</v>
      </c>
    </row>
    <row r="161" spans="1:5" x14ac:dyDescent="0.2">
      <c r="A161" s="5">
        <v>730</v>
      </c>
      <c r="B161" s="2" t="s">
        <v>394</v>
      </c>
      <c r="C161" s="2" t="s">
        <v>235</v>
      </c>
      <c r="D161" t="s">
        <v>638</v>
      </c>
      <c r="E161" s="4">
        <v>345000</v>
      </c>
    </row>
    <row r="162" spans="1:5" x14ac:dyDescent="0.2">
      <c r="A162" s="5">
        <v>1359</v>
      </c>
      <c r="B162" s="2" t="s">
        <v>395</v>
      </c>
      <c r="C162" s="2" t="s">
        <v>235</v>
      </c>
      <c r="D162" t="s">
        <v>643</v>
      </c>
      <c r="E162" s="4">
        <v>443000</v>
      </c>
    </row>
    <row r="163" spans="1:5" x14ac:dyDescent="0.2">
      <c r="A163" s="5">
        <v>47564315</v>
      </c>
      <c r="B163" s="2" t="s">
        <v>396</v>
      </c>
      <c r="C163" s="2" t="s">
        <v>235</v>
      </c>
      <c r="D163" t="s">
        <v>636</v>
      </c>
      <c r="E163" s="4">
        <v>152000</v>
      </c>
    </row>
    <row r="164" spans="1:5" x14ac:dyDescent="0.2">
      <c r="A164" s="5">
        <v>3828</v>
      </c>
      <c r="B164" s="2" t="s">
        <v>397</v>
      </c>
      <c r="C164" s="2" t="s">
        <v>243</v>
      </c>
      <c r="D164" t="s">
        <v>637</v>
      </c>
      <c r="E164" s="4">
        <v>173000</v>
      </c>
    </row>
    <row r="165" spans="1:5" x14ac:dyDescent="0.2">
      <c r="A165" s="5">
        <v>988840</v>
      </c>
      <c r="B165" s="2" t="s">
        <v>398</v>
      </c>
      <c r="C165" s="2" t="s">
        <v>251</v>
      </c>
      <c r="D165" t="s">
        <v>637</v>
      </c>
      <c r="E165" s="4">
        <v>385000</v>
      </c>
    </row>
    <row r="166" spans="1:5" x14ac:dyDescent="0.2">
      <c r="A166" s="5">
        <v>22816</v>
      </c>
      <c r="B166" s="2" t="s">
        <v>399</v>
      </c>
      <c r="C166" s="2" t="s">
        <v>235</v>
      </c>
      <c r="D166" t="s">
        <v>638</v>
      </c>
      <c r="E166" s="4">
        <v>-470000</v>
      </c>
    </row>
    <row r="167" spans="1:5" x14ac:dyDescent="0.2">
      <c r="A167" s="5">
        <v>486</v>
      </c>
      <c r="B167" s="2" t="s">
        <v>400</v>
      </c>
      <c r="C167" s="2" t="s">
        <v>235</v>
      </c>
      <c r="D167" t="s">
        <v>637</v>
      </c>
      <c r="E167" s="4">
        <v>312000</v>
      </c>
    </row>
    <row r="168" spans="1:5" x14ac:dyDescent="0.2">
      <c r="A168" s="5">
        <v>2</v>
      </c>
      <c r="B168" s="2" t="s">
        <v>401</v>
      </c>
      <c r="C168" s="2" t="s">
        <v>230</v>
      </c>
      <c r="D168" t="s">
        <v>643</v>
      </c>
      <c r="E168" s="4">
        <v>136000</v>
      </c>
    </row>
    <row r="169" spans="1:5" x14ac:dyDescent="0.2">
      <c r="A169" s="5">
        <v>35370</v>
      </c>
      <c r="B169" s="2" t="s">
        <v>402</v>
      </c>
      <c r="C169" s="2" t="s">
        <v>245</v>
      </c>
      <c r="D169" t="s">
        <v>638</v>
      </c>
      <c r="E169" s="4">
        <v>323000</v>
      </c>
    </row>
    <row r="170" spans="1:5" x14ac:dyDescent="0.2">
      <c r="A170" s="5">
        <v>3344</v>
      </c>
      <c r="B170" s="2" t="s">
        <v>403</v>
      </c>
      <c r="C170" s="2" t="s">
        <v>249</v>
      </c>
      <c r="D170" t="s">
        <v>642</v>
      </c>
      <c r="E170" s="4">
        <v>211000</v>
      </c>
    </row>
    <row r="171" spans="1:5" x14ac:dyDescent="0.2">
      <c r="A171" s="5">
        <v>43324700</v>
      </c>
      <c r="B171" s="2" t="s">
        <v>404</v>
      </c>
      <c r="C171" s="2" t="s">
        <v>230</v>
      </c>
      <c r="D171" t="s">
        <v>643</v>
      </c>
      <c r="E171" s="4">
        <v>-277000</v>
      </c>
    </row>
    <row r="172" spans="1:5" x14ac:dyDescent="0.2">
      <c r="A172" s="5">
        <v>625</v>
      </c>
      <c r="B172" s="2" t="s">
        <v>405</v>
      </c>
      <c r="C172" s="2" t="s">
        <v>230</v>
      </c>
      <c r="D172" t="s">
        <v>638</v>
      </c>
      <c r="E172" s="4">
        <v>-196000</v>
      </c>
    </row>
    <row r="173" spans="1:5" x14ac:dyDescent="0.2">
      <c r="A173" s="5">
        <v>353</v>
      </c>
      <c r="B173" s="2" t="s">
        <v>406</v>
      </c>
      <c r="C173" s="2" t="s">
        <v>235</v>
      </c>
      <c r="D173" t="s">
        <v>638</v>
      </c>
      <c r="E173" s="4">
        <v>10000</v>
      </c>
    </row>
    <row r="174" spans="1:5" x14ac:dyDescent="0.2">
      <c r="A174" s="5">
        <v>4978</v>
      </c>
      <c r="B174" s="2" t="s">
        <v>407</v>
      </c>
      <c r="C174" s="2" t="s">
        <v>245</v>
      </c>
      <c r="D174" t="s">
        <v>638</v>
      </c>
      <c r="E174" s="4">
        <v>157000</v>
      </c>
    </row>
    <row r="175" spans="1:5" x14ac:dyDescent="0.2">
      <c r="A175" s="5">
        <v>19061278</v>
      </c>
      <c r="B175" s="2" t="s">
        <v>408</v>
      </c>
      <c r="C175" s="2" t="s">
        <v>241</v>
      </c>
      <c r="D175" t="s">
        <v>640</v>
      </c>
      <c r="E175" s="4">
        <v>-462000</v>
      </c>
    </row>
    <row r="176" spans="1:5" x14ac:dyDescent="0.2">
      <c r="A176" s="5">
        <v>1</v>
      </c>
      <c r="B176" s="2" t="s">
        <v>409</v>
      </c>
      <c r="C176" s="2" t="s">
        <v>235</v>
      </c>
      <c r="D176" t="s">
        <v>636</v>
      </c>
      <c r="E176" s="4">
        <v>-79000</v>
      </c>
    </row>
    <row r="177" spans="1:5" x14ac:dyDescent="0.2">
      <c r="A177" s="5">
        <v>380</v>
      </c>
      <c r="B177" s="2" t="s">
        <v>410</v>
      </c>
      <c r="C177" s="2" t="s">
        <v>241</v>
      </c>
      <c r="D177" t="s">
        <v>643</v>
      </c>
      <c r="E177" s="4">
        <v>337000</v>
      </c>
    </row>
    <row r="178" spans="1:5" x14ac:dyDescent="0.2">
      <c r="A178" s="5">
        <v>70391</v>
      </c>
      <c r="B178" s="2" t="s">
        <v>411</v>
      </c>
      <c r="C178" s="2" t="s">
        <v>238</v>
      </c>
      <c r="D178" t="s">
        <v>637</v>
      </c>
      <c r="E178" s="4">
        <v>280000</v>
      </c>
    </row>
    <row r="179" spans="1:5" x14ac:dyDescent="0.2">
      <c r="A179" s="5">
        <v>8009</v>
      </c>
      <c r="B179" s="2" t="s">
        <v>412</v>
      </c>
      <c r="C179" s="2" t="s">
        <v>235</v>
      </c>
      <c r="D179" t="s">
        <v>637</v>
      </c>
      <c r="E179" s="4">
        <v>322000</v>
      </c>
    </row>
    <row r="180" spans="1:5" x14ac:dyDescent="0.2">
      <c r="A180" s="5">
        <v>85984</v>
      </c>
      <c r="B180" s="2" t="s">
        <v>413</v>
      </c>
      <c r="C180" s="2" t="s">
        <v>243</v>
      </c>
      <c r="D180" t="s">
        <v>643</v>
      </c>
      <c r="E180" s="4">
        <v>104000</v>
      </c>
    </row>
    <row r="181" spans="1:5" x14ac:dyDescent="0.2">
      <c r="A181" s="5">
        <v>720972</v>
      </c>
      <c r="B181" s="2" t="s">
        <v>414</v>
      </c>
      <c r="C181" s="2" t="s">
        <v>230</v>
      </c>
      <c r="D181" t="s">
        <v>643</v>
      </c>
      <c r="E181" s="4">
        <v>-476000</v>
      </c>
    </row>
    <row r="182" spans="1:5" x14ac:dyDescent="0.2">
      <c r="A182" s="5">
        <v>864150</v>
      </c>
      <c r="B182" s="2" t="s">
        <v>415</v>
      </c>
      <c r="C182" s="2" t="s">
        <v>228</v>
      </c>
      <c r="D182" t="s">
        <v>636</v>
      </c>
      <c r="E182" s="4">
        <v>-338000</v>
      </c>
    </row>
    <row r="183" spans="1:5" x14ac:dyDescent="0.2">
      <c r="A183" s="5">
        <v>118609</v>
      </c>
      <c r="B183" s="2" t="s">
        <v>416</v>
      </c>
      <c r="C183" s="2" t="s">
        <v>235</v>
      </c>
      <c r="D183" t="s">
        <v>643</v>
      </c>
      <c r="E183" s="4">
        <v>397000</v>
      </c>
    </row>
    <row r="184" spans="1:5" x14ac:dyDescent="0.2">
      <c r="A184" s="5">
        <v>82503</v>
      </c>
      <c r="B184" s="2" t="s">
        <v>417</v>
      </c>
      <c r="C184" s="2" t="s">
        <v>235</v>
      </c>
      <c r="D184" t="s">
        <v>643</v>
      </c>
      <c r="E184" s="4">
        <v>10000</v>
      </c>
    </row>
    <row r="185" spans="1:5" x14ac:dyDescent="0.2">
      <c r="A185" s="5">
        <v>28660</v>
      </c>
      <c r="B185" s="2" t="s">
        <v>418</v>
      </c>
      <c r="C185" s="2" t="s">
        <v>241</v>
      </c>
      <c r="D185" t="s">
        <v>642</v>
      </c>
      <c r="E185" s="4">
        <v>256000</v>
      </c>
    </row>
    <row r="186" spans="1:5" x14ac:dyDescent="0.2">
      <c r="A186" s="5">
        <v>781</v>
      </c>
      <c r="B186" s="2" t="s">
        <v>419</v>
      </c>
      <c r="C186" s="2" t="s">
        <v>251</v>
      </c>
      <c r="D186" t="s">
        <v>637</v>
      </c>
      <c r="E186" s="4">
        <v>445000</v>
      </c>
    </row>
    <row r="187" spans="1:5" x14ac:dyDescent="0.2">
      <c r="A187" s="5">
        <v>67114</v>
      </c>
      <c r="B187" s="2" t="s">
        <v>420</v>
      </c>
      <c r="C187" s="2" t="s">
        <v>230</v>
      </c>
      <c r="D187" t="s">
        <v>638</v>
      </c>
      <c r="E187" s="4">
        <v>151000</v>
      </c>
    </row>
    <row r="188" spans="1:5" x14ac:dyDescent="0.2">
      <c r="A188" s="5">
        <v>664</v>
      </c>
      <c r="B188" s="2" t="s">
        <v>421</v>
      </c>
      <c r="C188" s="2" t="s">
        <v>238</v>
      </c>
      <c r="D188" t="s">
        <v>642</v>
      </c>
      <c r="E188" s="4">
        <v>351000</v>
      </c>
    </row>
    <row r="189" spans="1:5" x14ac:dyDescent="0.2">
      <c r="A189" s="5">
        <v>9839248</v>
      </c>
      <c r="B189" s="2" t="s">
        <v>422</v>
      </c>
      <c r="C189" s="2" t="s">
        <v>238</v>
      </c>
      <c r="D189" t="s">
        <v>637</v>
      </c>
      <c r="E189" s="4">
        <v>-342000</v>
      </c>
    </row>
    <row r="190" spans="1:5" x14ac:dyDescent="0.2">
      <c r="A190" s="5">
        <v>312251</v>
      </c>
      <c r="B190" s="2" t="s">
        <v>423</v>
      </c>
      <c r="C190" s="2" t="s">
        <v>238</v>
      </c>
      <c r="D190" t="s">
        <v>637</v>
      </c>
      <c r="E190" s="4">
        <v>240000</v>
      </c>
    </row>
    <row r="191" spans="1:5" x14ac:dyDescent="0.2">
      <c r="A191" s="5">
        <v>35504210</v>
      </c>
      <c r="B191" s="2" t="s">
        <v>424</v>
      </c>
      <c r="C191" s="2" t="s">
        <v>243</v>
      </c>
      <c r="D191" t="s">
        <v>637</v>
      </c>
      <c r="E191" s="4">
        <v>135000</v>
      </c>
    </row>
    <row r="192" spans="1:5" x14ac:dyDescent="0.2">
      <c r="A192" s="5">
        <v>20986178</v>
      </c>
      <c r="B192" s="2" t="s">
        <v>425</v>
      </c>
      <c r="C192" s="2" t="s">
        <v>230</v>
      </c>
      <c r="D192" t="s">
        <v>636</v>
      </c>
      <c r="E192" s="4">
        <v>17000</v>
      </c>
    </row>
    <row r="193" spans="1:5" x14ac:dyDescent="0.2">
      <c r="A193" s="5">
        <v>824</v>
      </c>
      <c r="B193" s="2" t="s">
        <v>426</v>
      </c>
      <c r="C193" s="2" t="s">
        <v>235</v>
      </c>
      <c r="D193" t="s">
        <v>643</v>
      </c>
      <c r="E193" s="4">
        <v>-341000</v>
      </c>
    </row>
    <row r="194" spans="1:5" x14ac:dyDescent="0.2">
      <c r="A194" s="5">
        <v>55</v>
      </c>
      <c r="B194" s="2" t="s">
        <v>427</v>
      </c>
      <c r="C194" s="2" t="s">
        <v>235</v>
      </c>
      <c r="D194" t="s">
        <v>638</v>
      </c>
      <c r="E194" s="4">
        <v>83000</v>
      </c>
    </row>
    <row r="195" spans="1:5" x14ac:dyDescent="0.2">
      <c r="A195" s="5">
        <v>633454</v>
      </c>
      <c r="B195" s="2" t="s">
        <v>428</v>
      </c>
      <c r="C195" s="2" t="s">
        <v>251</v>
      </c>
      <c r="D195" t="s">
        <v>636</v>
      </c>
      <c r="E195" s="4">
        <v>-329000</v>
      </c>
    </row>
    <row r="196" spans="1:5" x14ac:dyDescent="0.2">
      <c r="A196" s="5">
        <v>472</v>
      </c>
      <c r="B196" s="2" t="s">
        <v>429</v>
      </c>
      <c r="C196" s="2" t="s">
        <v>235</v>
      </c>
      <c r="D196" t="s">
        <v>638</v>
      </c>
      <c r="E196" s="4">
        <v>-19000</v>
      </c>
    </row>
    <row r="197" spans="1:5" x14ac:dyDescent="0.2">
      <c r="A197" s="5">
        <v>8779</v>
      </c>
      <c r="B197" s="2" t="s">
        <v>430</v>
      </c>
      <c r="C197" s="2" t="s">
        <v>235</v>
      </c>
      <c r="D197" t="s">
        <v>642</v>
      </c>
      <c r="E197" s="4">
        <v>379000</v>
      </c>
    </row>
    <row r="198" spans="1:5" x14ac:dyDescent="0.2">
      <c r="A198" s="5">
        <v>813</v>
      </c>
      <c r="B198" s="2" t="s">
        <v>431</v>
      </c>
      <c r="C198" s="2" t="s">
        <v>235</v>
      </c>
      <c r="D198" t="s">
        <v>635</v>
      </c>
      <c r="E198" s="4">
        <v>-398000</v>
      </c>
    </row>
    <row r="199" spans="1:5" x14ac:dyDescent="0.2">
      <c r="A199" s="5">
        <v>2789903</v>
      </c>
      <c r="B199" s="2" t="s">
        <v>432</v>
      </c>
      <c r="C199" s="2" t="s">
        <v>235</v>
      </c>
      <c r="D199" t="s">
        <v>636</v>
      </c>
      <c r="E199" s="4">
        <v>317000</v>
      </c>
    </row>
    <row r="200" spans="1:5" x14ac:dyDescent="0.2">
      <c r="A200" s="5">
        <v>55611854</v>
      </c>
      <c r="B200" s="2" t="s">
        <v>433</v>
      </c>
      <c r="C200" s="2" t="s">
        <v>243</v>
      </c>
      <c r="D200" t="s">
        <v>636</v>
      </c>
      <c r="E200" s="4">
        <v>303000</v>
      </c>
    </row>
    <row r="201" spans="1:5" x14ac:dyDescent="0.2">
      <c r="A201" s="5">
        <v>43651</v>
      </c>
      <c r="B201" s="2" t="s">
        <v>434</v>
      </c>
      <c r="C201" s="2" t="s">
        <v>235</v>
      </c>
      <c r="D201" t="s">
        <v>636</v>
      </c>
      <c r="E201" s="4">
        <v>-355000</v>
      </c>
    </row>
    <row r="202" spans="1:5" x14ac:dyDescent="0.2">
      <c r="A202" s="5">
        <v>249872</v>
      </c>
      <c r="B202" s="2" t="s">
        <v>435</v>
      </c>
      <c r="C202" s="2" t="s">
        <v>235</v>
      </c>
      <c r="D202" t="s">
        <v>643</v>
      </c>
      <c r="E202" s="4">
        <v>152000</v>
      </c>
    </row>
    <row r="203" spans="1:5" x14ac:dyDescent="0.2">
      <c r="A203" s="5">
        <v>5127412</v>
      </c>
      <c r="B203" s="2" t="s">
        <v>436</v>
      </c>
      <c r="C203" s="2" t="s">
        <v>241</v>
      </c>
      <c r="D203" t="s">
        <v>639</v>
      </c>
      <c r="E203" s="4">
        <v>353000</v>
      </c>
    </row>
    <row r="204" spans="1:5" x14ac:dyDescent="0.2">
      <c r="A204" s="5">
        <v>46184</v>
      </c>
      <c r="B204" s="2" t="s">
        <v>437</v>
      </c>
      <c r="C204" s="2" t="s">
        <v>243</v>
      </c>
      <c r="D204" t="s">
        <v>643</v>
      </c>
      <c r="E204" s="4">
        <v>-111000</v>
      </c>
    </row>
    <row r="205" spans="1:5" x14ac:dyDescent="0.2">
      <c r="A205" s="5">
        <v>3155</v>
      </c>
      <c r="B205" s="2" t="s">
        <v>438</v>
      </c>
      <c r="C205" s="2" t="s">
        <v>235</v>
      </c>
      <c r="D205" t="s">
        <v>637</v>
      </c>
      <c r="E205" s="4">
        <v>-377000</v>
      </c>
    </row>
    <row r="206" spans="1:5" x14ac:dyDescent="0.2">
      <c r="A206" s="5">
        <v>48952443</v>
      </c>
      <c r="B206" s="2" t="s">
        <v>439</v>
      </c>
      <c r="C206" s="2" t="s">
        <v>245</v>
      </c>
      <c r="D206" t="s">
        <v>640</v>
      </c>
      <c r="E206" s="4">
        <v>3000</v>
      </c>
    </row>
    <row r="207" spans="1:5" x14ac:dyDescent="0.2">
      <c r="A207" s="5">
        <v>80</v>
      </c>
      <c r="B207" s="2" t="s">
        <v>440</v>
      </c>
      <c r="C207" s="2" t="s">
        <v>241</v>
      </c>
      <c r="D207" t="s">
        <v>637</v>
      </c>
      <c r="E207" s="4">
        <v>445000</v>
      </c>
    </row>
    <row r="208" spans="1:5" x14ac:dyDescent="0.2">
      <c r="A208" s="5">
        <v>60</v>
      </c>
      <c r="B208" s="2" t="s">
        <v>441</v>
      </c>
      <c r="C208" s="2" t="s">
        <v>249</v>
      </c>
      <c r="D208" t="s">
        <v>640</v>
      </c>
      <c r="E208" s="4">
        <v>-7000</v>
      </c>
    </row>
    <row r="209" spans="1:5" x14ac:dyDescent="0.2">
      <c r="A209" s="5">
        <v>4090</v>
      </c>
      <c r="B209" s="2" t="s">
        <v>442</v>
      </c>
      <c r="C209" s="2" t="s">
        <v>238</v>
      </c>
      <c r="D209" t="s">
        <v>643</v>
      </c>
      <c r="E209" s="4">
        <v>452000</v>
      </c>
    </row>
    <row r="210" spans="1:5" x14ac:dyDescent="0.2">
      <c r="A210" s="5">
        <v>90</v>
      </c>
      <c r="B210" s="2" t="s">
        <v>443</v>
      </c>
      <c r="C210" s="2" t="s">
        <v>235</v>
      </c>
      <c r="D210" t="s">
        <v>636</v>
      </c>
      <c r="E210" s="4">
        <v>-227000</v>
      </c>
    </row>
    <row r="211" spans="1:5" x14ac:dyDescent="0.2">
      <c r="A211" s="5">
        <v>68215900</v>
      </c>
      <c r="B211" s="2" t="s">
        <v>444</v>
      </c>
      <c r="C211" s="2" t="s">
        <v>235</v>
      </c>
      <c r="D211" t="s">
        <v>636</v>
      </c>
      <c r="E211" s="4">
        <v>452000</v>
      </c>
    </row>
    <row r="212" spans="1:5" x14ac:dyDescent="0.2">
      <c r="A212" s="5">
        <v>60521821</v>
      </c>
      <c r="B212" s="2" t="s">
        <v>445</v>
      </c>
      <c r="C212" s="2" t="s">
        <v>235</v>
      </c>
      <c r="D212" t="s">
        <v>643</v>
      </c>
      <c r="E212" s="4">
        <v>447000</v>
      </c>
    </row>
    <row r="213" spans="1:5" x14ac:dyDescent="0.2">
      <c r="A213" s="5">
        <v>9767872</v>
      </c>
      <c r="B213" s="2" t="s">
        <v>446</v>
      </c>
      <c r="C213" s="2" t="s">
        <v>251</v>
      </c>
      <c r="D213" t="s">
        <v>636</v>
      </c>
      <c r="E213" s="4">
        <v>496000</v>
      </c>
    </row>
    <row r="214" spans="1:5" x14ac:dyDescent="0.2">
      <c r="A214" s="5">
        <v>8078653</v>
      </c>
      <c r="B214" s="2" t="s">
        <v>447</v>
      </c>
      <c r="C214" s="2" t="s">
        <v>245</v>
      </c>
      <c r="D214" t="s">
        <v>642</v>
      </c>
      <c r="E214" s="4">
        <v>439000</v>
      </c>
    </row>
    <row r="215" spans="1:5" x14ac:dyDescent="0.2">
      <c r="A215" s="5">
        <v>973</v>
      </c>
      <c r="B215" s="2" t="s">
        <v>448</v>
      </c>
      <c r="C215" s="2" t="s">
        <v>245</v>
      </c>
      <c r="D215" t="s">
        <v>636</v>
      </c>
      <c r="E215" s="4">
        <v>313000</v>
      </c>
    </row>
    <row r="216" spans="1:5" x14ac:dyDescent="0.2">
      <c r="A216" s="5">
        <v>698999</v>
      </c>
      <c r="B216" s="2" t="s">
        <v>449</v>
      </c>
      <c r="C216" s="2" t="s">
        <v>249</v>
      </c>
      <c r="D216" t="s">
        <v>636</v>
      </c>
      <c r="E216" s="4">
        <v>276000</v>
      </c>
    </row>
    <row r="217" spans="1:5" x14ac:dyDescent="0.2">
      <c r="A217" s="5">
        <v>1187267</v>
      </c>
      <c r="B217" s="2" t="s">
        <v>450</v>
      </c>
      <c r="C217" s="2" t="s">
        <v>235</v>
      </c>
      <c r="D217" t="s">
        <v>636</v>
      </c>
      <c r="E217" s="4">
        <v>292000</v>
      </c>
    </row>
    <row r="218" spans="1:5" x14ac:dyDescent="0.2">
      <c r="A218" s="5">
        <v>72848119</v>
      </c>
      <c r="B218" s="2" t="s">
        <v>451</v>
      </c>
      <c r="C218" s="2" t="s">
        <v>251</v>
      </c>
      <c r="D218" t="s">
        <v>636</v>
      </c>
      <c r="E218" s="4">
        <v>-300000</v>
      </c>
    </row>
    <row r="219" spans="1:5" x14ac:dyDescent="0.2">
      <c r="A219" s="5">
        <v>9723</v>
      </c>
      <c r="B219" s="2" t="s">
        <v>452</v>
      </c>
      <c r="C219" s="2" t="s">
        <v>235</v>
      </c>
      <c r="D219" t="s">
        <v>643</v>
      </c>
      <c r="E219" s="4">
        <v>41000</v>
      </c>
    </row>
    <row r="220" spans="1:5" x14ac:dyDescent="0.2">
      <c r="A220" s="5">
        <v>226482</v>
      </c>
      <c r="B220" s="2" t="s">
        <v>453</v>
      </c>
      <c r="C220" s="2" t="s">
        <v>238</v>
      </c>
      <c r="D220" t="s">
        <v>639</v>
      </c>
      <c r="E220" s="4">
        <v>-332000</v>
      </c>
    </row>
    <row r="221" spans="1:5" x14ac:dyDescent="0.2">
      <c r="A221" s="5">
        <v>108</v>
      </c>
      <c r="B221" s="2" t="s">
        <v>454</v>
      </c>
      <c r="C221" s="2" t="s">
        <v>230</v>
      </c>
      <c r="D221" t="s">
        <v>643</v>
      </c>
      <c r="E221" s="4">
        <v>211000</v>
      </c>
    </row>
    <row r="222" spans="1:5" x14ac:dyDescent="0.2">
      <c r="A222" s="5">
        <v>67</v>
      </c>
      <c r="B222" s="2" t="s">
        <v>455</v>
      </c>
      <c r="C222" s="2" t="s">
        <v>235</v>
      </c>
      <c r="D222" t="s">
        <v>637</v>
      </c>
      <c r="E222" s="4">
        <v>-249000</v>
      </c>
    </row>
    <row r="223" spans="1:5" x14ac:dyDescent="0.2">
      <c r="A223" s="5">
        <v>97352928</v>
      </c>
      <c r="B223" s="2" t="s">
        <v>456</v>
      </c>
      <c r="C223" s="2" t="s">
        <v>230</v>
      </c>
      <c r="D223" t="s">
        <v>640</v>
      </c>
      <c r="E223" s="4">
        <v>-441000</v>
      </c>
    </row>
    <row r="224" spans="1:5" x14ac:dyDescent="0.2">
      <c r="A224" s="5">
        <v>8089643</v>
      </c>
      <c r="B224" s="2" t="s">
        <v>457</v>
      </c>
      <c r="C224" s="2" t="s">
        <v>241</v>
      </c>
      <c r="D224" t="s">
        <v>637</v>
      </c>
      <c r="E224" s="4">
        <v>349000</v>
      </c>
    </row>
    <row r="225" spans="1:5" x14ac:dyDescent="0.2">
      <c r="A225" s="5">
        <v>694</v>
      </c>
      <c r="B225" s="2" t="s">
        <v>458</v>
      </c>
      <c r="C225" s="2" t="s">
        <v>235</v>
      </c>
      <c r="D225" t="s">
        <v>639</v>
      </c>
      <c r="E225" s="4">
        <v>-468000</v>
      </c>
    </row>
    <row r="226" spans="1:5" x14ac:dyDescent="0.2">
      <c r="A226" s="5">
        <v>8510</v>
      </c>
      <c r="B226" s="2" t="s">
        <v>459</v>
      </c>
      <c r="C226" s="2" t="s">
        <v>235</v>
      </c>
      <c r="D226" t="s">
        <v>643</v>
      </c>
      <c r="E226" s="4">
        <v>-115000</v>
      </c>
    </row>
    <row r="227" spans="1:5" x14ac:dyDescent="0.2">
      <c r="A227" s="5">
        <v>16867</v>
      </c>
      <c r="B227" s="2" t="s">
        <v>460</v>
      </c>
      <c r="C227" s="2" t="s">
        <v>235</v>
      </c>
      <c r="D227" t="s">
        <v>638</v>
      </c>
      <c r="E227" s="4">
        <v>152000</v>
      </c>
    </row>
    <row r="228" spans="1:5" x14ac:dyDescent="0.2">
      <c r="A228" s="5">
        <v>81771</v>
      </c>
      <c r="B228" s="2" t="s">
        <v>461</v>
      </c>
      <c r="C228" s="2" t="s">
        <v>230</v>
      </c>
      <c r="D228" t="s">
        <v>643</v>
      </c>
      <c r="E228" s="4">
        <v>57000</v>
      </c>
    </row>
    <row r="229" spans="1:5" x14ac:dyDescent="0.2">
      <c r="A229" s="5">
        <v>4081176</v>
      </c>
      <c r="B229" s="2" t="s">
        <v>462</v>
      </c>
      <c r="C229" s="2" t="s">
        <v>249</v>
      </c>
      <c r="D229" t="s">
        <v>643</v>
      </c>
      <c r="E229" s="4">
        <v>-191000</v>
      </c>
    </row>
    <row r="230" spans="1:5" x14ac:dyDescent="0.2">
      <c r="A230" s="5">
        <v>46181234</v>
      </c>
      <c r="B230" s="2" t="s">
        <v>463</v>
      </c>
      <c r="C230" s="2" t="s">
        <v>235</v>
      </c>
      <c r="D230" t="s">
        <v>635</v>
      </c>
      <c r="E230" s="4">
        <v>133000</v>
      </c>
    </row>
    <row r="231" spans="1:5" x14ac:dyDescent="0.2">
      <c r="A231" s="5">
        <v>97738</v>
      </c>
      <c r="B231" s="2" t="s">
        <v>464</v>
      </c>
      <c r="C231" s="2" t="s">
        <v>235</v>
      </c>
      <c r="D231" t="s">
        <v>639</v>
      </c>
      <c r="E231" s="4">
        <v>212000</v>
      </c>
    </row>
    <row r="232" spans="1:5" x14ac:dyDescent="0.2">
      <c r="A232" s="5">
        <v>95548</v>
      </c>
      <c r="B232" s="2" t="s">
        <v>465</v>
      </c>
      <c r="C232" s="2" t="s">
        <v>235</v>
      </c>
      <c r="D232" t="s">
        <v>636</v>
      </c>
      <c r="E232" s="4">
        <v>-468000</v>
      </c>
    </row>
    <row r="233" spans="1:5" x14ac:dyDescent="0.2">
      <c r="A233" s="5">
        <v>470</v>
      </c>
      <c r="B233" s="2" t="s">
        <v>466</v>
      </c>
      <c r="C233" s="2" t="s">
        <v>241</v>
      </c>
      <c r="D233" t="s">
        <v>637</v>
      </c>
      <c r="E233" s="4">
        <v>300000</v>
      </c>
    </row>
    <row r="234" spans="1:5" x14ac:dyDescent="0.2">
      <c r="A234" s="5">
        <v>94590438</v>
      </c>
      <c r="B234" s="2" t="s">
        <v>467</v>
      </c>
      <c r="C234" s="2" t="s">
        <v>235</v>
      </c>
      <c r="D234" t="s">
        <v>635</v>
      </c>
      <c r="E234" s="4">
        <v>-396000</v>
      </c>
    </row>
    <row r="235" spans="1:5" x14ac:dyDescent="0.2">
      <c r="A235" s="5">
        <v>75</v>
      </c>
      <c r="B235" s="2" t="s">
        <v>468</v>
      </c>
      <c r="C235" s="2" t="s">
        <v>228</v>
      </c>
      <c r="D235" t="s">
        <v>638</v>
      </c>
      <c r="E235" s="4">
        <v>-428000</v>
      </c>
    </row>
    <row r="236" spans="1:5" x14ac:dyDescent="0.2">
      <c r="A236" s="5">
        <v>59948756</v>
      </c>
      <c r="B236" s="2" t="s">
        <v>469</v>
      </c>
      <c r="C236" s="2" t="s">
        <v>235</v>
      </c>
      <c r="D236" t="s">
        <v>637</v>
      </c>
      <c r="E236" s="4">
        <v>15000</v>
      </c>
    </row>
    <row r="237" spans="1:5" x14ac:dyDescent="0.2">
      <c r="A237" s="5">
        <v>8063105</v>
      </c>
      <c r="B237" s="2" t="s">
        <v>470</v>
      </c>
      <c r="C237" s="2" t="s">
        <v>251</v>
      </c>
      <c r="D237" t="s">
        <v>638</v>
      </c>
      <c r="E237" s="4">
        <v>-486000</v>
      </c>
    </row>
    <row r="238" spans="1:5" x14ac:dyDescent="0.2">
      <c r="A238" s="5">
        <v>30523</v>
      </c>
      <c r="B238" s="2" t="s">
        <v>471</v>
      </c>
      <c r="C238" s="2" t="s">
        <v>235</v>
      </c>
      <c r="D238" t="s">
        <v>636</v>
      </c>
      <c r="E238" s="4">
        <v>-283000</v>
      </c>
    </row>
    <row r="239" spans="1:5" x14ac:dyDescent="0.2">
      <c r="A239" s="5">
        <v>961359</v>
      </c>
      <c r="B239" s="2" t="s">
        <v>472</v>
      </c>
      <c r="C239" s="2" t="s">
        <v>235</v>
      </c>
      <c r="D239" t="s">
        <v>642</v>
      </c>
      <c r="E239" s="4">
        <v>-114000</v>
      </c>
    </row>
    <row r="240" spans="1:5" x14ac:dyDescent="0.2">
      <c r="A240" s="5">
        <v>784</v>
      </c>
      <c r="B240" s="2" t="s">
        <v>473</v>
      </c>
      <c r="C240" s="2" t="s">
        <v>249</v>
      </c>
      <c r="D240" t="s">
        <v>637</v>
      </c>
      <c r="E240" s="4">
        <v>427000</v>
      </c>
    </row>
    <row r="241" spans="1:5" x14ac:dyDescent="0.2">
      <c r="A241" s="5">
        <v>70060</v>
      </c>
      <c r="B241" s="2" t="s">
        <v>474</v>
      </c>
      <c r="C241" s="2" t="s">
        <v>235</v>
      </c>
      <c r="D241" t="s">
        <v>643</v>
      </c>
      <c r="E241" s="4">
        <v>251000</v>
      </c>
    </row>
    <row r="242" spans="1:5" x14ac:dyDescent="0.2">
      <c r="A242" s="5">
        <v>9672156</v>
      </c>
      <c r="B242" s="2" t="s">
        <v>475</v>
      </c>
      <c r="C242" s="2" t="s">
        <v>228</v>
      </c>
      <c r="D242" t="s">
        <v>640</v>
      </c>
      <c r="E242" s="4">
        <v>-69000</v>
      </c>
    </row>
    <row r="243" spans="1:5" x14ac:dyDescent="0.2">
      <c r="A243" s="5">
        <v>5529955</v>
      </c>
      <c r="B243" s="2" t="s">
        <v>476</v>
      </c>
      <c r="C243" s="2" t="s">
        <v>235</v>
      </c>
      <c r="D243" t="s">
        <v>642</v>
      </c>
      <c r="E243" s="4">
        <v>152000</v>
      </c>
    </row>
    <row r="244" spans="1:5" x14ac:dyDescent="0.2">
      <c r="A244" s="5">
        <v>118</v>
      </c>
      <c r="B244" s="2" t="s">
        <v>477</v>
      </c>
      <c r="C244" s="2" t="s">
        <v>235</v>
      </c>
      <c r="D244" t="s">
        <v>635</v>
      </c>
      <c r="E244" s="4">
        <v>-352000</v>
      </c>
    </row>
    <row r="245" spans="1:5" x14ac:dyDescent="0.2">
      <c r="A245" s="5">
        <v>139153</v>
      </c>
      <c r="B245" s="2" t="s">
        <v>478</v>
      </c>
      <c r="C245" s="2" t="s">
        <v>249</v>
      </c>
      <c r="D245" t="s">
        <v>643</v>
      </c>
      <c r="E245" s="4">
        <v>-474000</v>
      </c>
    </row>
    <row r="246" spans="1:5" x14ac:dyDescent="0.2">
      <c r="A246" s="5">
        <v>307067</v>
      </c>
      <c r="B246" s="2" t="s">
        <v>479</v>
      </c>
      <c r="C246" s="2" t="s">
        <v>235</v>
      </c>
      <c r="D246" t="s">
        <v>639</v>
      </c>
      <c r="E246" s="4">
        <v>73000</v>
      </c>
    </row>
    <row r="247" spans="1:5" x14ac:dyDescent="0.2">
      <c r="A247" s="5">
        <v>838</v>
      </c>
      <c r="B247" s="2" t="s">
        <v>480</v>
      </c>
      <c r="C247" s="2" t="s">
        <v>235</v>
      </c>
      <c r="D247" t="s">
        <v>643</v>
      </c>
      <c r="E247" s="4">
        <v>-385000</v>
      </c>
    </row>
    <row r="248" spans="1:5" x14ac:dyDescent="0.2">
      <c r="A248" s="5">
        <v>833</v>
      </c>
      <c r="B248" s="2" t="s">
        <v>481</v>
      </c>
      <c r="C248" s="2" t="s">
        <v>241</v>
      </c>
      <c r="D248" t="s">
        <v>636</v>
      </c>
      <c r="E248" s="4">
        <v>32000</v>
      </c>
    </row>
    <row r="249" spans="1:5" x14ac:dyDescent="0.2">
      <c r="A249" s="5">
        <v>73396</v>
      </c>
      <c r="B249" s="2" t="s">
        <v>482</v>
      </c>
      <c r="C249" s="2" t="s">
        <v>228</v>
      </c>
      <c r="D249" t="s">
        <v>640</v>
      </c>
      <c r="E249" s="4">
        <v>-210000</v>
      </c>
    </row>
    <row r="250" spans="1:5" x14ac:dyDescent="0.2">
      <c r="A250" s="5">
        <v>74</v>
      </c>
      <c r="B250" s="2" t="s">
        <v>483</v>
      </c>
      <c r="C250" s="2" t="s">
        <v>249</v>
      </c>
      <c r="D250" t="s">
        <v>643</v>
      </c>
      <c r="E250" s="4">
        <v>-456000</v>
      </c>
    </row>
    <row r="251" spans="1:5" x14ac:dyDescent="0.2">
      <c r="A251" s="5">
        <v>33268421</v>
      </c>
      <c r="B251" s="2" t="s">
        <v>484</v>
      </c>
      <c r="C251" s="2" t="s">
        <v>245</v>
      </c>
      <c r="D251" t="s">
        <v>642</v>
      </c>
      <c r="E251" s="4">
        <v>393000</v>
      </c>
    </row>
    <row r="252" spans="1:5" x14ac:dyDescent="0.2">
      <c r="A252" s="5">
        <v>976560</v>
      </c>
      <c r="B252" s="2" t="s">
        <v>485</v>
      </c>
      <c r="C252" s="2" t="s">
        <v>245</v>
      </c>
      <c r="D252" t="s">
        <v>636</v>
      </c>
      <c r="E252" s="4">
        <v>123000</v>
      </c>
    </row>
    <row r="253" spans="1:5" x14ac:dyDescent="0.2">
      <c r="A253" s="5">
        <v>5733</v>
      </c>
      <c r="B253" s="2" t="s">
        <v>486</v>
      </c>
      <c r="C253" s="2" t="s">
        <v>230</v>
      </c>
      <c r="D253" t="s">
        <v>638</v>
      </c>
      <c r="E253" s="4">
        <v>63000</v>
      </c>
    </row>
    <row r="254" spans="1:5" x14ac:dyDescent="0.2">
      <c r="A254" s="5">
        <v>2672384</v>
      </c>
      <c r="B254" s="2" t="s">
        <v>487</v>
      </c>
      <c r="C254" s="2" t="s">
        <v>235</v>
      </c>
      <c r="D254" t="s">
        <v>637</v>
      </c>
      <c r="E254" s="4">
        <v>-102000</v>
      </c>
    </row>
    <row r="255" spans="1:5" x14ac:dyDescent="0.2">
      <c r="A255" s="5">
        <v>695</v>
      </c>
      <c r="B255" s="2" t="s">
        <v>488</v>
      </c>
      <c r="C255" s="2" t="s">
        <v>235</v>
      </c>
      <c r="D255" t="s">
        <v>638</v>
      </c>
      <c r="E255" s="4">
        <v>42000</v>
      </c>
    </row>
    <row r="256" spans="1:5" x14ac:dyDescent="0.2">
      <c r="A256" s="5">
        <v>94943</v>
      </c>
      <c r="B256" s="2" t="s">
        <v>489</v>
      </c>
      <c r="C256" s="2" t="s">
        <v>235</v>
      </c>
      <c r="D256" t="s">
        <v>638</v>
      </c>
      <c r="E256" s="4">
        <v>-200000</v>
      </c>
    </row>
    <row r="257" spans="1:5" x14ac:dyDescent="0.2">
      <c r="A257" s="5">
        <v>3130278</v>
      </c>
      <c r="B257" s="2" t="s">
        <v>490</v>
      </c>
      <c r="C257" s="2" t="s">
        <v>235</v>
      </c>
      <c r="D257" t="s">
        <v>640</v>
      </c>
      <c r="E257" s="4">
        <v>246000</v>
      </c>
    </row>
    <row r="258" spans="1:5" x14ac:dyDescent="0.2">
      <c r="A258" s="5">
        <v>675577</v>
      </c>
      <c r="B258" s="2" t="s">
        <v>491</v>
      </c>
      <c r="C258" s="2" t="s">
        <v>241</v>
      </c>
      <c r="D258" t="s">
        <v>638</v>
      </c>
      <c r="E258" s="4">
        <v>-60000</v>
      </c>
    </row>
    <row r="259" spans="1:5" x14ac:dyDescent="0.2">
      <c r="A259" s="5">
        <v>16108357</v>
      </c>
      <c r="B259" s="2" t="s">
        <v>492</v>
      </c>
      <c r="C259" s="2" t="s">
        <v>228</v>
      </c>
      <c r="D259" t="s">
        <v>643</v>
      </c>
      <c r="E259" s="4">
        <v>116000</v>
      </c>
    </row>
    <row r="260" spans="1:5" x14ac:dyDescent="0.2">
      <c r="A260" s="5">
        <v>6759</v>
      </c>
      <c r="B260" s="2" t="s">
        <v>493</v>
      </c>
      <c r="C260" s="2" t="s">
        <v>235</v>
      </c>
      <c r="D260" t="s">
        <v>636</v>
      </c>
      <c r="E260" s="4">
        <v>-41000</v>
      </c>
    </row>
    <row r="261" spans="1:5" x14ac:dyDescent="0.2">
      <c r="A261" s="5">
        <v>908</v>
      </c>
      <c r="B261" s="2" t="s">
        <v>494</v>
      </c>
      <c r="C261" s="2" t="s">
        <v>235</v>
      </c>
      <c r="D261" t="s">
        <v>640</v>
      </c>
      <c r="E261" s="4">
        <v>-229000</v>
      </c>
    </row>
    <row r="262" spans="1:5" x14ac:dyDescent="0.2">
      <c r="A262" s="5">
        <v>72006643</v>
      </c>
      <c r="B262" s="2" t="s">
        <v>495</v>
      </c>
      <c r="C262" s="2" t="s">
        <v>235</v>
      </c>
      <c r="D262" t="s">
        <v>639</v>
      </c>
      <c r="E262" s="4">
        <v>197000</v>
      </c>
    </row>
    <row r="263" spans="1:5" x14ac:dyDescent="0.2">
      <c r="A263" s="5">
        <v>2445707</v>
      </c>
      <c r="B263" s="2" t="s">
        <v>496</v>
      </c>
      <c r="C263" s="2" t="s">
        <v>235</v>
      </c>
      <c r="D263" t="s">
        <v>635</v>
      </c>
      <c r="E263" s="4">
        <v>281000</v>
      </c>
    </row>
    <row r="264" spans="1:5" x14ac:dyDescent="0.2">
      <c r="A264" s="5">
        <v>56961256</v>
      </c>
      <c r="B264" s="2" t="s">
        <v>497</v>
      </c>
      <c r="C264" s="2" t="s">
        <v>238</v>
      </c>
      <c r="D264" t="s">
        <v>643</v>
      </c>
      <c r="E264" s="4">
        <v>-53000</v>
      </c>
    </row>
    <row r="265" spans="1:5" x14ac:dyDescent="0.2">
      <c r="A265" s="5">
        <v>67296</v>
      </c>
      <c r="B265" s="2" t="s">
        <v>498</v>
      </c>
      <c r="C265" s="2" t="s">
        <v>235</v>
      </c>
      <c r="D265" t="s">
        <v>643</v>
      </c>
      <c r="E265" s="4">
        <v>413000</v>
      </c>
    </row>
    <row r="266" spans="1:5" x14ac:dyDescent="0.2">
      <c r="A266" s="5">
        <v>7202</v>
      </c>
      <c r="B266" s="2" t="s">
        <v>499</v>
      </c>
      <c r="C266" s="2" t="s">
        <v>245</v>
      </c>
      <c r="D266" t="s">
        <v>636</v>
      </c>
      <c r="E266" s="4">
        <v>489000</v>
      </c>
    </row>
    <row r="267" spans="1:5" x14ac:dyDescent="0.2">
      <c r="A267" s="5">
        <v>8017323</v>
      </c>
      <c r="B267" s="2" t="s">
        <v>500</v>
      </c>
      <c r="C267" s="2" t="s">
        <v>235</v>
      </c>
      <c r="D267" t="s">
        <v>638</v>
      </c>
      <c r="E267" s="4">
        <v>50000</v>
      </c>
    </row>
    <row r="268" spans="1:5" x14ac:dyDescent="0.2">
      <c r="A268" s="5">
        <v>568269</v>
      </c>
      <c r="B268" s="2" t="s">
        <v>501</v>
      </c>
      <c r="C268" s="2" t="s">
        <v>235</v>
      </c>
      <c r="D268" t="s">
        <v>637</v>
      </c>
      <c r="E268" s="4">
        <v>277000</v>
      </c>
    </row>
    <row r="269" spans="1:5" x14ac:dyDescent="0.2">
      <c r="A269" s="5">
        <v>202</v>
      </c>
      <c r="B269" s="2" t="s">
        <v>502</v>
      </c>
      <c r="C269" s="2" t="s">
        <v>235</v>
      </c>
      <c r="D269" t="s">
        <v>636</v>
      </c>
      <c r="E269" s="4">
        <v>-120000</v>
      </c>
    </row>
    <row r="270" spans="1:5" x14ac:dyDescent="0.2">
      <c r="A270" s="5">
        <v>431472</v>
      </c>
      <c r="B270" s="2" t="s">
        <v>503</v>
      </c>
      <c r="C270" s="2" t="s">
        <v>235</v>
      </c>
      <c r="D270" t="s">
        <v>638</v>
      </c>
      <c r="E270" s="4">
        <v>-16000</v>
      </c>
    </row>
    <row r="271" spans="1:5" x14ac:dyDescent="0.2">
      <c r="A271" s="5">
        <v>43863800</v>
      </c>
      <c r="B271" s="2" t="s">
        <v>504</v>
      </c>
      <c r="C271" s="2" t="s">
        <v>228</v>
      </c>
      <c r="D271" t="s">
        <v>643</v>
      </c>
      <c r="E271" s="4">
        <v>-398000</v>
      </c>
    </row>
    <row r="272" spans="1:5" x14ac:dyDescent="0.2">
      <c r="A272" s="5">
        <v>648663</v>
      </c>
      <c r="B272" s="2" t="s">
        <v>505</v>
      </c>
      <c r="C272" s="2" t="s">
        <v>228</v>
      </c>
      <c r="D272" t="s">
        <v>637</v>
      </c>
      <c r="E272" s="4">
        <v>-173000</v>
      </c>
    </row>
    <row r="273" spans="1:5" x14ac:dyDescent="0.2">
      <c r="A273" s="5">
        <v>7129</v>
      </c>
      <c r="B273" s="2" t="s">
        <v>506</v>
      </c>
      <c r="C273" s="2" t="s">
        <v>235</v>
      </c>
      <c r="D273" t="s">
        <v>636</v>
      </c>
      <c r="E273" s="4">
        <v>-450000</v>
      </c>
    </row>
    <row r="274" spans="1:5" x14ac:dyDescent="0.2">
      <c r="A274" s="5">
        <v>805</v>
      </c>
      <c r="B274" s="2" t="s">
        <v>507</v>
      </c>
      <c r="C274" s="2" t="s">
        <v>235</v>
      </c>
      <c r="D274" t="s">
        <v>643</v>
      </c>
      <c r="E274" s="4">
        <v>-287000</v>
      </c>
    </row>
    <row r="275" spans="1:5" x14ac:dyDescent="0.2">
      <c r="A275" s="5">
        <v>81</v>
      </c>
      <c r="B275" s="2" t="s">
        <v>508</v>
      </c>
      <c r="C275" s="2" t="s">
        <v>230</v>
      </c>
      <c r="D275" t="s">
        <v>638</v>
      </c>
      <c r="E275" s="4">
        <v>370000</v>
      </c>
    </row>
    <row r="276" spans="1:5" x14ac:dyDescent="0.2">
      <c r="A276" s="5">
        <v>5262777</v>
      </c>
      <c r="B276" s="2" t="s">
        <v>509</v>
      </c>
      <c r="C276" s="2" t="s">
        <v>241</v>
      </c>
      <c r="D276" t="s">
        <v>637</v>
      </c>
      <c r="E276" s="4">
        <v>338000</v>
      </c>
    </row>
    <row r="277" spans="1:5" x14ac:dyDescent="0.2">
      <c r="A277" s="5">
        <v>68241</v>
      </c>
      <c r="B277" s="2" t="s">
        <v>510</v>
      </c>
      <c r="C277" s="2" t="s">
        <v>235</v>
      </c>
      <c r="D277" t="s">
        <v>643</v>
      </c>
      <c r="E277" s="4">
        <v>-382000</v>
      </c>
    </row>
    <row r="278" spans="1:5" x14ac:dyDescent="0.2">
      <c r="A278" s="5">
        <v>990</v>
      </c>
      <c r="B278" s="2" t="s">
        <v>511</v>
      </c>
      <c r="C278" s="2" t="s">
        <v>251</v>
      </c>
      <c r="D278" t="s">
        <v>642</v>
      </c>
      <c r="E278" s="4">
        <v>-265000</v>
      </c>
    </row>
    <row r="279" spans="1:5" x14ac:dyDescent="0.2">
      <c r="A279" s="5">
        <v>612269</v>
      </c>
      <c r="B279" s="2" t="s">
        <v>512</v>
      </c>
      <c r="C279" s="2" t="s">
        <v>235</v>
      </c>
      <c r="D279" t="s">
        <v>643</v>
      </c>
      <c r="E279" s="4">
        <v>-296000</v>
      </c>
    </row>
    <row r="280" spans="1:5" x14ac:dyDescent="0.2">
      <c r="A280" s="5">
        <v>9322</v>
      </c>
      <c r="B280" s="2" t="s">
        <v>513</v>
      </c>
      <c r="C280" s="2" t="s">
        <v>235</v>
      </c>
      <c r="D280" t="s">
        <v>638</v>
      </c>
      <c r="E280" s="4">
        <v>-86000</v>
      </c>
    </row>
    <row r="281" spans="1:5" x14ac:dyDescent="0.2">
      <c r="A281" s="5">
        <v>9036672</v>
      </c>
      <c r="B281" s="2" t="s">
        <v>514</v>
      </c>
      <c r="C281" s="2" t="s">
        <v>235</v>
      </c>
      <c r="D281" t="s">
        <v>640</v>
      </c>
      <c r="E281" s="4">
        <v>134000</v>
      </c>
    </row>
    <row r="282" spans="1:5" x14ac:dyDescent="0.2">
      <c r="A282" s="5">
        <v>3</v>
      </c>
      <c r="B282" s="2" t="s">
        <v>515</v>
      </c>
      <c r="C282" s="2" t="s">
        <v>241</v>
      </c>
      <c r="D282" t="s">
        <v>642</v>
      </c>
      <c r="E282" s="4">
        <v>67000</v>
      </c>
    </row>
    <row r="283" spans="1:5" x14ac:dyDescent="0.2">
      <c r="A283" s="5">
        <v>50225</v>
      </c>
      <c r="B283" s="2" t="s">
        <v>516</v>
      </c>
      <c r="C283" s="2" t="s">
        <v>235</v>
      </c>
      <c r="D283" t="s">
        <v>636</v>
      </c>
      <c r="E283" s="4">
        <v>165000</v>
      </c>
    </row>
    <row r="284" spans="1:5" x14ac:dyDescent="0.2">
      <c r="A284" s="5">
        <v>785</v>
      </c>
      <c r="B284" s="2" t="s">
        <v>517</v>
      </c>
      <c r="C284" s="2" t="s">
        <v>251</v>
      </c>
      <c r="D284" t="s">
        <v>640</v>
      </c>
      <c r="E284" s="4">
        <v>74000</v>
      </c>
    </row>
    <row r="285" spans="1:5" x14ac:dyDescent="0.2">
      <c r="A285" s="5">
        <v>679310</v>
      </c>
      <c r="B285" s="2" t="s">
        <v>518</v>
      </c>
      <c r="C285" s="2" t="s">
        <v>235</v>
      </c>
      <c r="D285" t="s">
        <v>635</v>
      </c>
      <c r="E285" s="4">
        <v>-451000</v>
      </c>
    </row>
    <row r="286" spans="1:5" x14ac:dyDescent="0.2">
      <c r="A286" s="5">
        <v>96</v>
      </c>
      <c r="B286" s="2" t="s">
        <v>519</v>
      </c>
      <c r="C286" s="2" t="s">
        <v>235</v>
      </c>
      <c r="D286" t="s">
        <v>637</v>
      </c>
      <c r="E286" s="4">
        <v>303000</v>
      </c>
    </row>
    <row r="287" spans="1:5" x14ac:dyDescent="0.2">
      <c r="A287" s="5">
        <v>1948</v>
      </c>
      <c r="B287" s="2" t="s">
        <v>520</v>
      </c>
      <c r="C287" s="2" t="s">
        <v>251</v>
      </c>
      <c r="D287" t="s">
        <v>638</v>
      </c>
      <c r="E287" s="4">
        <v>-96000</v>
      </c>
    </row>
    <row r="288" spans="1:5" x14ac:dyDescent="0.2">
      <c r="A288" s="5">
        <v>7479966</v>
      </c>
      <c r="B288" s="2" t="s">
        <v>521</v>
      </c>
      <c r="C288" s="2" t="s">
        <v>230</v>
      </c>
      <c r="D288" t="s">
        <v>636</v>
      </c>
      <c r="E288" s="4">
        <v>40000</v>
      </c>
    </row>
    <row r="289" spans="1:5" x14ac:dyDescent="0.2">
      <c r="A289" s="5">
        <v>447700</v>
      </c>
      <c r="B289" s="2" t="s">
        <v>522</v>
      </c>
      <c r="C289" s="2" t="s">
        <v>235</v>
      </c>
      <c r="D289" t="s">
        <v>638</v>
      </c>
      <c r="E289" s="4">
        <v>-297000</v>
      </c>
    </row>
    <row r="290" spans="1:5" x14ac:dyDescent="0.2">
      <c r="A290" s="5">
        <v>21</v>
      </c>
      <c r="B290" s="2" t="s">
        <v>523</v>
      </c>
      <c r="C290" s="2" t="s">
        <v>235</v>
      </c>
      <c r="D290" t="s">
        <v>643</v>
      </c>
      <c r="E290" s="4">
        <v>126000</v>
      </c>
    </row>
    <row r="291" spans="1:5" x14ac:dyDescent="0.2">
      <c r="A291" s="5">
        <v>6862</v>
      </c>
      <c r="B291" s="2" t="s">
        <v>524</v>
      </c>
      <c r="C291" s="2" t="s">
        <v>228</v>
      </c>
      <c r="D291" t="s">
        <v>639</v>
      </c>
      <c r="E291" s="4">
        <v>378000</v>
      </c>
    </row>
    <row r="292" spans="1:5" x14ac:dyDescent="0.2">
      <c r="A292" s="5">
        <v>104816</v>
      </c>
      <c r="B292" s="2" t="s">
        <v>525</v>
      </c>
      <c r="C292" s="2" t="s">
        <v>243</v>
      </c>
      <c r="D292" t="s">
        <v>636</v>
      </c>
      <c r="E292" s="4">
        <v>116000</v>
      </c>
    </row>
    <row r="293" spans="1:5" x14ac:dyDescent="0.2">
      <c r="A293" s="5">
        <v>32</v>
      </c>
      <c r="B293" s="2" t="s">
        <v>526</v>
      </c>
      <c r="C293" s="2" t="s">
        <v>235</v>
      </c>
      <c r="D293" t="s">
        <v>639</v>
      </c>
      <c r="E293" s="4">
        <v>-173000</v>
      </c>
    </row>
    <row r="294" spans="1:5" x14ac:dyDescent="0.2">
      <c r="A294" s="5">
        <v>92320257</v>
      </c>
      <c r="B294" s="2" t="s">
        <v>527</v>
      </c>
      <c r="C294" s="2" t="s">
        <v>235</v>
      </c>
      <c r="D294" t="s">
        <v>643</v>
      </c>
      <c r="E294" s="4">
        <v>-132000</v>
      </c>
    </row>
    <row r="295" spans="1:5" x14ac:dyDescent="0.2">
      <c r="A295" s="5">
        <v>497</v>
      </c>
      <c r="B295" s="2" t="s">
        <v>528</v>
      </c>
      <c r="C295" s="2" t="s">
        <v>235</v>
      </c>
      <c r="D295" t="s">
        <v>643</v>
      </c>
      <c r="E295" s="4">
        <v>-336000</v>
      </c>
    </row>
    <row r="296" spans="1:5" x14ac:dyDescent="0.2">
      <c r="A296" s="5">
        <v>9037</v>
      </c>
      <c r="B296" s="2" t="s">
        <v>529</v>
      </c>
      <c r="C296" s="2" t="s">
        <v>235</v>
      </c>
      <c r="D296" t="s">
        <v>640</v>
      </c>
      <c r="E296" s="4">
        <v>-137000</v>
      </c>
    </row>
    <row r="297" spans="1:5" x14ac:dyDescent="0.2">
      <c r="A297" s="5">
        <v>38906965</v>
      </c>
      <c r="B297" s="2" t="s">
        <v>530</v>
      </c>
      <c r="C297" s="2" t="s">
        <v>235</v>
      </c>
      <c r="D297" t="s">
        <v>635</v>
      </c>
      <c r="E297" s="4">
        <v>180000</v>
      </c>
    </row>
    <row r="298" spans="1:5" x14ac:dyDescent="0.2">
      <c r="A298" s="5">
        <v>4</v>
      </c>
      <c r="B298" s="2" t="s">
        <v>531</v>
      </c>
      <c r="C298" s="2" t="s">
        <v>235</v>
      </c>
      <c r="D298" t="s">
        <v>643</v>
      </c>
      <c r="E298" s="4">
        <v>335000</v>
      </c>
    </row>
    <row r="299" spans="1:5" x14ac:dyDescent="0.2">
      <c r="A299" s="5">
        <v>20</v>
      </c>
      <c r="B299" s="2" t="s">
        <v>531</v>
      </c>
      <c r="C299" s="2" t="s">
        <v>235</v>
      </c>
      <c r="D299" t="s">
        <v>643</v>
      </c>
      <c r="E299" s="4">
        <v>396000</v>
      </c>
    </row>
    <row r="300" spans="1:5" x14ac:dyDescent="0.2">
      <c r="A300" s="5">
        <v>90962</v>
      </c>
      <c r="B300" s="2" t="s">
        <v>532</v>
      </c>
      <c r="C300" s="2" t="s">
        <v>238</v>
      </c>
      <c r="D300" t="s">
        <v>637</v>
      </c>
      <c r="E300" s="4">
        <v>403000</v>
      </c>
    </row>
    <row r="301" spans="1:5" x14ac:dyDescent="0.2">
      <c r="A301" s="5">
        <v>26</v>
      </c>
      <c r="B301" s="2" t="s">
        <v>533</v>
      </c>
      <c r="C301" s="2" t="s">
        <v>243</v>
      </c>
      <c r="D301" t="s">
        <v>638</v>
      </c>
      <c r="E301" s="4">
        <v>32000</v>
      </c>
    </row>
    <row r="302" spans="1:5" x14ac:dyDescent="0.2">
      <c r="A302" s="5">
        <v>13960806</v>
      </c>
      <c r="B302" s="2" t="s">
        <v>534</v>
      </c>
      <c r="C302" s="2" t="s">
        <v>245</v>
      </c>
      <c r="D302" t="s">
        <v>637</v>
      </c>
      <c r="E302" s="4">
        <v>-439000</v>
      </c>
    </row>
    <row r="303" spans="1:5" x14ac:dyDescent="0.2">
      <c r="A303" s="5">
        <v>4004754</v>
      </c>
      <c r="B303" s="2" t="s">
        <v>535</v>
      </c>
      <c r="C303" s="2" t="s">
        <v>235</v>
      </c>
      <c r="D303" t="s">
        <v>638</v>
      </c>
      <c r="E303" s="4">
        <v>-118000</v>
      </c>
    </row>
    <row r="304" spans="1:5" x14ac:dyDescent="0.2">
      <c r="A304" s="5">
        <v>753805</v>
      </c>
      <c r="B304" s="2" t="s">
        <v>536</v>
      </c>
      <c r="C304" s="2" t="s">
        <v>241</v>
      </c>
      <c r="D304" t="s">
        <v>638</v>
      </c>
      <c r="E304" s="4">
        <v>-452000</v>
      </c>
    </row>
    <row r="305" spans="1:5" x14ac:dyDescent="0.2">
      <c r="A305" s="5">
        <v>27076462</v>
      </c>
      <c r="B305" s="2" t="s">
        <v>537</v>
      </c>
      <c r="C305" s="2" t="s">
        <v>235</v>
      </c>
      <c r="D305" t="s">
        <v>643</v>
      </c>
      <c r="E305" s="4">
        <v>51000</v>
      </c>
    </row>
    <row r="306" spans="1:5" x14ac:dyDescent="0.2">
      <c r="A306" s="5">
        <v>6723074</v>
      </c>
      <c r="B306" s="2" t="s">
        <v>538</v>
      </c>
      <c r="C306" s="2" t="s">
        <v>235</v>
      </c>
      <c r="D306" t="s">
        <v>643</v>
      </c>
      <c r="E306" s="4">
        <v>344000</v>
      </c>
    </row>
    <row r="307" spans="1:5" x14ac:dyDescent="0.2">
      <c r="A307" s="5">
        <v>59</v>
      </c>
      <c r="B307" s="2" t="s">
        <v>539</v>
      </c>
      <c r="C307" s="2" t="s">
        <v>238</v>
      </c>
      <c r="D307" t="s">
        <v>636</v>
      </c>
      <c r="E307" s="4">
        <v>150000</v>
      </c>
    </row>
    <row r="308" spans="1:5" x14ac:dyDescent="0.2">
      <c r="A308" s="5">
        <v>78944070</v>
      </c>
      <c r="B308" s="2" t="s">
        <v>540</v>
      </c>
      <c r="C308" s="2" t="s">
        <v>235</v>
      </c>
      <c r="D308" t="s">
        <v>643</v>
      </c>
      <c r="E308" s="4">
        <v>-4000</v>
      </c>
    </row>
    <row r="309" spans="1:5" x14ac:dyDescent="0.2">
      <c r="A309" s="5">
        <v>54780</v>
      </c>
      <c r="B309" s="2" t="s">
        <v>541</v>
      </c>
      <c r="C309" s="2" t="s">
        <v>230</v>
      </c>
      <c r="D309" t="s">
        <v>637</v>
      </c>
      <c r="E309" s="4">
        <v>-402000</v>
      </c>
    </row>
    <row r="310" spans="1:5" x14ac:dyDescent="0.2">
      <c r="A310" s="5">
        <v>972</v>
      </c>
      <c r="B310" s="2" t="s">
        <v>542</v>
      </c>
      <c r="C310" s="2" t="s">
        <v>235</v>
      </c>
      <c r="D310" t="s">
        <v>637</v>
      </c>
      <c r="E310" s="4">
        <v>291000</v>
      </c>
    </row>
    <row r="311" spans="1:5" x14ac:dyDescent="0.2">
      <c r="A311" s="5">
        <v>662</v>
      </c>
      <c r="B311" s="2" t="s">
        <v>543</v>
      </c>
      <c r="C311" s="2" t="s">
        <v>235</v>
      </c>
      <c r="D311" t="s">
        <v>643</v>
      </c>
      <c r="E311" s="4">
        <v>204000</v>
      </c>
    </row>
    <row r="312" spans="1:5" x14ac:dyDescent="0.2">
      <c r="A312" s="5">
        <v>91327243</v>
      </c>
      <c r="B312" s="2" t="s">
        <v>544</v>
      </c>
      <c r="C312" s="2" t="s">
        <v>235</v>
      </c>
      <c r="D312" t="s">
        <v>635</v>
      </c>
      <c r="E312" s="4">
        <v>157000</v>
      </c>
    </row>
    <row r="313" spans="1:5" x14ac:dyDescent="0.2">
      <c r="A313" s="5">
        <v>516095</v>
      </c>
      <c r="B313" s="2" t="s">
        <v>545</v>
      </c>
      <c r="C313" s="2" t="s">
        <v>235</v>
      </c>
      <c r="D313" t="s">
        <v>636</v>
      </c>
      <c r="E313" s="4">
        <v>-77000</v>
      </c>
    </row>
    <row r="314" spans="1:5" x14ac:dyDescent="0.2">
      <c r="A314" s="5">
        <v>2765154</v>
      </c>
      <c r="B314" s="2" t="s">
        <v>546</v>
      </c>
      <c r="C314" s="2" t="s">
        <v>235</v>
      </c>
      <c r="D314" t="s">
        <v>639</v>
      </c>
      <c r="E314" s="4">
        <v>-282000</v>
      </c>
    </row>
    <row r="315" spans="1:5" x14ac:dyDescent="0.2">
      <c r="A315" s="5">
        <v>3881614</v>
      </c>
      <c r="B315" s="2" t="s">
        <v>547</v>
      </c>
      <c r="C315" s="2" t="s">
        <v>245</v>
      </c>
      <c r="D315" t="s">
        <v>637</v>
      </c>
      <c r="E315" s="4">
        <v>-176000</v>
      </c>
    </row>
    <row r="316" spans="1:5" x14ac:dyDescent="0.2">
      <c r="A316" s="5">
        <v>79476220</v>
      </c>
      <c r="B316" s="2" t="s">
        <v>548</v>
      </c>
      <c r="C316" s="2" t="s">
        <v>230</v>
      </c>
      <c r="D316" t="s">
        <v>640</v>
      </c>
      <c r="E316" s="4">
        <v>-38000</v>
      </c>
    </row>
    <row r="317" spans="1:5" x14ac:dyDescent="0.2">
      <c r="A317" s="5">
        <v>37706</v>
      </c>
      <c r="B317" s="2" t="s">
        <v>549</v>
      </c>
      <c r="C317" s="2" t="s">
        <v>238</v>
      </c>
      <c r="D317" t="s">
        <v>643</v>
      </c>
      <c r="E317" s="4">
        <v>220000</v>
      </c>
    </row>
    <row r="318" spans="1:5" x14ac:dyDescent="0.2">
      <c r="A318" s="5">
        <v>826714</v>
      </c>
      <c r="B318" s="2" t="s">
        <v>550</v>
      </c>
      <c r="C318" s="2" t="s">
        <v>235</v>
      </c>
      <c r="D318" t="s">
        <v>638</v>
      </c>
      <c r="E318" s="4">
        <v>-481000</v>
      </c>
    </row>
    <row r="319" spans="1:5" x14ac:dyDescent="0.2">
      <c r="A319" s="5">
        <v>572025</v>
      </c>
      <c r="B319" s="2" t="s">
        <v>551</v>
      </c>
      <c r="C319" s="2" t="s">
        <v>243</v>
      </c>
      <c r="D319" t="s">
        <v>635</v>
      </c>
      <c r="E319" s="4">
        <v>-263000</v>
      </c>
    </row>
    <row r="320" spans="1:5" x14ac:dyDescent="0.2">
      <c r="A320" s="5">
        <v>80138</v>
      </c>
      <c r="B320" s="2" t="s">
        <v>552</v>
      </c>
      <c r="C320" s="2" t="s">
        <v>235</v>
      </c>
      <c r="D320" t="s">
        <v>639</v>
      </c>
      <c r="E320" s="4">
        <v>-162000</v>
      </c>
    </row>
    <row r="321" spans="1:5" x14ac:dyDescent="0.2">
      <c r="A321" s="5">
        <v>91414</v>
      </c>
      <c r="B321" s="2" t="s">
        <v>553</v>
      </c>
      <c r="C321" s="2" t="s">
        <v>235</v>
      </c>
      <c r="D321" t="s">
        <v>636</v>
      </c>
      <c r="E321" s="4">
        <v>283000</v>
      </c>
    </row>
    <row r="322" spans="1:5" x14ac:dyDescent="0.2">
      <c r="A322" s="5">
        <v>54</v>
      </c>
      <c r="B322" s="2" t="s">
        <v>554</v>
      </c>
      <c r="C322" s="2" t="s">
        <v>241</v>
      </c>
      <c r="D322" t="s">
        <v>635</v>
      </c>
      <c r="E322" s="4">
        <v>288000</v>
      </c>
    </row>
    <row r="323" spans="1:5" x14ac:dyDescent="0.2">
      <c r="A323" s="5">
        <v>301</v>
      </c>
      <c r="B323" s="2" t="s">
        <v>555</v>
      </c>
      <c r="C323" s="2" t="s">
        <v>249</v>
      </c>
      <c r="D323" t="s">
        <v>638</v>
      </c>
      <c r="E323" s="4">
        <v>113000</v>
      </c>
    </row>
    <row r="324" spans="1:5" x14ac:dyDescent="0.2">
      <c r="A324" s="5">
        <v>95360283</v>
      </c>
      <c r="B324" s="2" t="s">
        <v>556</v>
      </c>
      <c r="C324" s="2" t="s">
        <v>235</v>
      </c>
      <c r="D324" t="s">
        <v>643</v>
      </c>
      <c r="E324" s="4">
        <v>401000</v>
      </c>
    </row>
    <row r="325" spans="1:5" x14ac:dyDescent="0.2">
      <c r="A325" s="5">
        <v>27</v>
      </c>
      <c r="B325" s="2" t="s">
        <v>557</v>
      </c>
      <c r="C325" s="2" t="s">
        <v>230</v>
      </c>
      <c r="D325" t="s">
        <v>637</v>
      </c>
      <c r="E325" s="4">
        <v>239000</v>
      </c>
    </row>
    <row r="326" spans="1:5" x14ac:dyDescent="0.2">
      <c r="A326" s="5">
        <v>75489043</v>
      </c>
      <c r="B326" s="2" t="s">
        <v>558</v>
      </c>
      <c r="C326" s="2" t="s">
        <v>238</v>
      </c>
      <c r="D326" t="s">
        <v>643</v>
      </c>
      <c r="E326" s="4">
        <v>210000</v>
      </c>
    </row>
    <row r="327" spans="1:5" x14ac:dyDescent="0.2">
      <c r="A327" s="5">
        <v>125034</v>
      </c>
      <c r="B327" s="2" t="s">
        <v>559</v>
      </c>
      <c r="C327" s="2" t="s">
        <v>235</v>
      </c>
      <c r="D327" t="s">
        <v>643</v>
      </c>
      <c r="E327" s="4">
        <v>452000</v>
      </c>
    </row>
    <row r="328" spans="1:5" x14ac:dyDescent="0.2">
      <c r="A328" s="5">
        <v>370893</v>
      </c>
      <c r="B328" s="2" t="s">
        <v>560</v>
      </c>
      <c r="C328" s="2" t="s">
        <v>235</v>
      </c>
      <c r="D328" t="s">
        <v>638</v>
      </c>
      <c r="E328" s="4">
        <v>-220000</v>
      </c>
    </row>
    <row r="329" spans="1:5" x14ac:dyDescent="0.2">
      <c r="A329" s="5">
        <v>484073</v>
      </c>
      <c r="B329" s="2" t="s">
        <v>561</v>
      </c>
      <c r="C329" s="2" t="s">
        <v>251</v>
      </c>
      <c r="D329" t="s">
        <v>643</v>
      </c>
      <c r="E329" s="4">
        <v>-486000</v>
      </c>
    </row>
    <row r="330" spans="1:5" x14ac:dyDescent="0.2">
      <c r="A330" s="5">
        <v>58333032</v>
      </c>
      <c r="B330" s="2" t="s">
        <v>562</v>
      </c>
      <c r="C330" s="2" t="s">
        <v>235</v>
      </c>
      <c r="D330" t="s">
        <v>642</v>
      </c>
      <c r="E330" s="4">
        <v>322000</v>
      </c>
    </row>
    <row r="331" spans="1:5" x14ac:dyDescent="0.2">
      <c r="A331" s="5">
        <v>6834377</v>
      </c>
      <c r="B331" s="2" t="s">
        <v>563</v>
      </c>
      <c r="C331" s="2" t="s">
        <v>235</v>
      </c>
      <c r="D331" t="s">
        <v>642</v>
      </c>
      <c r="E331" s="4">
        <v>-174000</v>
      </c>
    </row>
    <row r="332" spans="1:5" x14ac:dyDescent="0.2">
      <c r="A332" s="5">
        <v>2602931</v>
      </c>
      <c r="B332" s="2" t="s">
        <v>564</v>
      </c>
      <c r="C332" s="2" t="s">
        <v>235</v>
      </c>
      <c r="D332" t="s">
        <v>639</v>
      </c>
      <c r="E332" s="4">
        <v>-148000</v>
      </c>
    </row>
    <row r="333" spans="1:5" x14ac:dyDescent="0.2">
      <c r="A333" s="5">
        <v>7385</v>
      </c>
      <c r="B333" s="2" t="s">
        <v>565</v>
      </c>
      <c r="C333" s="2" t="s">
        <v>235</v>
      </c>
      <c r="D333" t="s">
        <v>642</v>
      </c>
      <c r="E333" s="4">
        <v>-312000</v>
      </c>
    </row>
    <row r="334" spans="1:5" x14ac:dyDescent="0.2">
      <c r="A334" s="5">
        <v>47805922</v>
      </c>
      <c r="B334" s="2" t="s">
        <v>566</v>
      </c>
      <c r="C334" s="2" t="s">
        <v>243</v>
      </c>
      <c r="D334" t="s">
        <v>642</v>
      </c>
      <c r="E334" s="4">
        <v>-62000</v>
      </c>
    </row>
    <row r="335" spans="1:5" x14ac:dyDescent="0.2">
      <c r="A335" s="5">
        <v>276</v>
      </c>
      <c r="B335" s="2" t="s">
        <v>567</v>
      </c>
      <c r="C335" s="2" t="s">
        <v>241</v>
      </c>
      <c r="D335" t="s">
        <v>639</v>
      </c>
      <c r="E335" s="4">
        <v>335000</v>
      </c>
    </row>
    <row r="336" spans="1:5" x14ac:dyDescent="0.2">
      <c r="A336" s="5">
        <v>80104779</v>
      </c>
      <c r="B336" s="2" t="s">
        <v>568</v>
      </c>
      <c r="C336" s="2" t="s">
        <v>235</v>
      </c>
      <c r="D336" t="s">
        <v>639</v>
      </c>
      <c r="E336" s="4">
        <v>-18000</v>
      </c>
    </row>
    <row r="337" spans="1:5" x14ac:dyDescent="0.2">
      <c r="A337" s="5">
        <v>4849</v>
      </c>
      <c r="B337" s="2" t="s">
        <v>569</v>
      </c>
      <c r="C337" s="2" t="s">
        <v>235</v>
      </c>
      <c r="D337" t="s">
        <v>643</v>
      </c>
      <c r="E337" s="4">
        <v>392000</v>
      </c>
    </row>
    <row r="338" spans="1:5" x14ac:dyDescent="0.2">
      <c r="A338" s="5">
        <v>125629</v>
      </c>
      <c r="B338" s="2" t="s">
        <v>570</v>
      </c>
      <c r="C338" s="2" t="s">
        <v>235</v>
      </c>
      <c r="D338" t="s">
        <v>636</v>
      </c>
      <c r="E338" s="4">
        <v>-198000</v>
      </c>
    </row>
    <row r="339" spans="1:5" x14ac:dyDescent="0.2">
      <c r="A339" s="5">
        <v>38</v>
      </c>
      <c r="B339" s="2" t="s">
        <v>571</v>
      </c>
      <c r="C339" s="2" t="s">
        <v>241</v>
      </c>
      <c r="D339" t="s">
        <v>639</v>
      </c>
      <c r="E339" s="4">
        <v>268000</v>
      </c>
    </row>
    <row r="340" spans="1:5" x14ac:dyDescent="0.2">
      <c r="A340" s="5">
        <v>99</v>
      </c>
      <c r="B340" s="2" t="s">
        <v>572</v>
      </c>
      <c r="C340" s="2" t="s">
        <v>251</v>
      </c>
      <c r="D340" t="s">
        <v>635</v>
      </c>
      <c r="E340" s="4">
        <v>476000</v>
      </c>
    </row>
    <row r="341" spans="1:5" x14ac:dyDescent="0.2">
      <c r="A341" s="5">
        <v>299</v>
      </c>
      <c r="B341" s="2" t="s">
        <v>573</v>
      </c>
      <c r="C341" s="2" t="s">
        <v>235</v>
      </c>
      <c r="D341" t="s">
        <v>635</v>
      </c>
      <c r="E341" s="4">
        <v>-224000</v>
      </c>
    </row>
    <row r="342" spans="1:5" x14ac:dyDescent="0.2">
      <c r="A342" s="5">
        <v>20194791</v>
      </c>
      <c r="B342" s="2" t="s">
        <v>574</v>
      </c>
      <c r="C342" s="2" t="s">
        <v>235</v>
      </c>
      <c r="D342" t="s">
        <v>643</v>
      </c>
      <c r="E342" s="4">
        <v>-72000</v>
      </c>
    </row>
    <row r="343" spans="1:5" x14ac:dyDescent="0.2">
      <c r="A343" s="5">
        <v>971</v>
      </c>
      <c r="B343" s="2" t="s">
        <v>575</v>
      </c>
      <c r="C343" s="2" t="s">
        <v>241</v>
      </c>
      <c r="D343" t="s">
        <v>637</v>
      </c>
      <c r="E343" s="4">
        <v>239000</v>
      </c>
    </row>
    <row r="344" spans="1:5" x14ac:dyDescent="0.2">
      <c r="A344" s="5">
        <v>7558475</v>
      </c>
      <c r="B344" s="2" t="s">
        <v>576</v>
      </c>
      <c r="C344" s="2" t="s">
        <v>235</v>
      </c>
      <c r="D344" t="s">
        <v>640</v>
      </c>
      <c r="E344" s="4">
        <v>99000</v>
      </c>
    </row>
    <row r="345" spans="1:5" x14ac:dyDescent="0.2">
      <c r="A345" s="5">
        <v>5488</v>
      </c>
      <c r="B345" s="2" t="s">
        <v>577</v>
      </c>
      <c r="C345" s="2" t="s">
        <v>241</v>
      </c>
      <c r="D345" t="s">
        <v>636</v>
      </c>
      <c r="E345" s="4">
        <v>-306000</v>
      </c>
    </row>
    <row r="346" spans="1:5" x14ac:dyDescent="0.2">
      <c r="A346" s="5">
        <v>798</v>
      </c>
      <c r="B346" s="2" t="s">
        <v>578</v>
      </c>
      <c r="C346" s="2" t="s">
        <v>235</v>
      </c>
      <c r="D346" t="s">
        <v>643</v>
      </c>
      <c r="E346" s="4">
        <v>-316000</v>
      </c>
    </row>
    <row r="347" spans="1:5" x14ac:dyDescent="0.2">
      <c r="A347" s="5">
        <v>880</v>
      </c>
      <c r="B347" s="2" t="s">
        <v>579</v>
      </c>
      <c r="C347" s="2" t="s">
        <v>238</v>
      </c>
      <c r="D347" t="s">
        <v>636</v>
      </c>
      <c r="E347" s="4">
        <v>35000</v>
      </c>
    </row>
    <row r="348" spans="1:5" x14ac:dyDescent="0.2">
      <c r="A348" s="5">
        <v>530</v>
      </c>
      <c r="B348" s="2" t="s">
        <v>580</v>
      </c>
      <c r="C348" s="2" t="s">
        <v>235</v>
      </c>
      <c r="D348" t="s">
        <v>638</v>
      </c>
      <c r="E348" s="4">
        <v>-181000</v>
      </c>
    </row>
    <row r="349" spans="1:5" x14ac:dyDescent="0.2">
      <c r="A349" s="5">
        <v>44982022</v>
      </c>
      <c r="B349" s="2" t="s">
        <v>581</v>
      </c>
      <c r="C349" s="2" t="s">
        <v>228</v>
      </c>
      <c r="D349" t="s">
        <v>638</v>
      </c>
      <c r="E349" s="4">
        <v>217000</v>
      </c>
    </row>
    <row r="350" spans="1:5" x14ac:dyDescent="0.2">
      <c r="A350" s="5">
        <v>72938</v>
      </c>
      <c r="B350" s="2" t="s">
        <v>582</v>
      </c>
      <c r="C350" s="2" t="s">
        <v>235</v>
      </c>
      <c r="D350" t="s">
        <v>636</v>
      </c>
      <c r="E350" s="4">
        <v>-371000</v>
      </c>
    </row>
    <row r="351" spans="1:5" x14ac:dyDescent="0.2">
      <c r="A351" s="5">
        <v>4148</v>
      </c>
      <c r="B351" s="2" t="s">
        <v>583</v>
      </c>
      <c r="C351" s="2" t="s">
        <v>238</v>
      </c>
      <c r="D351" t="s">
        <v>643</v>
      </c>
      <c r="E351" s="4">
        <v>368000</v>
      </c>
    </row>
    <row r="352" spans="1:5" x14ac:dyDescent="0.2">
      <c r="A352" s="5">
        <v>487</v>
      </c>
      <c r="B352" s="2" t="s">
        <v>584</v>
      </c>
      <c r="C352" s="2" t="s">
        <v>235</v>
      </c>
      <c r="D352" t="s">
        <v>636</v>
      </c>
      <c r="E352" s="4">
        <v>339000</v>
      </c>
    </row>
    <row r="353" spans="1:8" x14ac:dyDescent="0.2">
      <c r="A353" s="5">
        <v>50782119</v>
      </c>
      <c r="B353" s="2" t="s">
        <v>585</v>
      </c>
      <c r="C353" s="2" t="s">
        <v>243</v>
      </c>
      <c r="D353" t="s">
        <v>643</v>
      </c>
      <c r="E353" s="4">
        <v>-261000</v>
      </c>
    </row>
    <row r="354" spans="1:8" x14ac:dyDescent="0.2">
      <c r="A354" s="5">
        <v>9</v>
      </c>
      <c r="B354" s="2" t="s">
        <v>586</v>
      </c>
      <c r="C354" s="2" t="s">
        <v>243</v>
      </c>
      <c r="D354" t="s">
        <v>637</v>
      </c>
      <c r="E354" s="4">
        <v>-155000</v>
      </c>
    </row>
    <row r="355" spans="1:8" x14ac:dyDescent="0.2">
      <c r="A355" s="5">
        <v>14136</v>
      </c>
      <c r="B355" s="2" t="s">
        <v>587</v>
      </c>
      <c r="C355" s="2" t="s">
        <v>243</v>
      </c>
      <c r="D355" t="s">
        <v>643</v>
      </c>
      <c r="E355" s="4">
        <v>299000</v>
      </c>
    </row>
    <row r="356" spans="1:8" x14ac:dyDescent="0.2">
      <c r="A356" s="5">
        <v>91275989</v>
      </c>
      <c r="B356" s="2" t="s">
        <v>588</v>
      </c>
      <c r="C356" s="2" t="s">
        <v>235</v>
      </c>
      <c r="D356" t="s">
        <v>638</v>
      </c>
      <c r="E356" s="4">
        <v>477000</v>
      </c>
    </row>
    <row r="357" spans="1:8" x14ac:dyDescent="0.2">
      <c r="A357" s="5">
        <v>34061779</v>
      </c>
      <c r="B357" s="2" t="s">
        <v>589</v>
      </c>
      <c r="C357" s="2" t="s">
        <v>235</v>
      </c>
      <c r="D357" t="s">
        <v>636</v>
      </c>
      <c r="E357" s="4">
        <v>384000</v>
      </c>
    </row>
    <row r="358" spans="1:8" x14ac:dyDescent="0.2">
      <c r="A358" s="5">
        <v>79</v>
      </c>
      <c r="B358" s="2" t="s">
        <v>590</v>
      </c>
      <c r="C358" s="2" t="s">
        <v>235</v>
      </c>
      <c r="D358" t="s">
        <v>643</v>
      </c>
      <c r="E358" s="4">
        <v>-238000</v>
      </c>
    </row>
    <row r="359" spans="1:8" x14ac:dyDescent="0.2">
      <c r="A359" s="5">
        <v>372</v>
      </c>
      <c r="B359" s="2" t="s">
        <v>591</v>
      </c>
      <c r="C359" s="2" t="s">
        <v>251</v>
      </c>
      <c r="D359" t="s">
        <v>637</v>
      </c>
      <c r="E359" s="4">
        <v>210000</v>
      </c>
    </row>
    <row r="360" spans="1:8" x14ac:dyDescent="0.2">
      <c r="A360" s="5">
        <v>8</v>
      </c>
      <c r="B360" s="2" t="s">
        <v>592</v>
      </c>
      <c r="C360" s="2" t="s">
        <v>235</v>
      </c>
      <c r="D360" t="s">
        <v>643</v>
      </c>
      <c r="E360" s="4">
        <v>-22000</v>
      </c>
    </row>
    <row r="361" spans="1:8" x14ac:dyDescent="0.2">
      <c r="A361" s="5">
        <v>32000</v>
      </c>
      <c r="B361" s="2" t="s">
        <v>593</v>
      </c>
      <c r="C361" s="2" t="s">
        <v>235</v>
      </c>
      <c r="D361" t="s">
        <v>638</v>
      </c>
      <c r="E361" s="4">
        <v>68000</v>
      </c>
    </row>
    <row r="362" spans="1:8" x14ac:dyDescent="0.2">
      <c r="A362" s="5">
        <v>75057713</v>
      </c>
      <c r="B362" s="2" t="s">
        <v>594</v>
      </c>
      <c r="C362" s="2" t="s">
        <v>251</v>
      </c>
      <c r="D362" t="s">
        <v>635</v>
      </c>
      <c r="E362" s="4">
        <v>22000</v>
      </c>
    </row>
    <row r="363" spans="1:8" x14ac:dyDescent="0.2">
      <c r="A363" s="5">
        <v>5679313</v>
      </c>
      <c r="B363" s="2" t="s">
        <v>595</v>
      </c>
      <c r="C363" s="2" t="s">
        <v>249</v>
      </c>
      <c r="D363" t="s">
        <v>643</v>
      </c>
      <c r="E363" s="4">
        <v>191000</v>
      </c>
    </row>
    <row r="364" spans="1:8" x14ac:dyDescent="0.2">
      <c r="A364" s="5">
        <v>77134361</v>
      </c>
      <c r="B364" s="2" t="s">
        <v>596</v>
      </c>
      <c r="C364" s="2" t="s">
        <v>249</v>
      </c>
      <c r="D364" t="s">
        <v>637</v>
      </c>
      <c r="E364" s="4">
        <v>-118000</v>
      </c>
    </row>
    <row r="365" spans="1:8" x14ac:dyDescent="0.2">
      <c r="A365" s="5">
        <v>4019637</v>
      </c>
      <c r="B365" s="2" t="s">
        <v>597</v>
      </c>
      <c r="C365" s="2" t="s">
        <v>235</v>
      </c>
      <c r="D365" t="s">
        <v>638</v>
      </c>
      <c r="E365" s="4">
        <v>204000</v>
      </c>
    </row>
    <row r="366" spans="1:8" x14ac:dyDescent="0.2">
      <c r="A366" s="5">
        <v>1822983</v>
      </c>
      <c r="B366" s="2" t="s">
        <v>598</v>
      </c>
      <c r="C366" s="2" t="s">
        <v>251</v>
      </c>
      <c r="D366" t="s">
        <v>638</v>
      </c>
      <c r="E366" s="4">
        <v>106000</v>
      </c>
    </row>
    <row r="367" spans="1:8" x14ac:dyDescent="0.2">
      <c r="A367" s="5">
        <v>43</v>
      </c>
      <c r="B367" s="2" t="s">
        <v>599</v>
      </c>
      <c r="C367" s="2" t="s">
        <v>235</v>
      </c>
      <c r="D367" t="s">
        <v>636</v>
      </c>
      <c r="E367" s="4">
        <v>217000</v>
      </c>
    </row>
    <row r="368" spans="1:8" x14ac:dyDescent="0.2">
      <c r="A368" s="5">
        <v>392643</v>
      </c>
      <c r="B368" s="2" t="s">
        <v>600</v>
      </c>
      <c r="C368" s="2" t="s">
        <v>241</v>
      </c>
      <c r="D368" t="s">
        <v>638</v>
      </c>
      <c r="E368" s="4">
        <v>-101000</v>
      </c>
      <c r="H368" t="s">
        <v>648</v>
      </c>
    </row>
    <row r="369" spans="1:5" x14ac:dyDescent="0.2">
      <c r="A369" s="5">
        <v>29055093</v>
      </c>
      <c r="B369" s="2" t="s">
        <v>601</v>
      </c>
      <c r="C369" s="2" t="s">
        <v>235</v>
      </c>
      <c r="D369" t="s">
        <v>637</v>
      </c>
      <c r="E369" s="4">
        <v>171000</v>
      </c>
    </row>
    <row r="370" spans="1:5" x14ac:dyDescent="0.2">
      <c r="A370" s="5">
        <v>92320652</v>
      </c>
      <c r="B370" s="2" t="s">
        <v>602</v>
      </c>
      <c r="C370" s="2" t="s">
        <v>235</v>
      </c>
      <c r="D370" t="s">
        <v>637</v>
      </c>
      <c r="E370" s="4">
        <v>106000</v>
      </c>
    </row>
    <row r="371" spans="1:5" x14ac:dyDescent="0.2">
      <c r="A371" s="5">
        <v>57425327</v>
      </c>
      <c r="B371" s="2" t="s">
        <v>603</v>
      </c>
      <c r="C371" s="2" t="s">
        <v>228</v>
      </c>
      <c r="D371" t="s">
        <v>636</v>
      </c>
      <c r="E371" s="4">
        <v>324000</v>
      </c>
    </row>
    <row r="372" spans="1:5" x14ac:dyDescent="0.2">
      <c r="A372" s="5">
        <v>6140</v>
      </c>
      <c r="B372" s="2" t="s">
        <v>604</v>
      </c>
      <c r="C372" s="2" t="s">
        <v>235</v>
      </c>
      <c r="D372" t="s">
        <v>636</v>
      </c>
      <c r="E372" s="4">
        <v>-144000</v>
      </c>
    </row>
    <row r="373" spans="1:5" x14ac:dyDescent="0.2">
      <c r="A373" s="5">
        <v>67027627</v>
      </c>
      <c r="B373" s="2" t="s">
        <v>605</v>
      </c>
      <c r="C373" s="2" t="s">
        <v>235</v>
      </c>
      <c r="D373" t="s">
        <v>637</v>
      </c>
      <c r="E373" s="4">
        <v>245000</v>
      </c>
    </row>
    <row r="374" spans="1:5" x14ac:dyDescent="0.2">
      <c r="A374" s="5">
        <v>6644</v>
      </c>
      <c r="B374" s="2" t="s">
        <v>606</v>
      </c>
      <c r="C374" s="2" t="s">
        <v>235</v>
      </c>
      <c r="D374" t="s">
        <v>643</v>
      </c>
      <c r="E374" s="4">
        <v>-97000</v>
      </c>
    </row>
    <row r="375" spans="1:5" x14ac:dyDescent="0.2">
      <c r="A375" s="5">
        <v>7709</v>
      </c>
      <c r="B375" s="2" t="s">
        <v>607</v>
      </c>
      <c r="C375" s="2" t="s">
        <v>235</v>
      </c>
      <c r="D375" t="s">
        <v>637</v>
      </c>
      <c r="E375" s="4">
        <v>439000</v>
      </c>
    </row>
    <row r="376" spans="1:5" x14ac:dyDescent="0.2">
      <c r="A376" s="5">
        <v>57</v>
      </c>
      <c r="B376" s="2" t="s">
        <v>608</v>
      </c>
      <c r="C376" s="2" t="s">
        <v>243</v>
      </c>
      <c r="D376" t="s">
        <v>639</v>
      </c>
      <c r="E376" s="4">
        <v>176000</v>
      </c>
    </row>
    <row r="377" spans="1:5" x14ac:dyDescent="0.2">
      <c r="A377" s="5">
        <v>76035</v>
      </c>
      <c r="B377" s="2" t="s">
        <v>609</v>
      </c>
      <c r="C377" s="2" t="s">
        <v>235</v>
      </c>
      <c r="D377" t="s">
        <v>639</v>
      </c>
      <c r="E377" s="4">
        <v>-193000</v>
      </c>
    </row>
    <row r="378" spans="1:5" x14ac:dyDescent="0.2">
      <c r="A378" s="5">
        <v>1330</v>
      </c>
      <c r="B378" s="2" t="s">
        <v>610</v>
      </c>
      <c r="C378" s="2" t="s">
        <v>245</v>
      </c>
      <c r="D378" t="s">
        <v>638</v>
      </c>
      <c r="E378" s="4">
        <v>-270000</v>
      </c>
    </row>
    <row r="379" spans="1:5" x14ac:dyDescent="0.2">
      <c r="A379" s="5">
        <v>5945900</v>
      </c>
      <c r="B379" s="2" t="s">
        <v>611</v>
      </c>
      <c r="C379" s="2" t="s">
        <v>235</v>
      </c>
      <c r="D379" t="s">
        <v>635</v>
      </c>
      <c r="E379" s="4">
        <v>277000</v>
      </c>
    </row>
    <row r="380" spans="1:5" x14ac:dyDescent="0.2">
      <c r="A380" s="5">
        <v>767</v>
      </c>
      <c r="B380" s="2" t="s">
        <v>612</v>
      </c>
      <c r="C380" s="2" t="s">
        <v>245</v>
      </c>
      <c r="D380" t="s">
        <v>636</v>
      </c>
      <c r="E380" s="4">
        <v>-324000</v>
      </c>
    </row>
    <row r="381" spans="1:5" x14ac:dyDescent="0.2">
      <c r="A381" s="5">
        <v>563087</v>
      </c>
      <c r="B381" s="2" t="s">
        <v>613</v>
      </c>
      <c r="C381" s="2" t="s">
        <v>235</v>
      </c>
      <c r="D381" t="s">
        <v>638</v>
      </c>
      <c r="E381" s="4">
        <v>81000</v>
      </c>
    </row>
    <row r="382" spans="1:5" x14ac:dyDescent="0.2">
      <c r="A382" s="5">
        <v>778516</v>
      </c>
      <c r="B382" s="2" t="s">
        <v>614</v>
      </c>
      <c r="C382" s="2" t="s">
        <v>238</v>
      </c>
      <c r="D382" t="s">
        <v>635</v>
      </c>
      <c r="E382" s="4">
        <v>219000</v>
      </c>
    </row>
    <row r="383" spans="1:5" x14ac:dyDescent="0.2">
      <c r="A383" s="5">
        <v>1999</v>
      </c>
      <c r="B383" s="2" t="s">
        <v>615</v>
      </c>
      <c r="C383" s="2" t="s">
        <v>235</v>
      </c>
      <c r="D383" t="s">
        <v>643</v>
      </c>
      <c r="E383" s="4">
        <v>215000</v>
      </c>
    </row>
    <row r="384" spans="1:5" x14ac:dyDescent="0.2">
      <c r="A384" s="5">
        <v>80042</v>
      </c>
      <c r="B384" s="2" t="s">
        <v>616</v>
      </c>
      <c r="C384" s="2" t="s">
        <v>241</v>
      </c>
      <c r="D384" t="s">
        <v>643</v>
      </c>
      <c r="E384" s="4">
        <v>54000</v>
      </c>
    </row>
    <row r="385" spans="1:5" x14ac:dyDescent="0.2">
      <c r="A385" s="5">
        <v>45</v>
      </c>
      <c r="B385" s="2" t="s">
        <v>617</v>
      </c>
      <c r="C385" s="2" t="s">
        <v>228</v>
      </c>
      <c r="D385" t="s">
        <v>638</v>
      </c>
      <c r="E385" s="4">
        <v>317000</v>
      </c>
    </row>
    <row r="386" spans="1:5" x14ac:dyDescent="0.2">
      <c r="A386" s="5">
        <v>7889821</v>
      </c>
      <c r="B386" s="2" t="s">
        <v>618</v>
      </c>
      <c r="C386" s="2" t="s">
        <v>228</v>
      </c>
      <c r="D386" t="s">
        <v>638</v>
      </c>
      <c r="E386" s="4">
        <v>357000</v>
      </c>
    </row>
    <row r="387" spans="1:5" x14ac:dyDescent="0.2">
      <c r="A387" s="5">
        <v>268</v>
      </c>
      <c r="B387" s="2" t="s">
        <v>619</v>
      </c>
      <c r="C387" s="2" t="s">
        <v>235</v>
      </c>
      <c r="D387" t="s">
        <v>640</v>
      </c>
      <c r="E387" s="4">
        <v>-347000</v>
      </c>
    </row>
    <row r="388" spans="1:5" x14ac:dyDescent="0.2">
      <c r="A388" s="5">
        <v>7391965</v>
      </c>
      <c r="B388" s="2" t="s">
        <v>620</v>
      </c>
      <c r="C388" s="2" t="s">
        <v>235</v>
      </c>
      <c r="D388" t="s">
        <v>643</v>
      </c>
      <c r="E388" s="4">
        <v>182000</v>
      </c>
    </row>
    <row r="389" spans="1:5" x14ac:dyDescent="0.2">
      <c r="A389" s="5">
        <v>7738528</v>
      </c>
      <c r="B389" s="2" t="s">
        <v>621</v>
      </c>
      <c r="C389" s="2" t="s">
        <v>235</v>
      </c>
      <c r="D389" t="s">
        <v>636</v>
      </c>
      <c r="E389" s="4">
        <v>-41000</v>
      </c>
    </row>
    <row r="390" spans="1:5" x14ac:dyDescent="0.2">
      <c r="A390" s="5">
        <v>90065899</v>
      </c>
      <c r="B390" s="2" t="s">
        <v>622</v>
      </c>
      <c r="C390" s="2" t="s">
        <v>241</v>
      </c>
      <c r="D390" t="s">
        <v>642</v>
      </c>
      <c r="E390" s="4">
        <v>8000</v>
      </c>
    </row>
    <row r="391" spans="1:5" x14ac:dyDescent="0.2">
      <c r="A391" s="5">
        <v>8354757</v>
      </c>
      <c r="B391" s="2" t="s">
        <v>623</v>
      </c>
      <c r="C391" s="2" t="s">
        <v>235</v>
      </c>
      <c r="D391" t="s">
        <v>636</v>
      </c>
      <c r="E391" s="4">
        <v>-87000</v>
      </c>
    </row>
    <row r="392" spans="1:5" x14ac:dyDescent="0.2">
      <c r="A392" s="5">
        <v>135055</v>
      </c>
      <c r="B392" s="2" t="s">
        <v>624</v>
      </c>
      <c r="C392" s="2" t="s">
        <v>235</v>
      </c>
      <c r="D392" t="s">
        <v>640</v>
      </c>
      <c r="E392" s="4">
        <v>430000</v>
      </c>
    </row>
    <row r="393" spans="1:5" x14ac:dyDescent="0.2">
      <c r="A393" s="5">
        <v>7854521</v>
      </c>
      <c r="B393" s="2" t="s">
        <v>625</v>
      </c>
      <c r="C393" s="2" t="s">
        <v>245</v>
      </c>
      <c r="D393" t="s">
        <v>643</v>
      </c>
      <c r="E393" s="4">
        <v>-121000</v>
      </c>
    </row>
    <row r="394" spans="1:5" x14ac:dyDescent="0.2">
      <c r="A394" s="5">
        <v>7683</v>
      </c>
      <c r="B394" s="2" t="s">
        <v>626</v>
      </c>
      <c r="C394" s="2" t="s">
        <v>249</v>
      </c>
      <c r="D394" t="s">
        <v>639</v>
      </c>
      <c r="E394" s="4">
        <v>-275000</v>
      </c>
    </row>
    <row r="395" spans="1:5" x14ac:dyDescent="0.2">
      <c r="A395" s="5">
        <v>762234</v>
      </c>
      <c r="B395" s="2" t="s">
        <v>627</v>
      </c>
      <c r="C395" s="2" t="s">
        <v>235</v>
      </c>
      <c r="D395" t="s">
        <v>640</v>
      </c>
      <c r="E395" s="4">
        <v>432000</v>
      </c>
    </row>
    <row r="396" spans="1:5" x14ac:dyDescent="0.2">
      <c r="A396" s="5">
        <v>627</v>
      </c>
      <c r="B396" s="2" t="s">
        <v>628</v>
      </c>
      <c r="C396" s="2" t="s">
        <v>235</v>
      </c>
      <c r="D396" t="s">
        <v>643</v>
      </c>
      <c r="E396" s="4">
        <v>68000</v>
      </c>
    </row>
    <row r="397" spans="1:5" x14ac:dyDescent="0.2">
      <c r="A397" s="5">
        <v>1886966</v>
      </c>
      <c r="B397" s="2" t="s">
        <v>629</v>
      </c>
      <c r="C397" s="2" t="s">
        <v>249</v>
      </c>
      <c r="D397" t="s">
        <v>635</v>
      </c>
      <c r="E397" s="4">
        <v>126000</v>
      </c>
    </row>
    <row r="398" spans="1:5" x14ac:dyDescent="0.2">
      <c r="A398" s="5">
        <v>81269643</v>
      </c>
      <c r="B398" s="2" t="s">
        <v>630</v>
      </c>
      <c r="C398" s="2" t="s">
        <v>235</v>
      </c>
      <c r="D398" t="s">
        <v>642</v>
      </c>
      <c r="E398" s="4">
        <v>-290000</v>
      </c>
    </row>
    <row r="399" spans="1:5" x14ac:dyDescent="0.2">
      <c r="A399" s="5">
        <v>4830658</v>
      </c>
      <c r="B399" s="2" t="s">
        <v>631</v>
      </c>
      <c r="C399" s="2" t="s">
        <v>230</v>
      </c>
      <c r="D399" t="s">
        <v>636</v>
      </c>
      <c r="E399" s="4">
        <v>-256000</v>
      </c>
    </row>
    <row r="400" spans="1:5" x14ac:dyDescent="0.2">
      <c r="A400" s="5">
        <v>1239</v>
      </c>
      <c r="B400" s="2" t="s">
        <v>632</v>
      </c>
      <c r="C400" s="2" t="s">
        <v>235</v>
      </c>
      <c r="D400" t="s">
        <v>637</v>
      </c>
      <c r="E400" s="4">
        <v>-439000</v>
      </c>
    </row>
    <row r="401" spans="1:5" x14ac:dyDescent="0.2">
      <c r="A401" s="5">
        <v>7690</v>
      </c>
      <c r="B401" s="2" t="s">
        <v>633</v>
      </c>
      <c r="C401" s="2" t="s">
        <v>249</v>
      </c>
      <c r="D401" t="s">
        <v>637</v>
      </c>
      <c r="E401" s="4">
        <v>-347000</v>
      </c>
    </row>
  </sheetData>
  <sortState ref="A2:E401">
    <sortCondition ref="B8"/>
  </sortState>
  <conditionalFormatting sqref="A1 A402:A1048576">
    <cfRule type="beginsWith" dxfId="28" priority="7" stopIfTrue="1" operator="beginsWith" text="00 00">
      <formula>LEFT(A1,LEN("00 00"))="00 00"</formula>
    </cfRule>
  </conditionalFormatting>
  <conditionalFormatting sqref="D2:D401">
    <cfRule type="containsText" dxfId="27" priority="4" operator="containsText" text="Prémium">
      <formula>NOT(ISERROR(SEARCH("Prémium",D2)))</formula>
    </cfRule>
  </conditionalFormatting>
  <conditionalFormatting sqref="E2:E401">
    <cfRule type="cellIs" dxfId="26" priority="2" operator="lessThan">
      <formula>0</formula>
    </cfRule>
  </conditionalFormatting>
  <conditionalFormatting sqref="A2:A401">
    <cfRule type="cellIs" dxfId="25" priority="1" operator="between">
      <formula>100</formula>
      <formula>9999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6A6D7-A82E-4E49-AB92-2DA182816745}">
  <dimension ref="A1:J97"/>
  <sheetViews>
    <sheetView topLeftCell="A10" workbookViewId="0">
      <selection activeCell="I11" sqref="I11"/>
    </sheetView>
  </sheetViews>
  <sheetFormatPr defaultRowHeight="12" x14ac:dyDescent="0.2"/>
  <cols>
    <col min="1" max="1" width="20.83203125" customWidth="1"/>
    <col min="9" max="10" width="10.1640625" bestFit="1" customWidth="1"/>
  </cols>
  <sheetData>
    <row r="1" spans="1:5" x14ac:dyDescent="0.2">
      <c r="A1" s="1" t="s">
        <v>1608</v>
      </c>
      <c r="B1" s="1" t="s">
        <v>1609</v>
      </c>
    </row>
    <row r="2" spans="1:5" x14ac:dyDescent="0.2">
      <c r="A2" s="40">
        <f t="shared" ref="A2:A20" ca="1" si="0">DATE(YEAR(A3),MONTH(A3)-1,1)</f>
        <v>42005</v>
      </c>
      <c r="B2" s="16">
        <v>4829</v>
      </c>
      <c r="E2" s="14" t="s">
        <v>1610</v>
      </c>
    </row>
    <row r="3" spans="1:5" x14ac:dyDescent="0.2">
      <c r="A3" s="40">
        <f t="shared" ca="1" si="0"/>
        <v>42036</v>
      </c>
      <c r="B3" s="16">
        <v>4985</v>
      </c>
      <c r="E3" s="14">
        <v>4</v>
      </c>
    </row>
    <row r="4" spans="1:5" x14ac:dyDescent="0.2">
      <c r="A4" s="40">
        <f t="shared" ca="1" si="0"/>
        <v>42064</v>
      </c>
      <c r="B4" s="16">
        <v>5021</v>
      </c>
    </row>
    <row r="5" spans="1:5" x14ac:dyDescent="0.2">
      <c r="A5" s="40">
        <f t="shared" ca="1" si="0"/>
        <v>42095</v>
      </c>
      <c r="B5" s="16">
        <v>5031</v>
      </c>
    </row>
    <row r="6" spans="1:5" x14ac:dyDescent="0.2">
      <c r="A6" s="40">
        <f t="shared" ca="1" si="0"/>
        <v>42125</v>
      </c>
      <c r="B6" s="16">
        <v>5001</v>
      </c>
      <c r="D6" s="3" t="s">
        <v>1611</v>
      </c>
    </row>
    <row r="7" spans="1:5" x14ac:dyDescent="0.2">
      <c r="A7" s="40">
        <f t="shared" ca="1" si="0"/>
        <v>42156</v>
      </c>
      <c r="B7" s="16">
        <v>4889</v>
      </c>
      <c r="D7" s="3" t="s">
        <v>1612</v>
      </c>
    </row>
    <row r="8" spans="1:5" x14ac:dyDescent="0.2">
      <c r="A8" s="40">
        <f t="shared" ca="1" si="0"/>
        <v>42186</v>
      </c>
      <c r="B8" s="16">
        <v>5346</v>
      </c>
      <c r="D8" s="3" t="s">
        <v>1613</v>
      </c>
    </row>
    <row r="9" spans="1:5" x14ac:dyDescent="0.2">
      <c r="A9" s="40">
        <f t="shared" ca="1" si="0"/>
        <v>42217</v>
      </c>
      <c r="B9" s="16">
        <v>5197</v>
      </c>
      <c r="D9" s="3" t="s">
        <v>1614</v>
      </c>
    </row>
    <row r="10" spans="1:5" x14ac:dyDescent="0.2">
      <c r="A10" s="40">
        <f t="shared" ca="1" si="0"/>
        <v>42248</v>
      </c>
      <c r="B10" s="16">
        <v>4810</v>
      </c>
      <c r="D10" s="3" t="s">
        <v>1615</v>
      </c>
    </row>
    <row r="11" spans="1:5" x14ac:dyDescent="0.2">
      <c r="A11" s="40">
        <f t="shared" ca="1" si="0"/>
        <v>42278</v>
      </c>
      <c r="B11" s="16">
        <v>4937</v>
      </c>
      <c r="D11" s="3" t="s">
        <v>1616</v>
      </c>
    </row>
    <row r="12" spans="1:5" x14ac:dyDescent="0.2">
      <c r="A12" s="40">
        <f t="shared" ca="1" si="0"/>
        <v>42309</v>
      </c>
      <c r="B12" s="16">
        <v>5156</v>
      </c>
      <c r="D12" s="3" t="s">
        <v>1617</v>
      </c>
    </row>
    <row r="13" spans="1:5" x14ac:dyDescent="0.2">
      <c r="A13" s="40">
        <f t="shared" ca="1" si="0"/>
        <v>42339</v>
      </c>
      <c r="B13" s="16">
        <v>5301</v>
      </c>
    </row>
    <row r="14" spans="1:5" x14ac:dyDescent="0.2">
      <c r="A14" s="40">
        <f t="shared" ca="1" si="0"/>
        <v>42370</v>
      </c>
      <c r="B14" s="16">
        <v>5422</v>
      </c>
    </row>
    <row r="15" spans="1:5" x14ac:dyDescent="0.2">
      <c r="A15" s="40">
        <f t="shared" ca="1" si="0"/>
        <v>42401</v>
      </c>
      <c r="B15" s="16">
        <v>5108</v>
      </c>
    </row>
    <row r="16" spans="1:5" x14ac:dyDescent="0.2">
      <c r="A16" s="40">
        <f t="shared" ca="1" si="0"/>
        <v>42430</v>
      </c>
      <c r="B16" s="16">
        <v>4978</v>
      </c>
    </row>
    <row r="17" spans="1:2" x14ac:dyDescent="0.2">
      <c r="A17" s="40">
        <f t="shared" ca="1" si="0"/>
        <v>42461</v>
      </c>
      <c r="B17" s="16">
        <v>5310</v>
      </c>
    </row>
    <row r="18" spans="1:2" x14ac:dyDescent="0.2">
      <c r="A18" s="40">
        <f t="shared" ca="1" si="0"/>
        <v>42491</v>
      </c>
      <c r="B18" s="16">
        <v>5029</v>
      </c>
    </row>
    <row r="19" spans="1:2" x14ac:dyDescent="0.2">
      <c r="A19" s="40">
        <f t="shared" ca="1" si="0"/>
        <v>42522</v>
      </c>
      <c r="B19" s="16">
        <v>4970</v>
      </c>
    </row>
    <row r="20" spans="1:2" x14ac:dyDescent="0.2">
      <c r="A20" s="40">
        <f t="shared" ca="1" si="0"/>
        <v>42552</v>
      </c>
      <c r="B20" s="16">
        <v>4955</v>
      </c>
    </row>
    <row r="21" spans="1:2" x14ac:dyDescent="0.2">
      <c r="A21" s="40">
        <f t="shared" ref="A21:A84" ca="1" si="1">DATE(YEAR(A22),MONTH(A22)-1,1)</f>
        <v>42583</v>
      </c>
      <c r="B21" s="16">
        <v>4816</v>
      </c>
    </row>
    <row r="22" spans="1:2" x14ac:dyDescent="0.2">
      <c r="A22" s="40">
        <f t="shared" ca="1" si="1"/>
        <v>42614</v>
      </c>
      <c r="B22" s="16">
        <v>4808</v>
      </c>
    </row>
    <row r="23" spans="1:2" x14ac:dyDescent="0.2">
      <c r="A23" s="40">
        <f t="shared" ca="1" si="1"/>
        <v>42644</v>
      </c>
      <c r="B23" s="16">
        <v>4909</v>
      </c>
    </row>
    <row r="24" spans="1:2" x14ac:dyDescent="0.2">
      <c r="A24" s="40">
        <f t="shared" ca="1" si="1"/>
        <v>42675</v>
      </c>
      <c r="B24" s="16">
        <v>5308</v>
      </c>
    </row>
    <row r="25" spans="1:2" x14ac:dyDescent="0.2">
      <c r="A25" s="40">
        <f t="shared" ca="1" si="1"/>
        <v>42705</v>
      </c>
      <c r="B25" s="16">
        <v>5308</v>
      </c>
    </row>
    <row r="26" spans="1:2" x14ac:dyDescent="0.2">
      <c r="A26" s="40">
        <f t="shared" ca="1" si="1"/>
        <v>42736</v>
      </c>
      <c r="B26" s="16">
        <v>5053</v>
      </c>
    </row>
    <row r="27" spans="1:2" x14ac:dyDescent="0.2">
      <c r="A27" s="40">
        <f t="shared" ca="1" si="1"/>
        <v>42767</v>
      </c>
      <c r="B27" s="16">
        <v>5433</v>
      </c>
    </row>
    <row r="28" spans="1:2" x14ac:dyDescent="0.2">
      <c r="A28" s="40">
        <f t="shared" ca="1" si="1"/>
        <v>42795</v>
      </c>
      <c r="B28" s="16">
        <v>5113</v>
      </c>
    </row>
    <row r="29" spans="1:2" x14ac:dyDescent="0.2">
      <c r="A29" s="40">
        <f t="shared" ca="1" si="1"/>
        <v>42826</v>
      </c>
      <c r="B29" s="16">
        <v>5073</v>
      </c>
    </row>
    <row r="30" spans="1:2" x14ac:dyDescent="0.2">
      <c r="A30" s="40">
        <f t="shared" ca="1" si="1"/>
        <v>42856</v>
      </c>
      <c r="B30" s="16">
        <v>4882</v>
      </c>
    </row>
    <row r="31" spans="1:2" x14ac:dyDescent="0.2">
      <c r="A31" s="40">
        <f t="shared" ca="1" si="1"/>
        <v>42887</v>
      </c>
      <c r="B31" s="16">
        <v>4963</v>
      </c>
    </row>
    <row r="32" spans="1:2" x14ac:dyDescent="0.2">
      <c r="A32" s="40">
        <f t="shared" ca="1" si="1"/>
        <v>42917</v>
      </c>
      <c r="B32" s="16">
        <v>5022</v>
      </c>
    </row>
    <row r="33" spans="1:2" x14ac:dyDescent="0.2">
      <c r="A33" s="40">
        <f t="shared" ca="1" si="1"/>
        <v>42948</v>
      </c>
      <c r="B33" s="16">
        <v>5235</v>
      </c>
    </row>
    <row r="34" spans="1:2" x14ac:dyDescent="0.2">
      <c r="A34" s="40">
        <f t="shared" ca="1" si="1"/>
        <v>42979</v>
      </c>
      <c r="B34" s="16">
        <v>5279</v>
      </c>
    </row>
    <row r="35" spans="1:2" x14ac:dyDescent="0.2">
      <c r="A35" s="40">
        <f t="shared" ca="1" si="1"/>
        <v>43009</v>
      </c>
      <c r="B35" s="16">
        <v>4866</v>
      </c>
    </row>
    <row r="36" spans="1:2" x14ac:dyDescent="0.2">
      <c r="A36" s="40">
        <f t="shared" ca="1" si="1"/>
        <v>43040</v>
      </c>
      <c r="B36" s="16">
        <v>5267</v>
      </c>
    </row>
    <row r="37" spans="1:2" x14ac:dyDescent="0.2">
      <c r="A37" s="40">
        <f t="shared" ca="1" si="1"/>
        <v>43070</v>
      </c>
      <c r="B37" s="16">
        <v>5256</v>
      </c>
    </row>
    <row r="38" spans="1:2" x14ac:dyDescent="0.2">
      <c r="A38" s="40">
        <f t="shared" ca="1" si="1"/>
        <v>43101</v>
      </c>
      <c r="B38" s="16">
        <v>5294</v>
      </c>
    </row>
    <row r="39" spans="1:2" x14ac:dyDescent="0.2">
      <c r="A39" s="40">
        <f t="shared" ca="1" si="1"/>
        <v>43132</v>
      </c>
      <c r="B39" s="16">
        <v>4856</v>
      </c>
    </row>
    <row r="40" spans="1:2" x14ac:dyDescent="0.2">
      <c r="A40" s="40">
        <f t="shared" ca="1" si="1"/>
        <v>43160</v>
      </c>
      <c r="B40" s="16">
        <v>4824</v>
      </c>
    </row>
    <row r="41" spans="1:2" x14ac:dyDescent="0.2">
      <c r="A41" s="40">
        <f t="shared" ca="1" si="1"/>
        <v>43191</v>
      </c>
      <c r="B41" s="16">
        <v>5152</v>
      </c>
    </row>
    <row r="42" spans="1:2" x14ac:dyDescent="0.2">
      <c r="A42" s="40">
        <f t="shared" ca="1" si="1"/>
        <v>43221</v>
      </c>
      <c r="B42" s="16">
        <v>5007</v>
      </c>
    </row>
    <row r="43" spans="1:2" x14ac:dyDescent="0.2">
      <c r="A43" s="40">
        <f t="shared" ca="1" si="1"/>
        <v>43252</v>
      </c>
      <c r="B43" s="16">
        <v>5088</v>
      </c>
    </row>
    <row r="44" spans="1:2" x14ac:dyDescent="0.2">
      <c r="A44" s="40">
        <f t="shared" ca="1" si="1"/>
        <v>43282</v>
      </c>
      <c r="B44" s="16">
        <v>5328</v>
      </c>
    </row>
    <row r="45" spans="1:2" x14ac:dyDescent="0.2">
      <c r="A45" s="40">
        <f t="shared" ca="1" si="1"/>
        <v>43313</v>
      </c>
      <c r="B45" s="16">
        <v>4821</v>
      </c>
    </row>
    <row r="46" spans="1:2" x14ac:dyDescent="0.2">
      <c r="A46" s="40">
        <f t="shared" ca="1" si="1"/>
        <v>43344</v>
      </c>
      <c r="B46" s="16">
        <v>5257</v>
      </c>
    </row>
    <row r="47" spans="1:2" x14ac:dyDescent="0.2">
      <c r="A47" s="40">
        <f t="shared" ca="1" si="1"/>
        <v>43374</v>
      </c>
      <c r="B47" s="16">
        <v>5085</v>
      </c>
    </row>
    <row r="48" spans="1:2" x14ac:dyDescent="0.2">
      <c r="A48" s="40">
        <f t="shared" ca="1" si="1"/>
        <v>43405</v>
      </c>
      <c r="B48" s="16">
        <v>5125</v>
      </c>
    </row>
    <row r="49" spans="1:10" x14ac:dyDescent="0.2">
      <c r="A49" s="40">
        <f t="shared" ca="1" si="1"/>
        <v>43435</v>
      </c>
      <c r="B49" s="16">
        <v>4859</v>
      </c>
      <c r="J49" s="39"/>
    </row>
    <row r="50" spans="1:10" x14ac:dyDescent="0.2">
      <c r="A50" s="40">
        <f t="shared" ca="1" si="1"/>
        <v>43466</v>
      </c>
      <c r="B50" s="16">
        <v>5032</v>
      </c>
      <c r="J50" s="39"/>
    </row>
    <row r="51" spans="1:10" x14ac:dyDescent="0.2">
      <c r="A51" s="40">
        <f t="shared" ca="1" si="1"/>
        <v>43497</v>
      </c>
      <c r="B51" s="16">
        <v>4837</v>
      </c>
      <c r="J51" s="39"/>
    </row>
    <row r="52" spans="1:10" x14ac:dyDescent="0.2">
      <c r="A52" s="40">
        <f t="shared" ca="1" si="1"/>
        <v>43525</v>
      </c>
      <c r="B52" s="16">
        <v>4863</v>
      </c>
      <c r="J52" s="39"/>
    </row>
    <row r="53" spans="1:10" x14ac:dyDescent="0.2">
      <c r="A53" s="40">
        <f t="shared" ca="1" si="1"/>
        <v>43556</v>
      </c>
      <c r="B53" s="16">
        <v>5047</v>
      </c>
      <c r="J53" s="39"/>
    </row>
    <row r="54" spans="1:10" x14ac:dyDescent="0.2">
      <c r="A54" s="40">
        <f t="shared" ca="1" si="1"/>
        <v>43586</v>
      </c>
      <c r="B54" s="16">
        <v>5365</v>
      </c>
      <c r="J54" s="39"/>
    </row>
    <row r="55" spans="1:10" x14ac:dyDescent="0.2">
      <c r="A55" s="40">
        <f t="shared" ca="1" si="1"/>
        <v>43617</v>
      </c>
      <c r="B55" s="16">
        <v>4845</v>
      </c>
      <c r="J55" s="39"/>
    </row>
    <row r="56" spans="1:10" x14ac:dyDescent="0.2">
      <c r="A56" s="40">
        <f t="shared" ca="1" si="1"/>
        <v>43647</v>
      </c>
      <c r="B56" s="16">
        <v>4820</v>
      </c>
      <c r="J56" s="39"/>
    </row>
    <row r="57" spans="1:10" x14ac:dyDescent="0.2">
      <c r="A57" s="40">
        <f t="shared" ca="1" si="1"/>
        <v>43678</v>
      </c>
      <c r="B57" s="16">
        <v>4828</v>
      </c>
      <c r="J57" s="39"/>
    </row>
    <row r="58" spans="1:10" x14ac:dyDescent="0.2">
      <c r="A58" s="40">
        <f t="shared" ca="1" si="1"/>
        <v>43709</v>
      </c>
      <c r="B58" s="16">
        <v>5218</v>
      </c>
      <c r="J58" s="39"/>
    </row>
    <row r="59" spans="1:10" x14ac:dyDescent="0.2">
      <c r="A59" s="40">
        <f t="shared" ca="1" si="1"/>
        <v>43739</v>
      </c>
      <c r="B59" s="16">
        <v>5177</v>
      </c>
      <c r="J59" s="39"/>
    </row>
    <row r="60" spans="1:10" x14ac:dyDescent="0.2">
      <c r="A60" s="40">
        <f t="shared" ca="1" si="1"/>
        <v>43770</v>
      </c>
      <c r="B60" s="16">
        <v>5338</v>
      </c>
      <c r="J60" s="39"/>
    </row>
    <row r="61" spans="1:10" x14ac:dyDescent="0.2">
      <c r="A61" s="40">
        <f t="shared" ca="1" si="1"/>
        <v>43800</v>
      </c>
      <c r="B61" s="16">
        <v>5060</v>
      </c>
      <c r="J61" s="39"/>
    </row>
    <row r="62" spans="1:10" x14ac:dyDescent="0.2">
      <c r="A62" s="40">
        <f t="shared" ca="1" si="1"/>
        <v>43831</v>
      </c>
      <c r="B62" s="16">
        <v>5291</v>
      </c>
      <c r="J62" s="39"/>
    </row>
    <row r="63" spans="1:10" x14ac:dyDescent="0.2">
      <c r="A63" s="40">
        <f t="shared" ca="1" si="1"/>
        <v>43862</v>
      </c>
      <c r="B63" s="16">
        <v>4959</v>
      </c>
    </row>
    <row r="64" spans="1:10" x14ac:dyDescent="0.2">
      <c r="A64" s="40">
        <f t="shared" ca="1" si="1"/>
        <v>43891</v>
      </c>
      <c r="B64" s="16">
        <v>5061</v>
      </c>
    </row>
    <row r="65" spans="1:2" x14ac:dyDescent="0.2">
      <c r="A65" s="40">
        <f t="shared" ca="1" si="1"/>
        <v>43922</v>
      </c>
      <c r="B65" s="16">
        <v>5228</v>
      </c>
    </row>
    <row r="66" spans="1:2" x14ac:dyDescent="0.2">
      <c r="A66" s="40">
        <f t="shared" ca="1" si="1"/>
        <v>43952</v>
      </c>
      <c r="B66" s="16">
        <v>4813</v>
      </c>
    </row>
    <row r="67" spans="1:2" x14ac:dyDescent="0.2">
      <c r="A67" s="40">
        <f t="shared" ca="1" si="1"/>
        <v>43983</v>
      </c>
      <c r="B67" s="16">
        <v>5208</v>
      </c>
    </row>
    <row r="68" spans="1:2" x14ac:dyDescent="0.2">
      <c r="A68" s="40">
        <f t="shared" ca="1" si="1"/>
        <v>44013</v>
      </c>
      <c r="B68" s="16">
        <v>5329</v>
      </c>
    </row>
    <row r="69" spans="1:2" x14ac:dyDescent="0.2">
      <c r="A69" s="40">
        <f t="shared" ca="1" si="1"/>
        <v>44044</v>
      </c>
      <c r="B69" s="16">
        <v>5262</v>
      </c>
    </row>
    <row r="70" spans="1:2" x14ac:dyDescent="0.2">
      <c r="A70" s="40">
        <f t="shared" ca="1" si="1"/>
        <v>44075</v>
      </c>
      <c r="B70" s="16">
        <v>5128</v>
      </c>
    </row>
    <row r="71" spans="1:2" x14ac:dyDescent="0.2">
      <c r="A71" s="40">
        <f t="shared" ca="1" si="1"/>
        <v>44105</v>
      </c>
      <c r="B71" s="16">
        <v>4991</v>
      </c>
    </row>
    <row r="72" spans="1:2" x14ac:dyDescent="0.2">
      <c r="A72" s="40">
        <f t="shared" ca="1" si="1"/>
        <v>44136</v>
      </c>
      <c r="B72" s="16">
        <v>5325</v>
      </c>
    </row>
    <row r="73" spans="1:2" x14ac:dyDescent="0.2">
      <c r="A73" s="40">
        <f t="shared" ca="1" si="1"/>
        <v>44166</v>
      </c>
      <c r="B73" s="16">
        <v>5015</v>
      </c>
    </row>
    <row r="74" spans="1:2" x14ac:dyDescent="0.2">
      <c r="A74" s="40">
        <f t="shared" ca="1" si="1"/>
        <v>44197</v>
      </c>
      <c r="B74" s="16">
        <v>4839</v>
      </c>
    </row>
    <row r="75" spans="1:2" x14ac:dyDescent="0.2">
      <c r="A75" s="40">
        <f t="shared" ca="1" si="1"/>
        <v>44228</v>
      </c>
      <c r="B75" s="16">
        <v>4948</v>
      </c>
    </row>
    <row r="76" spans="1:2" x14ac:dyDescent="0.2">
      <c r="A76" s="40">
        <f t="shared" ca="1" si="1"/>
        <v>44256</v>
      </c>
      <c r="B76" s="16">
        <v>5445</v>
      </c>
    </row>
    <row r="77" spans="1:2" x14ac:dyDescent="0.2">
      <c r="A77" s="40">
        <f t="shared" ca="1" si="1"/>
        <v>44287</v>
      </c>
      <c r="B77" s="16">
        <v>5015</v>
      </c>
    </row>
    <row r="78" spans="1:2" x14ac:dyDescent="0.2">
      <c r="A78" s="40">
        <f t="shared" ca="1" si="1"/>
        <v>44317</v>
      </c>
      <c r="B78" s="16">
        <v>5193</v>
      </c>
    </row>
    <row r="79" spans="1:2" x14ac:dyDescent="0.2">
      <c r="A79" s="40">
        <f t="shared" ca="1" si="1"/>
        <v>44348</v>
      </c>
      <c r="B79" s="16">
        <v>4985</v>
      </c>
    </row>
    <row r="80" spans="1:2" x14ac:dyDescent="0.2">
      <c r="A80" s="40">
        <f t="shared" ca="1" si="1"/>
        <v>44378</v>
      </c>
      <c r="B80" s="16">
        <v>5095</v>
      </c>
    </row>
    <row r="81" spans="1:2" x14ac:dyDescent="0.2">
      <c r="A81" s="40">
        <f t="shared" ca="1" si="1"/>
        <v>44409</v>
      </c>
      <c r="B81" s="16">
        <v>5278</v>
      </c>
    </row>
    <row r="82" spans="1:2" x14ac:dyDescent="0.2">
      <c r="A82" s="40">
        <f t="shared" ca="1" si="1"/>
        <v>44440</v>
      </c>
      <c r="B82" s="16">
        <v>5032</v>
      </c>
    </row>
    <row r="83" spans="1:2" x14ac:dyDescent="0.2">
      <c r="A83" s="40">
        <f t="shared" ca="1" si="1"/>
        <v>44470</v>
      </c>
      <c r="B83" s="16">
        <v>5298</v>
      </c>
    </row>
    <row r="84" spans="1:2" x14ac:dyDescent="0.2">
      <c r="A84" s="40">
        <f t="shared" ca="1" si="1"/>
        <v>44501</v>
      </c>
      <c r="B84" s="16">
        <v>5200</v>
      </c>
    </row>
    <row r="85" spans="1:2" x14ac:dyDescent="0.2">
      <c r="A85" s="40">
        <f t="shared" ref="A85:A95" ca="1" si="2">DATE(YEAR(A86),MONTH(A86)-1,1)</f>
        <v>44531</v>
      </c>
      <c r="B85" s="16">
        <v>4812</v>
      </c>
    </row>
    <row r="86" spans="1:2" x14ac:dyDescent="0.2">
      <c r="A86" s="40">
        <f t="shared" ca="1" si="2"/>
        <v>44562</v>
      </c>
      <c r="B86" s="16">
        <v>4980</v>
      </c>
    </row>
    <row r="87" spans="1:2" x14ac:dyDescent="0.2">
      <c r="A87" s="40">
        <f t="shared" ca="1" si="2"/>
        <v>44593</v>
      </c>
      <c r="B87" s="16">
        <v>5436</v>
      </c>
    </row>
    <row r="88" spans="1:2" x14ac:dyDescent="0.2">
      <c r="A88" s="40">
        <f t="shared" ca="1" si="2"/>
        <v>44621</v>
      </c>
      <c r="B88" s="16">
        <v>5289</v>
      </c>
    </row>
    <row r="89" spans="1:2" x14ac:dyDescent="0.2">
      <c r="A89" s="40">
        <f t="shared" ca="1" si="2"/>
        <v>44652</v>
      </c>
      <c r="B89" s="16">
        <v>5249</v>
      </c>
    </row>
    <row r="90" spans="1:2" x14ac:dyDescent="0.2">
      <c r="A90" s="40">
        <f t="shared" ca="1" si="2"/>
        <v>44682</v>
      </c>
      <c r="B90" s="16">
        <v>4825</v>
      </c>
    </row>
    <row r="91" spans="1:2" x14ac:dyDescent="0.2">
      <c r="A91" s="40">
        <f t="shared" ca="1" si="2"/>
        <v>44713</v>
      </c>
      <c r="B91" s="16">
        <v>4815</v>
      </c>
    </row>
    <row r="92" spans="1:2" x14ac:dyDescent="0.2">
      <c r="A92" s="40">
        <f t="shared" ca="1" si="2"/>
        <v>44743</v>
      </c>
      <c r="B92" s="16">
        <v>5327</v>
      </c>
    </row>
    <row r="93" spans="1:2" x14ac:dyDescent="0.2">
      <c r="A93" s="40">
        <f t="shared" ca="1" si="2"/>
        <v>44774</v>
      </c>
      <c r="B93" s="16">
        <v>4996</v>
      </c>
    </row>
    <row r="94" spans="1:2" x14ac:dyDescent="0.2">
      <c r="A94" s="40">
        <f t="shared" ca="1" si="2"/>
        <v>44805</v>
      </c>
      <c r="B94" s="16">
        <v>4890</v>
      </c>
    </row>
    <row r="95" spans="1:2" x14ac:dyDescent="0.2">
      <c r="A95" s="40">
        <f t="shared" ca="1" si="2"/>
        <v>44835</v>
      </c>
      <c r="B95" s="16">
        <v>4876</v>
      </c>
    </row>
    <row r="96" spans="1:2" x14ac:dyDescent="0.2">
      <c r="A96" s="40">
        <f ca="1">DATE(YEAR(A97),MONTH(A97)-1,1)</f>
        <v>44866</v>
      </c>
      <c r="B96" s="16">
        <v>5049</v>
      </c>
    </row>
    <row r="97" spans="1:2" x14ac:dyDescent="0.2">
      <c r="A97" s="40">
        <f ca="1">DATE(YEAR(TODAY()-1),12,1)</f>
        <v>44896</v>
      </c>
      <c r="B97" s="16">
        <v>5418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6285-930D-4A1D-9DCD-81917CE992D1}">
  <dimension ref="A1:J401"/>
  <sheetViews>
    <sheetView topLeftCell="A202" workbookViewId="0">
      <selection activeCell="A2" sqref="A2:E401"/>
    </sheetView>
  </sheetViews>
  <sheetFormatPr defaultRowHeight="12" x14ac:dyDescent="0.2"/>
  <cols>
    <col min="1" max="1" width="12.33203125" bestFit="1" customWidth="1"/>
    <col min="2" max="2" width="22" bestFit="1" customWidth="1"/>
    <col min="3" max="3" width="19.83203125" customWidth="1"/>
    <col min="4" max="4" width="20.83203125" customWidth="1"/>
    <col min="5" max="5" width="13.6640625" customWidth="1"/>
  </cols>
  <sheetData>
    <row r="1" spans="1:7" ht="12.95" customHeight="1" x14ac:dyDescent="0.2">
      <c r="A1" s="10" t="s">
        <v>634</v>
      </c>
      <c r="B1" s="11" t="s">
        <v>224</v>
      </c>
      <c r="C1" s="11" t="s">
        <v>225</v>
      </c>
      <c r="D1" s="11" t="s">
        <v>641</v>
      </c>
      <c r="E1" s="11" t="s">
        <v>226</v>
      </c>
    </row>
    <row r="2" spans="1:7" x14ac:dyDescent="0.2">
      <c r="A2" s="5">
        <v>415</v>
      </c>
      <c r="B2" s="2" t="s">
        <v>227</v>
      </c>
      <c r="C2" s="2" t="s">
        <v>241</v>
      </c>
      <c r="D2" t="s">
        <v>642</v>
      </c>
      <c r="E2" s="4">
        <v>-163000</v>
      </c>
    </row>
    <row r="3" spans="1:7" x14ac:dyDescent="0.2">
      <c r="A3" s="5">
        <v>98</v>
      </c>
      <c r="B3" s="2" t="s">
        <v>229</v>
      </c>
      <c r="C3" s="2" t="s">
        <v>235</v>
      </c>
      <c r="D3" t="s">
        <v>635</v>
      </c>
      <c r="E3" s="4">
        <v>84000</v>
      </c>
      <c r="G3" s="3" t="s">
        <v>657</v>
      </c>
    </row>
    <row r="4" spans="1:7" x14ac:dyDescent="0.2">
      <c r="A4" s="5">
        <v>22</v>
      </c>
      <c r="B4" s="2" t="s">
        <v>231</v>
      </c>
      <c r="C4" s="2" t="s">
        <v>230</v>
      </c>
      <c r="D4" t="s">
        <v>636</v>
      </c>
      <c r="E4" s="4">
        <v>-308000</v>
      </c>
      <c r="G4" s="3" t="s">
        <v>658</v>
      </c>
    </row>
    <row r="5" spans="1:7" x14ac:dyDescent="0.2">
      <c r="A5" s="5">
        <v>35071</v>
      </c>
      <c r="B5" s="2" t="s">
        <v>232</v>
      </c>
      <c r="C5" s="2" t="s">
        <v>235</v>
      </c>
      <c r="D5" t="s">
        <v>637</v>
      </c>
      <c r="E5" s="4">
        <v>-205000</v>
      </c>
      <c r="G5" s="3" t="s">
        <v>659</v>
      </c>
    </row>
    <row r="6" spans="1:7" x14ac:dyDescent="0.2">
      <c r="A6" s="5">
        <v>7598438</v>
      </c>
      <c r="B6" s="2" t="s">
        <v>233</v>
      </c>
      <c r="C6" s="2" t="s">
        <v>235</v>
      </c>
      <c r="D6" t="s">
        <v>664</v>
      </c>
      <c r="E6" s="4">
        <v>49000</v>
      </c>
      <c r="G6" s="3" t="s">
        <v>667</v>
      </c>
    </row>
    <row r="7" spans="1:7" x14ac:dyDescent="0.2">
      <c r="A7" s="5">
        <v>99596</v>
      </c>
      <c r="B7" s="2" t="s">
        <v>234</v>
      </c>
      <c r="C7" s="2" t="s">
        <v>235</v>
      </c>
      <c r="D7" t="s">
        <v>637</v>
      </c>
      <c r="E7" s="4">
        <v>-451000</v>
      </c>
    </row>
    <row r="8" spans="1:7" x14ac:dyDescent="0.2">
      <c r="A8" s="5">
        <v>26778</v>
      </c>
      <c r="B8" s="2" t="s">
        <v>236</v>
      </c>
      <c r="C8" s="2" t="s">
        <v>238</v>
      </c>
      <c r="D8" t="s">
        <v>635</v>
      </c>
      <c r="E8" s="4">
        <v>69000</v>
      </c>
      <c r="G8" s="3"/>
    </row>
    <row r="9" spans="1:7" x14ac:dyDescent="0.2">
      <c r="A9" s="5">
        <v>655656</v>
      </c>
      <c r="B9" s="2" t="s">
        <v>237</v>
      </c>
      <c r="C9" s="2" t="s">
        <v>235</v>
      </c>
      <c r="D9" t="s">
        <v>665</v>
      </c>
      <c r="E9" s="4">
        <v>-352000</v>
      </c>
    </row>
    <row r="10" spans="1:7" x14ac:dyDescent="0.2">
      <c r="A10" s="5">
        <v>82</v>
      </c>
      <c r="B10" s="2" t="s">
        <v>239</v>
      </c>
      <c r="C10" s="2" t="s">
        <v>228</v>
      </c>
      <c r="D10" t="s">
        <v>636</v>
      </c>
      <c r="E10" s="4">
        <v>-389000</v>
      </c>
      <c r="G10" s="7" t="s">
        <v>660</v>
      </c>
    </row>
    <row r="11" spans="1:7" x14ac:dyDescent="0.2">
      <c r="A11" s="5">
        <v>55516</v>
      </c>
      <c r="B11" s="2" t="s">
        <v>240</v>
      </c>
      <c r="C11" s="2" t="s">
        <v>235</v>
      </c>
      <c r="D11" t="s">
        <v>664</v>
      </c>
      <c r="E11" s="4">
        <v>-233000</v>
      </c>
      <c r="G11" s="3" t="s">
        <v>663</v>
      </c>
    </row>
    <row r="12" spans="1:7" x14ac:dyDescent="0.2">
      <c r="A12" s="5">
        <v>1643039</v>
      </c>
      <c r="B12" s="2" t="s">
        <v>242</v>
      </c>
      <c r="C12" s="2" t="s">
        <v>235</v>
      </c>
      <c r="D12" t="s">
        <v>636</v>
      </c>
      <c r="E12" s="4">
        <v>350000</v>
      </c>
      <c r="G12" s="3" t="s">
        <v>661</v>
      </c>
    </row>
    <row r="13" spans="1:7" x14ac:dyDescent="0.2">
      <c r="A13" s="5">
        <v>539400</v>
      </c>
      <c r="B13" s="41" t="s">
        <v>244</v>
      </c>
      <c r="C13" s="2" t="s">
        <v>238</v>
      </c>
      <c r="D13" t="s">
        <v>636</v>
      </c>
      <c r="E13" s="4">
        <v>369000</v>
      </c>
      <c r="G13" s="7" t="s">
        <v>662</v>
      </c>
    </row>
    <row r="14" spans="1:7" x14ac:dyDescent="0.2">
      <c r="A14" s="5">
        <v>5975150</v>
      </c>
      <c r="B14" s="2" t="s">
        <v>246</v>
      </c>
      <c r="C14" s="2" t="s">
        <v>228</v>
      </c>
      <c r="D14" t="s">
        <v>638</v>
      </c>
      <c r="E14" s="4">
        <v>-72000</v>
      </c>
      <c r="G14" s="6"/>
    </row>
    <row r="15" spans="1:7" x14ac:dyDescent="0.2">
      <c r="A15" s="5">
        <v>19</v>
      </c>
      <c r="B15" s="2" t="s">
        <v>247</v>
      </c>
      <c r="C15" s="2" t="s">
        <v>235</v>
      </c>
      <c r="D15" t="s">
        <v>636</v>
      </c>
      <c r="E15" s="4">
        <v>134000</v>
      </c>
      <c r="G15" s="6"/>
    </row>
    <row r="16" spans="1:7" x14ac:dyDescent="0.2">
      <c r="A16" s="5">
        <v>933</v>
      </c>
      <c r="B16" s="2" t="s">
        <v>248</v>
      </c>
      <c r="C16" s="2" t="s">
        <v>235</v>
      </c>
      <c r="D16" t="s">
        <v>635</v>
      </c>
      <c r="E16" s="4">
        <v>-121000</v>
      </c>
      <c r="G16" s="6"/>
    </row>
    <row r="17" spans="1:7" x14ac:dyDescent="0.2">
      <c r="A17" s="5">
        <v>18</v>
      </c>
      <c r="B17" s="2" t="s">
        <v>250</v>
      </c>
      <c r="C17" s="2" t="s">
        <v>235</v>
      </c>
      <c r="D17" t="s">
        <v>664</v>
      </c>
      <c r="E17" s="4">
        <v>-8000</v>
      </c>
      <c r="G17" s="7" t="s">
        <v>668</v>
      </c>
    </row>
    <row r="18" spans="1:7" x14ac:dyDescent="0.2">
      <c r="A18" s="5">
        <v>91</v>
      </c>
      <c r="B18" s="2" t="s">
        <v>252</v>
      </c>
      <c r="C18" s="2" t="s">
        <v>235</v>
      </c>
      <c r="D18" t="s">
        <v>664</v>
      </c>
      <c r="E18" s="4">
        <v>159000</v>
      </c>
      <c r="G18" s="7" t="s">
        <v>669</v>
      </c>
    </row>
    <row r="19" spans="1:7" x14ac:dyDescent="0.2">
      <c r="A19" s="5">
        <v>13602</v>
      </c>
      <c r="B19" s="2" t="s">
        <v>253</v>
      </c>
      <c r="C19" s="2" t="s">
        <v>235</v>
      </c>
      <c r="D19" t="s">
        <v>643</v>
      </c>
      <c r="E19" s="4">
        <v>245000</v>
      </c>
      <c r="G19" s="7" t="s">
        <v>670</v>
      </c>
    </row>
    <row r="20" spans="1:7" x14ac:dyDescent="0.2">
      <c r="A20" s="5">
        <v>2003</v>
      </c>
      <c r="B20" s="2" t="s">
        <v>254</v>
      </c>
      <c r="C20" s="2" t="s">
        <v>228</v>
      </c>
      <c r="D20" t="s">
        <v>638</v>
      </c>
      <c r="E20" s="4">
        <v>267000</v>
      </c>
      <c r="F20" t="str">
        <f>RIGHT(D20)</f>
        <v xml:space="preserve"> </v>
      </c>
      <c r="G20" s="7" t="s">
        <v>671</v>
      </c>
    </row>
    <row r="21" spans="1:7" x14ac:dyDescent="0.2">
      <c r="A21" s="5">
        <v>1104</v>
      </c>
      <c r="B21" s="2" t="s">
        <v>255</v>
      </c>
      <c r="C21" s="2" t="s">
        <v>230</v>
      </c>
      <c r="D21" t="s">
        <v>636</v>
      </c>
      <c r="E21" s="4">
        <v>397000</v>
      </c>
    </row>
    <row r="22" spans="1:7" x14ac:dyDescent="0.2">
      <c r="A22" s="5">
        <v>61</v>
      </c>
      <c r="B22" s="2" t="s">
        <v>256</v>
      </c>
      <c r="C22" s="2" t="s">
        <v>249</v>
      </c>
      <c r="D22" t="s">
        <v>643</v>
      </c>
      <c r="E22" s="4">
        <v>-170000</v>
      </c>
    </row>
    <row r="23" spans="1:7" x14ac:dyDescent="0.2">
      <c r="A23" s="5">
        <v>5821910</v>
      </c>
      <c r="B23" s="2" t="s">
        <v>257</v>
      </c>
      <c r="C23" s="2" t="s">
        <v>241</v>
      </c>
      <c r="D23" t="s">
        <v>638</v>
      </c>
      <c r="E23" s="4">
        <v>-443000</v>
      </c>
    </row>
    <row r="24" spans="1:7" x14ac:dyDescent="0.2">
      <c r="A24" s="5">
        <v>40</v>
      </c>
      <c r="B24" s="2" t="s">
        <v>258</v>
      </c>
      <c r="C24" s="2" t="s">
        <v>228</v>
      </c>
      <c r="D24" t="s">
        <v>642</v>
      </c>
      <c r="E24" s="4">
        <v>359000</v>
      </c>
    </row>
    <row r="25" spans="1:7" x14ac:dyDescent="0.2">
      <c r="A25" s="5">
        <v>56</v>
      </c>
      <c r="B25" s="2" t="s">
        <v>259</v>
      </c>
      <c r="C25" s="2" t="s">
        <v>235</v>
      </c>
      <c r="D25" t="s">
        <v>635</v>
      </c>
      <c r="E25" s="4">
        <v>89000</v>
      </c>
    </row>
    <row r="26" spans="1:7" x14ac:dyDescent="0.2">
      <c r="A26" s="5">
        <v>296</v>
      </c>
      <c r="B26" s="2" t="s">
        <v>260</v>
      </c>
      <c r="C26" s="2" t="s">
        <v>235</v>
      </c>
      <c r="D26" t="s">
        <v>643</v>
      </c>
      <c r="E26" s="4">
        <v>35000</v>
      </c>
    </row>
    <row r="27" spans="1:7" x14ac:dyDescent="0.2">
      <c r="A27" s="5">
        <v>18265</v>
      </c>
      <c r="B27" s="2" t="s">
        <v>261</v>
      </c>
      <c r="C27" s="2" t="s">
        <v>230</v>
      </c>
      <c r="D27" t="s">
        <v>640</v>
      </c>
      <c r="E27" s="4">
        <v>14000</v>
      </c>
    </row>
    <row r="28" spans="1:7" x14ac:dyDescent="0.2">
      <c r="A28" s="5">
        <v>46</v>
      </c>
      <c r="B28" s="2" t="s">
        <v>262</v>
      </c>
      <c r="C28" s="2" t="s">
        <v>235</v>
      </c>
      <c r="D28" t="s">
        <v>640</v>
      </c>
      <c r="E28" s="4">
        <v>-402000</v>
      </c>
    </row>
    <row r="29" spans="1:7" x14ac:dyDescent="0.2">
      <c r="A29" s="5">
        <v>560</v>
      </c>
      <c r="B29" s="2" t="s">
        <v>263</v>
      </c>
      <c r="C29" s="2" t="s">
        <v>235</v>
      </c>
      <c r="D29" t="s">
        <v>642</v>
      </c>
      <c r="E29" s="4">
        <v>283000</v>
      </c>
    </row>
    <row r="30" spans="1:7" x14ac:dyDescent="0.2">
      <c r="A30" s="5">
        <v>33045961</v>
      </c>
      <c r="B30" s="2" t="s">
        <v>264</v>
      </c>
      <c r="C30" s="2" t="s">
        <v>249</v>
      </c>
      <c r="D30" t="s">
        <v>637</v>
      </c>
      <c r="E30" s="4">
        <v>-156000</v>
      </c>
    </row>
    <row r="31" spans="1:7" x14ac:dyDescent="0.2">
      <c r="A31" s="5">
        <v>58</v>
      </c>
      <c r="B31" s="2" t="s">
        <v>265</v>
      </c>
      <c r="C31" s="2" t="s">
        <v>235</v>
      </c>
      <c r="D31" t="s">
        <v>665</v>
      </c>
      <c r="E31" s="4">
        <v>451000</v>
      </c>
    </row>
    <row r="32" spans="1:7" x14ac:dyDescent="0.2">
      <c r="A32" s="5">
        <v>73259</v>
      </c>
      <c r="B32" s="2" t="s">
        <v>266</v>
      </c>
      <c r="C32" s="2" t="s">
        <v>235</v>
      </c>
      <c r="D32" t="s">
        <v>637</v>
      </c>
      <c r="E32" s="4">
        <v>93000</v>
      </c>
    </row>
    <row r="33" spans="1:10" x14ac:dyDescent="0.2">
      <c r="A33" s="5">
        <v>162793</v>
      </c>
      <c r="B33" s="2" t="s">
        <v>267</v>
      </c>
      <c r="C33" s="2" t="s">
        <v>235</v>
      </c>
      <c r="D33" t="s">
        <v>642</v>
      </c>
      <c r="E33" s="4">
        <v>-257000</v>
      </c>
    </row>
    <row r="34" spans="1:10" x14ac:dyDescent="0.2">
      <c r="A34" s="5">
        <v>1523</v>
      </c>
      <c r="B34" s="2" t="s">
        <v>268</v>
      </c>
      <c r="C34" s="2" t="s">
        <v>241</v>
      </c>
      <c r="D34" t="s">
        <v>640</v>
      </c>
      <c r="E34" s="4">
        <v>210000</v>
      </c>
      <c r="J34" t="s">
        <v>648</v>
      </c>
    </row>
    <row r="35" spans="1:10" x14ac:dyDescent="0.2">
      <c r="A35" s="5">
        <v>7383976</v>
      </c>
      <c r="B35" s="2" t="s">
        <v>269</v>
      </c>
      <c r="C35" s="2" t="s">
        <v>243</v>
      </c>
      <c r="D35" t="s">
        <v>638</v>
      </c>
      <c r="E35" s="4">
        <v>-436000</v>
      </c>
    </row>
    <row r="36" spans="1:10" x14ac:dyDescent="0.2">
      <c r="A36" s="5">
        <v>592047</v>
      </c>
      <c r="B36" s="2" t="s">
        <v>270</v>
      </c>
      <c r="C36" s="2" t="s">
        <v>228</v>
      </c>
      <c r="D36" t="s">
        <v>637</v>
      </c>
      <c r="E36" s="4">
        <v>409000</v>
      </c>
    </row>
    <row r="37" spans="1:10" x14ac:dyDescent="0.2">
      <c r="A37" s="5">
        <v>41312447</v>
      </c>
      <c r="B37" s="2" t="s">
        <v>271</v>
      </c>
      <c r="C37" s="2" t="s">
        <v>235</v>
      </c>
      <c r="D37" t="s">
        <v>643</v>
      </c>
      <c r="E37" s="4">
        <v>111000</v>
      </c>
    </row>
    <row r="38" spans="1:10" x14ac:dyDescent="0.2">
      <c r="A38" s="5">
        <v>2822</v>
      </c>
      <c r="B38" s="2" t="s">
        <v>272</v>
      </c>
      <c r="C38" s="2" t="s">
        <v>235</v>
      </c>
      <c r="D38" t="s">
        <v>664</v>
      </c>
      <c r="E38" s="4">
        <v>-388000</v>
      </c>
    </row>
    <row r="39" spans="1:10" x14ac:dyDescent="0.2">
      <c r="A39" s="5">
        <v>35</v>
      </c>
      <c r="B39" s="2" t="s">
        <v>273</v>
      </c>
      <c r="C39" s="2" t="s">
        <v>235</v>
      </c>
      <c r="D39" t="s">
        <v>637</v>
      </c>
      <c r="E39" s="4">
        <v>-177000</v>
      </c>
    </row>
    <row r="40" spans="1:10" x14ac:dyDescent="0.2">
      <c r="A40" s="5">
        <v>4888890</v>
      </c>
      <c r="B40" s="2" t="s">
        <v>274</v>
      </c>
      <c r="C40" s="2" t="s">
        <v>228</v>
      </c>
      <c r="D40" t="s">
        <v>637</v>
      </c>
      <c r="E40" s="4">
        <v>162000</v>
      </c>
    </row>
    <row r="41" spans="1:10" x14ac:dyDescent="0.2">
      <c r="A41" s="5">
        <v>89</v>
      </c>
      <c r="B41" s="2" t="s">
        <v>275</v>
      </c>
      <c r="C41" s="2" t="s">
        <v>235</v>
      </c>
      <c r="D41" t="s">
        <v>636</v>
      </c>
      <c r="E41" s="4">
        <v>290000</v>
      </c>
    </row>
    <row r="42" spans="1:10" x14ac:dyDescent="0.2">
      <c r="A42" s="5">
        <v>72290</v>
      </c>
      <c r="B42" s="2" t="s">
        <v>276</v>
      </c>
      <c r="C42" s="2" t="s">
        <v>235</v>
      </c>
      <c r="D42" t="s">
        <v>642</v>
      </c>
      <c r="E42" s="4">
        <v>-273000</v>
      </c>
    </row>
    <row r="43" spans="1:10" x14ac:dyDescent="0.2">
      <c r="A43" s="5">
        <v>91373</v>
      </c>
      <c r="B43" s="2" t="s">
        <v>277</v>
      </c>
      <c r="C43" s="2" t="s">
        <v>230</v>
      </c>
      <c r="D43" t="s">
        <v>638</v>
      </c>
      <c r="E43" s="4">
        <v>118000</v>
      </c>
    </row>
    <row r="44" spans="1:10" x14ac:dyDescent="0.2">
      <c r="A44" s="5">
        <v>7925608</v>
      </c>
      <c r="B44" s="2" t="s">
        <v>278</v>
      </c>
      <c r="C44" s="2" t="s">
        <v>235</v>
      </c>
      <c r="D44" t="s">
        <v>642</v>
      </c>
      <c r="E44" s="4">
        <v>-180000</v>
      </c>
    </row>
    <row r="45" spans="1:10" x14ac:dyDescent="0.2">
      <c r="A45" s="5">
        <v>932</v>
      </c>
      <c r="B45" s="2" t="s">
        <v>279</v>
      </c>
      <c r="C45" s="2" t="s">
        <v>235</v>
      </c>
      <c r="D45" t="s">
        <v>643</v>
      </c>
      <c r="E45" s="4">
        <v>-461000</v>
      </c>
    </row>
    <row r="46" spans="1:10" x14ac:dyDescent="0.2">
      <c r="A46" s="5">
        <v>49606</v>
      </c>
      <c r="B46" s="2" t="s">
        <v>280</v>
      </c>
      <c r="C46" s="2" t="s">
        <v>235</v>
      </c>
      <c r="D46" t="s">
        <v>636</v>
      </c>
      <c r="E46" s="4">
        <v>-61000</v>
      </c>
    </row>
    <row r="47" spans="1:10" x14ac:dyDescent="0.2">
      <c r="A47" s="5">
        <v>63038</v>
      </c>
      <c r="B47" s="2" t="s">
        <v>281</v>
      </c>
      <c r="C47" s="2" t="s">
        <v>235</v>
      </c>
      <c r="D47" t="s">
        <v>637</v>
      </c>
      <c r="E47" s="4">
        <v>-20000</v>
      </c>
    </row>
    <row r="48" spans="1:10" x14ac:dyDescent="0.2">
      <c r="A48" s="5">
        <v>389</v>
      </c>
      <c r="B48" s="2" t="s">
        <v>282</v>
      </c>
      <c r="C48" s="2" t="s">
        <v>235</v>
      </c>
      <c r="D48" t="s">
        <v>643</v>
      </c>
      <c r="E48" s="4">
        <v>-418000</v>
      </c>
    </row>
    <row r="49" spans="1:5" x14ac:dyDescent="0.2">
      <c r="A49" s="5">
        <v>674</v>
      </c>
      <c r="B49" s="2" t="s">
        <v>283</v>
      </c>
      <c r="C49" s="2" t="s">
        <v>228</v>
      </c>
      <c r="D49" t="s">
        <v>642</v>
      </c>
      <c r="E49" s="4">
        <v>421000</v>
      </c>
    </row>
    <row r="50" spans="1:5" x14ac:dyDescent="0.2">
      <c r="A50" s="5">
        <v>18645</v>
      </c>
      <c r="B50" s="2" t="s">
        <v>284</v>
      </c>
      <c r="C50" s="2" t="s">
        <v>235</v>
      </c>
      <c r="D50" t="s">
        <v>665</v>
      </c>
      <c r="E50" s="4">
        <v>168000</v>
      </c>
    </row>
    <row r="51" spans="1:5" x14ac:dyDescent="0.2">
      <c r="A51" s="5">
        <v>182638</v>
      </c>
      <c r="B51" s="2" t="s">
        <v>285</v>
      </c>
      <c r="C51" s="2" t="s">
        <v>245</v>
      </c>
      <c r="D51" t="s">
        <v>640</v>
      </c>
      <c r="E51" s="4">
        <v>292000</v>
      </c>
    </row>
    <row r="52" spans="1:5" x14ac:dyDescent="0.2">
      <c r="A52" s="5">
        <v>358917</v>
      </c>
      <c r="B52" s="2" t="s">
        <v>286</v>
      </c>
      <c r="C52" s="2" t="s">
        <v>235</v>
      </c>
      <c r="D52" t="s">
        <v>636</v>
      </c>
      <c r="E52" s="4">
        <v>-380000</v>
      </c>
    </row>
    <row r="53" spans="1:5" x14ac:dyDescent="0.2">
      <c r="A53" s="5">
        <v>49401672</v>
      </c>
      <c r="B53" s="2" t="s">
        <v>287</v>
      </c>
      <c r="C53" s="2" t="s">
        <v>235</v>
      </c>
      <c r="D53" t="s">
        <v>664</v>
      </c>
      <c r="E53" s="4">
        <v>56000</v>
      </c>
    </row>
    <row r="54" spans="1:5" x14ac:dyDescent="0.2">
      <c r="A54" s="5">
        <v>30953166</v>
      </c>
      <c r="B54" s="2" t="s">
        <v>288</v>
      </c>
      <c r="C54" s="2" t="s">
        <v>235</v>
      </c>
      <c r="D54" t="s">
        <v>640</v>
      </c>
      <c r="E54" s="4">
        <v>-327000</v>
      </c>
    </row>
    <row r="55" spans="1:5" x14ac:dyDescent="0.2">
      <c r="A55" s="5">
        <v>6463888</v>
      </c>
      <c r="B55" s="2" t="s">
        <v>289</v>
      </c>
      <c r="C55" s="2" t="s">
        <v>235</v>
      </c>
      <c r="D55" t="s">
        <v>643</v>
      </c>
      <c r="E55" s="4">
        <v>370000</v>
      </c>
    </row>
    <row r="56" spans="1:5" x14ac:dyDescent="0.2">
      <c r="A56" s="5">
        <v>632331</v>
      </c>
      <c r="B56" s="2" t="s">
        <v>290</v>
      </c>
      <c r="C56" s="2" t="s">
        <v>243</v>
      </c>
      <c r="D56" t="s">
        <v>638</v>
      </c>
      <c r="E56" s="4">
        <v>105000</v>
      </c>
    </row>
    <row r="57" spans="1:5" x14ac:dyDescent="0.2">
      <c r="A57" s="5">
        <v>82598</v>
      </c>
      <c r="B57" s="2" t="s">
        <v>291</v>
      </c>
      <c r="C57" s="2" t="s">
        <v>235</v>
      </c>
      <c r="D57" t="s">
        <v>643</v>
      </c>
      <c r="E57" s="4">
        <v>244000</v>
      </c>
    </row>
    <row r="58" spans="1:5" x14ac:dyDescent="0.2">
      <c r="A58" s="5">
        <v>11127428</v>
      </c>
      <c r="B58" s="2" t="s">
        <v>292</v>
      </c>
      <c r="C58" s="2" t="s">
        <v>235</v>
      </c>
      <c r="D58" t="s">
        <v>665</v>
      </c>
      <c r="E58" s="4">
        <v>-52000</v>
      </c>
    </row>
    <row r="59" spans="1:5" x14ac:dyDescent="0.2">
      <c r="A59" s="5">
        <v>182</v>
      </c>
      <c r="B59" s="2" t="s">
        <v>293</v>
      </c>
      <c r="C59" s="2" t="s">
        <v>249</v>
      </c>
      <c r="D59" t="s">
        <v>635</v>
      </c>
      <c r="E59" s="4">
        <v>399000</v>
      </c>
    </row>
    <row r="60" spans="1:5" x14ac:dyDescent="0.2">
      <c r="A60" s="5">
        <v>54380044</v>
      </c>
      <c r="B60" s="2" t="s">
        <v>294</v>
      </c>
      <c r="C60" s="2" t="s">
        <v>235</v>
      </c>
      <c r="D60" t="s">
        <v>643</v>
      </c>
      <c r="E60" s="4">
        <v>106000</v>
      </c>
    </row>
    <row r="61" spans="1:5" x14ac:dyDescent="0.2">
      <c r="A61" s="5">
        <v>5635729</v>
      </c>
      <c r="B61" s="2" t="s">
        <v>295</v>
      </c>
      <c r="C61" s="2" t="s">
        <v>249</v>
      </c>
      <c r="D61" t="s">
        <v>638</v>
      </c>
      <c r="E61" s="4">
        <v>289000</v>
      </c>
    </row>
    <row r="62" spans="1:5" x14ac:dyDescent="0.2">
      <c r="A62" s="5">
        <v>35690</v>
      </c>
      <c r="B62" s="2" t="s">
        <v>296</v>
      </c>
      <c r="C62" s="2" t="s">
        <v>245</v>
      </c>
      <c r="D62" t="s">
        <v>638</v>
      </c>
      <c r="E62" s="4">
        <v>36000</v>
      </c>
    </row>
    <row r="63" spans="1:5" x14ac:dyDescent="0.2">
      <c r="A63" s="5">
        <v>867471</v>
      </c>
      <c r="B63" s="2" t="s">
        <v>297</v>
      </c>
      <c r="C63" s="2" t="s">
        <v>245</v>
      </c>
      <c r="D63" t="s">
        <v>636</v>
      </c>
      <c r="E63" s="4">
        <v>-199000</v>
      </c>
    </row>
    <row r="64" spans="1:5" x14ac:dyDescent="0.2">
      <c r="A64" s="5">
        <v>30160</v>
      </c>
      <c r="B64" s="2" t="s">
        <v>298</v>
      </c>
      <c r="C64" s="2" t="s">
        <v>235</v>
      </c>
      <c r="D64" t="s">
        <v>636</v>
      </c>
      <c r="E64" s="4">
        <v>-482000</v>
      </c>
    </row>
    <row r="65" spans="1:5" x14ac:dyDescent="0.2">
      <c r="A65" s="5">
        <v>47459</v>
      </c>
      <c r="B65" s="2" t="s">
        <v>299</v>
      </c>
      <c r="C65" s="2" t="s">
        <v>251</v>
      </c>
      <c r="D65" t="s">
        <v>636</v>
      </c>
      <c r="E65" s="4">
        <v>35000</v>
      </c>
    </row>
    <row r="66" spans="1:5" x14ac:dyDescent="0.2">
      <c r="A66" s="5">
        <v>17</v>
      </c>
      <c r="B66" s="2" t="s">
        <v>300</v>
      </c>
      <c r="C66" s="2" t="s">
        <v>243</v>
      </c>
      <c r="D66" t="s">
        <v>638</v>
      </c>
      <c r="E66" s="4">
        <v>373000</v>
      </c>
    </row>
    <row r="67" spans="1:5" x14ac:dyDescent="0.2">
      <c r="A67" s="5">
        <v>340806</v>
      </c>
      <c r="B67" s="2" t="s">
        <v>301</v>
      </c>
      <c r="C67" s="2" t="s">
        <v>235</v>
      </c>
      <c r="D67" t="s">
        <v>636</v>
      </c>
      <c r="E67" s="4">
        <v>-95000</v>
      </c>
    </row>
    <row r="68" spans="1:5" x14ac:dyDescent="0.2">
      <c r="A68" s="5">
        <v>699</v>
      </c>
      <c r="B68" s="2" t="s">
        <v>302</v>
      </c>
      <c r="C68" s="2" t="s">
        <v>235</v>
      </c>
      <c r="D68" t="s">
        <v>643</v>
      </c>
      <c r="E68" s="4">
        <v>-37000</v>
      </c>
    </row>
    <row r="69" spans="1:5" x14ac:dyDescent="0.2">
      <c r="A69" s="5">
        <v>1401</v>
      </c>
      <c r="B69" s="2" t="s">
        <v>303</v>
      </c>
      <c r="C69" s="2" t="s">
        <v>249</v>
      </c>
      <c r="D69" t="s">
        <v>637</v>
      </c>
      <c r="E69" s="4">
        <v>-215000</v>
      </c>
    </row>
    <row r="70" spans="1:5" x14ac:dyDescent="0.2">
      <c r="A70" s="5">
        <v>77</v>
      </c>
      <c r="B70" s="2" t="s">
        <v>304</v>
      </c>
      <c r="C70" s="2" t="s">
        <v>249</v>
      </c>
      <c r="D70" t="s">
        <v>639</v>
      </c>
      <c r="E70" s="4">
        <v>-334000</v>
      </c>
    </row>
    <row r="71" spans="1:5" x14ac:dyDescent="0.2">
      <c r="A71" s="5">
        <v>4994487</v>
      </c>
      <c r="B71" s="2" t="s">
        <v>305</v>
      </c>
      <c r="C71" s="2" t="s">
        <v>238</v>
      </c>
      <c r="D71" t="s">
        <v>640</v>
      </c>
      <c r="E71" s="4">
        <v>197000</v>
      </c>
    </row>
    <row r="72" spans="1:5" x14ac:dyDescent="0.2">
      <c r="A72" s="5">
        <v>5290</v>
      </c>
      <c r="B72" s="2" t="s">
        <v>306</v>
      </c>
      <c r="C72" s="2" t="s">
        <v>235</v>
      </c>
      <c r="D72" t="s">
        <v>640</v>
      </c>
      <c r="E72" s="4">
        <v>-254000</v>
      </c>
    </row>
    <row r="73" spans="1:5" x14ac:dyDescent="0.2">
      <c r="A73" s="5">
        <v>4815770</v>
      </c>
      <c r="B73" s="2" t="s">
        <v>307</v>
      </c>
      <c r="C73" s="2" t="s">
        <v>251</v>
      </c>
      <c r="D73" t="s">
        <v>640</v>
      </c>
      <c r="E73" s="4">
        <v>40000</v>
      </c>
    </row>
    <row r="74" spans="1:5" x14ac:dyDescent="0.2">
      <c r="A74" s="5">
        <v>101694</v>
      </c>
      <c r="B74" s="2" t="s">
        <v>308</v>
      </c>
      <c r="C74" s="2" t="s">
        <v>235</v>
      </c>
      <c r="D74" t="s">
        <v>637</v>
      </c>
      <c r="E74" s="4">
        <v>321000</v>
      </c>
    </row>
    <row r="75" spans="1:5" x14ac:dyDescent="0.2">
      <c r="A75" s="5">
        <v>212255</v>
      </c>
      <c r="B75" s="2" t="s">
        <v>309</v>
      </c>
      <c r="C75" s="2" t="s">
        <v>235</v>
      </c>
      <c r="D75" t="s">
        <v>664</v>
      </c>
      <c r="E75" s="4">
        <v>314000</v>
      </c>
    </row>
    <row r="76" spans="1:5" x14ac:dyDescent="0.2">
      <c r="A76" s="5">
        <v>82983</v>
      </c>
      <c r="B76" s="2" t="s">
        <v>310</v>
      </c>
      <c r="C76" s="2" t="s">
        <v>230</v>
      </c>
      <c r="D76" t="s">
        <v>636</v>
      </c>
      <c r="E76" s="4">
        <v>282000</v>
      </c>
    </row>
    <row r="77" spans="1:5" x14ac:dyDescent="0.2">
      <c r="A77" s="5">
        <v>33</v>
      </c>
      <c r="B77" s="2" t="s">
        <v>311</v>
      </c>
      <c r="C77" s="2" t="s">
        <v>235</v>
      </c>
      <c r="D77" t="s">
        <v>640</v>
      </c>
      <c r="E77" s="4">
        <v>365000</v>
      </c>
    </row>
    <row r="78" spans="1:5" x14ac:dyDescent="0.2">
      <c r="A78" s="5">
        <v>3766</v>
      </c>
      <c r="B78" s="2" t="s">
        <v>312</v>
      </c>
      <c r="C78" s="2" t="s">
        <v>235</v>
      </c>
      <c r="D78" t="s">
        <v>643</v>
      </c>
      <c r="E78" s="4">
        <v>-149000</v>
      </c>
    </row>
    <row r="79" spans="1:5" x14ac:dyDescent="0.2">
      <c r="A79" s="5">
        <v>321673</v>
      </c>
      <c r="B79" s="2" t="s">
        <v>313</v>
      </c>
      <c r="C79" s="2" t="s">
        <v>243</v>
      </c>
      <c r="D79" t="s">
        <v>635</v>
      </c>
      <c r="E79" s="4">
        <v>-442000</v>
      </c>
    </row>
    <row r="80" spans="1:5" x14ac:dyDescent="0.2">
      <c r="A80" s="5">
        <v>83</v>
      </c>
      <c r="B80" s="2" t="s">
        <v>314</v>
      </c>
      <c r="C80" s="2" t="s">
        <v>243</v>
      </c>
      <c r="D80" t="s">
        <v>637</v>
      </c>
      <c r="E80" s="4">
        <v>-198000</v>
      </c>
    </row>
    <row r="81" spans="1:5" x14ac:dyDescent="0.2">
      <c r="A81" s="5">
        <v>148445</v>
      </c>
      <c r="B81" s="2" t="s">
        <v>315</v>
      </c>
      <c r="C81" s="2" t="s">
        <v>251</v>
      </c>
      <c r="D81" t="s">
        <v>638</v>
      </c>
      <c r="E81" s="4">
        <v>229000</v>
      </c>
    </row>
    <row r="82" spans="1:5" x14ac:dyDescent="0.2">
      <c r="A82" s="5">
        <v>5346</v>
      </c>
      <c r="B82" s="2" t="s">
        <v>316</v>
      </c>
      <c r="C82" s="2" t="s">
        <v>241</v>
      </c>
      <c r="D82" t="s">
        <v>642</v>
      </c>
      <c r="E82" s="4">
        <v>49000</v>
      </c>
    </row>
    <row r="83" spans="1:5" x14ac:dyDescent="0.2">
      <c r="A83" s="5">
        <v>88144</v>
      </c>
      <c r="B83" s="2" t="s">
        <v>317</v>
      </c>
      <c r="C83" s="2" t="s">
        <v>235</v>
      </c>
      <c r="D83" t="s">
        <v>664</v>
      </c>
      <c r="E83" s="4">
        <v>61000</v>
      </c>
    </row>
    <row r="84" spans="1:5" x14ac:dyDescent="0.2">
      <c r="A84" s="5">
        <v>36182332</v>
      </c>
      <c r="B84" s="2" t="s">
        <v>318</v>
      </c>
      <c r="C84" s="2" t="s">
        <v>249</v>
      </c>
      <c r="D84" t="s">
        <v>637</v>
      </c>
      <c r="E84" s="4">
        <v>181000</v>
      </c>
    </row>
    <row r="85" spans="1:5" x14ac:dyDescent="0.2">
      <c r="A85" s="5">
        <v>51</v>
      </c>
      <c r="B85" s="2" t="s">
        <v>319</v>
      </c>
      <c r="C85" s="2" t="s">
        <v>245</v>
      </c>
      <c r="D85" t="s">
        <v>636</v>
      </c>
      <c r="E85" s="4">
        <v>350000</v>
      </c>
    </row>
    <row r="86" spans="1:5" x14ac:dyDescent="0.2">
      <c r="A86" s="5">
        <v>848</v>
      </c>
      <c r="B86" s="2" t="s">
        <v>320</v>
      </c>
      <c r="C86" s="2" t="s">
        <v>241</v>
      </c>
      <c r="D86" t="s">
        <v>636</v>
      </c>
      <c r="E86" s="4">
        <v>-4000</v>
      </c>
    </row>
    <row r="87" spans="1:5" x14ac:dyDescent="0.2">
      <c r="A87" s="5">
        <v>9892</v>
      </c>
      <c r="B87" s="2" t="s">
        <v>321</v>
      </c>
      <c r="C87" s="2" t="s">
        <v>243</v>
      </c>
      <c r="D87" t="s">
        <v>635</v>
      </c>
      <c r="E87" s="4">
        <v>-443000</v>
      </c>
    </row>
    <row r="88" spans="1:5" x14ac:dyDescent="0.2">
      <c r="A88" s="5">
        <v>3942</v>
      </c>
      <c r="B88" s="2" t="s">
        <v>322</v>
      </c>
      <c r="C88" s="2" t="s">
        <v>235</v>
      </c>
      <c r="D88" t="s">
        <v>643</v>
      </c>
      <c r="E88" s="4">
        <v>-415000</v>
      </c>
    </row>
    <row r="89" spans="1:5" x14ac:dyDescent="0.2">
      <c r="A89" s="5">
        <v>481</v>
      </c>
      <c r="B89" s="2" t="s">
        <v>323</v>
      </c>
      <c r="C89" s="2" t="s">
        <v>235</v>
      </c>
      <c r="D89" t="s">
        <v>643</v>
      </c>
      <c r="E89" s="4">
        <v>410000</v>
      </c>
    </row>
    <row r="90" spans="1:5" x14ac:dyDescent="0.2">
      <c r="A90" s="5">
        <v>958162</v>
      </c>
      <c r="B90" s="2" t="s">
        <v>324</v>
      </c>
      <c r="C90" s="2" t="s">
        <v>249</v>
      </c>
      <c r="D90" t="s">
        <v>638</v>
      </c>
      <c r="E90" s="4">
        <v>495000</v>
      </c>
    </row>
    <row r="91" spans="1:5" x14ac:dyDescent="0.2">
      <c r="A91" s="5">
        <v>229</v>
      </c>
      <c r="B91" s="2" t="s">
        <v>325</v>
      </c>
      <c r="C91" s="2" t="s">
        <v>241</v>
      </c>
      <c r="D91" t="s">
        <v>640</v>
      </c>
      <c r="E91" s="4">
        <v>279000</v>
      </c>
    </row>
    <row r="92" spans="1:5" x14ac:dyDescent="0.2">
      <c r="A92" s="5">
        <v>23729876</v>
      </c>
      <c r="B92" s="2" t="s">
        <v>326</v>
      </c>
      <c r="C92" s="2" t="s">
        <v>251</v>
      </c>
      <c r="D92" t="s">
        <v>637</v>
      </c>
      <c r="E92" s="4">
        <v>-457000</v>
      </c>
    </row>
    <row r="93" spans="1:5" x14ac:dyDescent="0.2">
      <c r="A93" s="5">
        <v>4746939</v>
      </c>
      <c r="B93" s="2" t="s">
        <v>327</v>
      </c>
      <c r="C93" s="2" t="s">
        <v>235</v>
      </c>
      <c r="D93" t="s">
        <v>664</v>
      </c>
      <c r="E93" s="4">
        <v>-362000</v>
      </c>
    </row>
    <row r="94" spans="1:5" x14ac:dyDescent="0.2">
      <c r="A94" s="5">
        <v>19264</v>
      </c>
      <c r="B94" s="2" t="s">
        <v>328</v>
      </c>
      <c r="C94" s="2" t="s">
        <v>243</v>
      </c>
      <c r="D94" t="s">
        <v>642</v>
      </c>
      <c r="E94" s="4">
        <v>167000</v>
      </c>
    </row>
    <row r="95" spans="1:5" x14ac:dyDescent="0.2">
      <c r="A95" s="5">
        <v>5308</v>
      </c>
      <c r="B95" s="2" t="s">
        <v>329</v>
      </c>
      <c r="C95" s="2" t="s">
        <v>249</v>
      </c>
      <c r="D95" t="s">
        <v>637</v>
      </c>
      <c r="E95" s="4">
        <v>76000</v>
      </c>
    </row>
    <row r="96" spans="1:5" x14ac:dyDescent="0.2">
      <c r="A96" s="5">
        <v>920</v>
      </c>
      <c r="B96" s="2" t="s">
        <v>330</v>
      </c>
      <c r="C96" s="2" t="s">
        <v>241</v>
      </c>
      <c r="D96" t="s">
        <v>638</v>
      </c>
      <c r="E96" s="4">
        <v>-146000</v>
      </c>
    </row>
    <row r="97" spans="1:5" x14ac:dyDescent="0.2">
      <c r="A97" s="5">
        <v>78374480</v>
      </c>
      <c r="B97" s="2" t="s">
        <v>331</v>
      </c>
      <c r="C97" s="2" t="s">
        <v>235</v>
      </c>
      <c r="D97" t="s">
        <v>664</v>
      </c>
      <c r="E97" s="4">
        <v>493000</v>
      </c>
    </row>
    <row r="98" spans="1:5" x14ac:dyDescent="0.2">
      <c r="A98" s="5">
        <v>1662218</v>
      </c>
      <c r="B98" s="2" t="s">
        <v>332</v>
      </c>
      <c r="C98" s="2" t="s">
        <v>235</v>
      </c>
      <c r="D98" t="s">
        <v>664</v>
      </c>
      <c r="E98" s="4">
        <v>-15000</v>
      </c>
    </row>
    <row r="99" spans="1:5" x14ac:dyDescent="0.2">
      <c r="A99" s="5">
        <v>248</v>
      </c>
      <c r="B99" s="2" t="s">
        <v>333</v>
      </c>
      <c r="C99" s="2" t="s">
        <v>245</v>
      </c>
      <c r="D99" t="s">
        <v>640</v>
      </c>
      <c r="E99" s="4">
        <v>205000</v>
      </c>
    </row>
    <row r="100" spans="1:5" x14ac:dyDescent="0.2">
      <c r="A100" s="5">
        <v>53910</v>
      </c>
      <c r="B100" s="2" t="s">
        <v>334</v>
      </c>
      <c r="C100" s="2" t="s">
        <v>238</v>
      </c>
      <c r="D100" t="s">
        <v>635</v>
      </c>
      <c r="E100" s="4">
        <v>34000</v>
      </c>
    </row>
    <row r="101" spans="1:5" x14ac:dyDescent="0.2">
      <c r="A101" s="5">
        <v>53043</v>
      </c>
      <c r="B101" s="2" t="s">
        <v>335</v>
      </c>
      <c r="C101" s="2" t="s">
        <v>230</v>
      </c>
      <c r="D101" t="s">
        <v>643</v>
      </c>
      <c r="E101" s="4">
        <v>100000</v>
      </c>
    </row>
    <row r="102" spans="1:5" x14ac:dyDescent="0.2">
      <c r="A102" s="5">
        <v>90924</v>
      </c>
      <c r="B102" s="2" t="s">
        <v>336</v>
      </c>
      <c r="C102" s="2" t="s">
        <v>251</v>
      </c>
      <c r="D102" t="s">
        <v>638</v>
      </c>
      <c r="E102" s="4">
        <v>-124000</v>
      </c>
    </row>
    <row r="103" spans="1:5" x14ac:dyDescent="0.2">
      <c r="A103" s="5">
        <v>149</v>
      </c>
      <c r="B103" s="2" t="s">
        <v>337</v>
      </c>
      <c r="C103" s="2" t="s">
        <v>230</v>
      </c>
      <c r="D103" t="s">
        <v>640</v>
      </c>
      <c r="E103" s="4">
        <v>291000</v>
      </c>
    </row>
    <row r="104" spans="1:5" x14ac:dyDescent="0.2">
      <c r="A104" s="5">
        <v>9142</v>
      </c>
      <c r="B104" s="2" t="s">
        <v>338</v>
      </c>
      <c r="C104" s="2" t="s">
        <v>235</v>
      </c>
      <c r="D104" t="s">
        <v>664</v>
      </c>
      <c r="E104" s="4">
        <v>-423000</v>
      </c>
    </row>
    <row r="105" spans="1:5" x14ac:dyDescent="0.2">
      <c r="A105" s="5">
        <v>97700070</v>
      </c>
      <c r="B105" s="2" t="s">
        <v>338</v>
      </c>
      <c r="C105" s="2" t="s">
        <v>235</v>
      </c>
      <c r="D105" t="s">
        <v>664</v>
      </c>
      <c r="E105" s="4">
        <v>-48000</v>
      </c>
    </row>
    <row r="106" spans="1:5" x14ac:dyDescent="0.2">
      <c r="A106" s="5">
        <v>159</v>
      </c>
      <c r="B106" s="2" t="s">
        <v>339</v>
      </c>
      <c r="C106" s="2" t="s">
        <v>241</v>
      </c>
      <c r="D106" t="s">
        <v>643</v>
      </c>
      <c r="E106" s="4">
        <v>38000</v>
      </c>
    </row>
    <row r="107" spans="1:5" x14ac:dyDescent="0.2">
      <c r="A107" s="5">
        <v>87</v>
      </c>
      <c r="B107" s="2" t="s">
        <v>340</v>
      </c>
      <c r="C107" s="2" t="s">
        <v>243</v>
      </c>
      <c r="D107" t="s">
        <v>642</v>
      </c>
      <c r="E107" s="4">
        <v>328000</v>
      </c>
    </row>
    <row r="108" spans="1:5" x14ac:dyDescent="0.2">
      <c r="A108" s="5">
        <v>8585145</v>
      </c>
      <c r="B108" s="2" t="s">
        <v>341</v>
      </c>
      <c r="C108" s="2" t="s">
        <v>235</v>
      </c>
      <c r="D108" t="s">
        <v>664</v>
      </c>
      <c r="E108" s="4">
        <v>289000</v>
      </c>
    </row>
    <row r="109" spans="1:5" x14ac:dyDescent="0.2">
      <c r="A109" s="5">
        <v>7731613</v>
      </c>
      <c r="B109" s="2" t="s">
        <v>342</v>
      </c>
      <c r="C109" s="2" t="s">
        <v>235</v>
      </c>
      <c r="D109" t="s">
        <v>664</v>
      </c>
      <c r="E109" s="4">
        <v>-169000</v>
      </c>
    </row>
    <row r="110" spans="1:5" x14ac:dyDescent="0.2">
      <c r="A110" s="5">
        <v>23</v>
      </c>
      <c r="B110" s="2" t="s">
        <v>343</v>
      </c>
      <c r="C110" s="2" t="s">
        <v>249</v>
      </c>
      <c r="D110" t="s">
        <v>636</v>
      </c>
      <c r="E110" s="4">
        <v>-294000</v>
      </c>
    </row>
    <row r="111" spans="1:5" x14ac:dyDescent="0.2">
      <c r="A111" s="5">
        <v>39</v>
      </c>
      <c r="B111" s="2" t="s">
        <v>344</v>
      </c>
      <c r="C111" s="2" t="s">
        <v>238</v>
      </c>
      <c r="D111" t="s">
        <v>636</v>
      </c>
      <c r="E111" s="4">
        <v>-422000</v>
      </c>
    </row>
    <row r="112" spans="1:5" x14ac:dyDescent="0.2">
      <c r="A112" s="5">
        <v>910515</v>
      </c>
      <c r="B112" s="2" t="s">
        <v>345</v>
      </c>
      <c r="C112" s="2" t="s">
        <v>235</v>
      </c>
      <c r="D112" t="s">
        <v>643</v>
      </c>
      <c r="E112" s="4">
        <v>175000</v>
      </c>
    </row>
    <row r="113" spans="1:5" x14ac:dyDescent="0.2">
      <c r="A113" s="5">
        <v>580341</v>
      </c>
      <c r="B113" s="2" t="s">
        <v>346</v>
      </c>
      <c r="C113" s="2" t="s">
        <v>238</v>
      </c>
      <c r="D113" t="s">
        <v>643</v>
      </c>
      <c r="E113" s="4">
        <v>162000</v>
      </c>
    </row>
    <row r="114" spans="1:5" x14ac:dyDescent="0.2">
      <c r="A114" s="5">
        <v>323</v>
      </c>
      <c r="B114" s="2" t="s">
        <v>347</v>
      </c>
      <c r="C114" s="2" t="s">
        <v>235</v>
      </c>
      <c r="D114" t="s">
        <v>636</v>
      </c>
      <c r="E114" s="4">
        <v>184000</v>
      </c>
    </row>
    <row r="115" spans="1:5" x14ac:dyDescent="0.2">
      <c r="A115" s="5">
        <v>5787</v>
      </c>
      <c r="B115" s="2" t="s">
        <v>348</v>
      </c>
      <c r="C115" s="2" t="s">
        <v>235</v>
      </c>
      <c r="D115" t="s">
        <v>636</v>
      </c>
      <c r="E115" s="4">
        <v>231000</v>
      </c>
    </row>
    <row r="116" spans="1:5" x14ac:dyDescent="0.2">
      <c r="A116" s="5">
        <v>3242180</v>
      </c>
      <c r="B116" s="2" t="s">
        <v>349</v>
      </c>
      <c r="C116" s="2" t="s">
        <v>235</v>
      </c>
      <c r="D116" t="s">
        <v>640</v>
      </c>
      <c r="E116" s="4">
        <v>-393000</v>
      </c>
    </row>
    <row r="117" spans="1:5" x14ac:dyDescent="0.2">
      <c r="A117" s="5">
        <v>48434256</v>
      </c>
      <c r="B117" s="2" t="s">
        <v>350</v>
      </c>
      <c r="C117" s="2" t="s">
        <v>245</v>
      </c>
      <c r="D117" t="s">
        <v>642</v>
      </c>
      <c r="E117" s="4">
        <v>17000</v>
      </c>
    </row>
    <row r="118" spans="1:5" x14ac:dyDescent="0.2">
      <c r="A118" s="5">
        <v>198</v>
      </c>
      <c r="B118" s="2" t="s">
        <v>351</v>
      </c>
      <c r="C118" s="2" t="s">
        <v>235</v>
      </c>
      <c r="D118" t="s">
        <v>642</v>
      </c>
      <c r="E118" s="4">
        <v>446000</v>
      </c>
    </row>
    <row r="119" spans="1:5" x14ac:dyDescent="0.2">
      <c r="A119" s="5">
        <v>750049</v>
      </c>
      <c r="B119" s="2" t="s">
        <v>352</v>
      </c>
      <c r="C119" s="2" t="s">
        <v>235</v>
      </c>
      <c r="D119" t="s">
        <v>637</v>
      </c>
      <c r="E119" s="4">
        <v>-358000</v>
      </c>
    </row>
    <row r="120" spans="1:5" x14ac:dyDescent="0.2">
      <c r="A120" s="5">
        <v>1308</v>
      </c>
      <c r="B120" s="2" t="s">
        <v>353</v>
      </c>
      <c r="C120" s="2" t="s">
        <v>235</v>
      </c>
      <c r="D120" t="s">
        <v>636</v>
      </c>
      <c r="E120" s="4">
        <v>-215000</v>
      </c>
    </row>
    <row r="121" spans="1:5" x14ac:dyDescent="0.2">
      <c r="A121" s="5">
        <v>18057537</v>
      </c>
      <c r="B121" s="2" t="s">
        <v>354</v>
      </c>
      <c r="C121" s="2" t="s">
        <v>241</v>
      </c>
      <c r="D121" t="s">
        <v>643</v>
      </c>
      <c r="E121" s="4">
        <v>490000</v>
      </c>
    </row>
    <row r="122" spans="1:5" x14ac:dyDescent="0.2">
      <c r="A122" s="5">
        <v>69528</v>
      </c>
      <c r="B122" s="2" t="s">
        <v>355</v>
      </c>
      <c r="C122" s="2" t="s">
        <v>245</v>
      </c>
      <c r="D122" t="s">
        <v>637</v>
      </c>
      <c r="E122" s="4">
        <v>63000</v>
      </c>
    </row>
    <row r="123" spans="1:5" x14ac:dyDescent="0.2">
      <c r="A123" s="5">
        <v>75273</v>
      </c>
      <c r="B123" s="2" t="s">
        <v>356</v>
      </c>
      <c r="C123" s="2" t="s">
        <v>235</v>
      </c>
      <c r="D123" t="s">
        <v>664</v>
      </c>
      <c r="E123" s="4">
        <v>-345000</v>
      </c>
    </row>
    <row r="124" spans="1:5" x14ac:dyDescent="0.2">
      <c r="A124" s="5">
        <v>42535077</v>
      </c>
      <c r="B124" s="2" t="s">
        <v>357</v>
      </c>
      <c r="C124" s="2" t="s">
        <v>238</v>
      </c>
      <c r="D124" t="s">
        <v>637</v>
      </c>
      <c r="E124" s="4">
        <v>-122000</v>
      </c>
    </row>
    <row r="125" spans="1:5" x14ac:dyDescent="0.2">
      <c r="A125" s="5">
        <v>820945</v>
      </c>
      <c r="B125" s="2" t="s">
        <v>358</v>
      </c>
      <c r="C125" s="2" t="s">
        <v>235</v>
      </c>
      <c r="D125" t="s">
        <v>636</v>
      </c>
      <c r="E125" s="4">
        <v>403000</v>
      </c>
    </row>
    <row r="126" spans="1:5" x14ac:dyDescent="0.2">
      <c r="A126" s="5">
        <v>95804106</v>
      </c>
      <c r="B126" s="2" t="s">
        <v>359</v>
      </c>
      <c r="C126" s="2" t="s">
        <v>245</v>
      </c>
      <c r="D126" t="s">
        <v>636</v>
      </c>
      <c r="E126" s="4">
        <v>-243000</v>
      </c>
    </row>
    <row r="127" spans="1:5" x14ac:dyDescent="0.2">
      <c r="A127" s="5">
        <v>98597711</v>
      </c>
      <c r="B127" s="2" t="s">
        <v>360</v>
      </c>
      <c r="C127" s="2" t="s">
        <v>235</v>
      </c>
      <c r="D127" t="s">
        <v>636</v>
      </c>
      <c r="E127" s="4">
        <v>-1000</v>
      </c>
    </row>
    <row r="128" spans="1:5" x14ac:dyDescent="0.2">
      <c r="A128" s="5">
        <v>1762696</v>
      </c>
      <c r="B128" s="2" t="s">
        <v>361</v>
      </c>
      <c r="C128" s="2" t="s">
        <v>235</v>
      </c>
      <c r="D128" t="s">
        <v>640</v>
      </c>
      <c r="E128" s="4">
        <v>-425000</v>
      </c>
    </row>
    <row r="129" spans="1:5" x14ac:dyDescent="0.2">
      <c r="A129" s="5">
        <v>3325623</v>
      </c>
      <c r="B129" s="2" t="s">
        <v>362</v>
      </c>
      <c r="C129" s="2" t="s">
        <v>235</v>
      </c>
      <c r="D129" t="s">
        <v>664</v>
      </c>
      <c r="E129" s="4">
        <v>-9000</v>
      </c>
    </row>
    <row r="130" spans="1:5" x14ac:dyDescent="0.2">
      <c r="A130" s="5">
        <v>13605</v>
      </c>
      <c r="B130" s="2" t="s">
        <v>363</v>
      </c>
      <c r="C130" s="2" t="s">
        <v>245</v>
      </c>
      <c r="D130" t="s">
        <v>638</v>
      </c>
      <c r="E130" s="4">
        <v>161000</v>
      </c>
    </row>
    <row r="131" spans="1:5" x14ac:dyDescent="0.2">
      <c r="A131" s="5">
        <v>895084</v>
      </c>
      <c r="B131" s="2" t="s">
        <v>364</v>
      </c>
      <c r="C131" s="2" t="s">
        <v>235</v>
      </c>
      <c r="D131" t="s">
        <v>643</v>
      </c>
      <c r="E131" s="4">
        <v>77000</v>
      </c>
    </row>
    <row r="132" spans="1:5" x14ac:dyDescent="0.2">
      <c r="A132" s="5">
        <v>4087190</v>
      </c>
      <c r="B132" s="2" t="s">
        <v>365</v>
      </c>
      <c r="C132" s="2" t="s">
        <v>235</v>
      </c>
      <c r="D132" t="s">
        <v>637</v>
      </c>
      <c r="E132" s="4">
        <v>295000</v>
      </c>
    </row>
    <row r="133" spans="1:5" x14ac:dyDescent="0.2">
      <c r="A133" s="5">
        <v>4515</v>
      </c>
      <c r="B133" s="2" t="s">
        <v>366</v>
      </c>
      <c r="C133" s="2" t="s">
        <v>235</v>
      </c>
      <c r="D133" t="s">
        <v>643</v>
      </c>
      <c r="E133" s="4">
        <v>152000</v>
      </c>
    </row>
    <row r="134" spans="1:5" x14ac:dyDescent="0.2">
      <c r="A134" s="5">
        <v>56383353</v>
      </c>
      <c r="B134" s="2" t="s">
        <v>367</v>
      </c>
      <c r="C134" s="2" t="s">
        <v>235</v>
      </c>
      <c r="D134" t="s">
        <v>642</v>
      </c>
      <c r="E134" s="4">
        <v>-234000</v>
      </c>
    </row>
    <row r="135" spans="1:5" x14ac:dyDescent="0.2">
      <c r="A135" s="5">
        <v>92019613</v>
      </c>
      <c r="B135" s="2" t="s">
        <v>368</v>
      </c>
      <c r="C135" s="2" t="s">
        <v>235</v>
      </c>
      <c r="D135" t="s">
        <v>636</v>
      </c>
      <c r="E135" s="4">
        <v>-286000</v>
      </c>
    </row>
    <row r="136" spans="1:5" x14ac:dyDescent="0.2">
      <c r="A136" s="5">
        <v>655</v>
      </c>
      <c r="B136" s="2" t="s">
        <v>369</v>
      </c>
      <c r="C136" s="2" t="s">
        <v>235</v>
      </c>
      <c r="D136" t="s">
        <v>664</v>
      </c>
      <c r="E136" s="4">
        <v>289000</v>
      </c>
    </row>
    <row r="137" spans="1:5" x14ac:dyDescent="0.2">
      <c r="A137" s="5">
        <v>57493</v>
      </c>
      <c r="B137" s="2" t="s">
        <v>370</v>
      </c>
      <c r="C137" s="2" t="s">
        <v>235</v>
      </c>
      <c r="D137" t="s">
        <v>636</v>
      </c>
      <c r="E137" s="4">
        <v>-90000</v>
      </c>
    </row>
    <row r="138" spans="1:5" x14ac:dyDescent="0.2">
      <c r="A138" s="5">
        <v>44</v>
      </c>
      <c r="B138" s="2" t="s">
        <v>371</v>
      </c>
      <c r="C138" s="2" t="s">
        <v>249</v>
      </c>
      <c r="D138" t="s">
        <v>636</v>
      </c>
      <c r="E138" s="4">
        <v>-288000</v>
      </c>
    </row>
    <row r="139" spans="1:5" x14ac:dyDescent="0.2">
      <c r="A139" s="5">
        <v>1028</v>
      </c>
      <c r="B139" s="2" t="s">
        <v>372</v>
      </c>
      <c r="C139" s="2" t="s">
        <v>251</v>
      </c>
      <c r="D139" t="s">
        <v>636</v>
      </c>
      <c r="E139" s="4">
        <v>-49000</v>
      </c>
    </row>
    <row r="140" spans="1:5" x14ac:dyDescent="0.2">
      <c r="A140" s="5">
        <v>4382272</v>
      </c>
      <c r="B140" s="2" t="s">
        <v>373</v>
      </c>
      <c r="C140" s="2" t="s">
        <v>235</v>
      </c>
      <c r="D140" t="s">
        <v>637</v>
      </c>
      <c r="E140" s="4">
        <v>30000</v>
      </c>
    </row>
    <row r="141" spans="1:5" x14ac:dyDescent="0.2">
      <c r="A141" s="5">
        <v>409</v>
      </c>
      <c r="B141" s="2" t="s">
        <v>374</v>
      </c>
      <c r="C141" s="2" t="s">
        <v>235</v>
      </c>
      <c r="D141" t="s">
        <v>635</v>
      </c>
      <c r="E141" s="4">
        <v>213000</v>
      </c>
    </row>
    <row r="142" spans="1:5" x14ac:dyDescent="0.2">
      <c r="A142" s="5">
        <v>212</v>
      </c>
      <c r="B142" s="2" t="s">
        <v>375</v>
      </c>
      <c r="C142" s="2" t="s">
        <v>235</v>
      </c>
      <c r="D142" t="s">
        <v>637</v>
      </c>
      <c r="E142" s="4">
        <v>264000</v>
      </c>
    </row>
    <row r="143" spans="1:5" x14ac:dyDescent="0.2">
      <c r="A143" s="5">
        <v>78565</v>
      </c>
      <c r="B143" s="2" t="s">
        <v>376</v>
      </c>
      <c r="C143" s="2" t="s">
        <v>235</v>
      </c>
      <c r="D143" t="s">
        <v>640</v>
      </c>
      <c r="E143" s="4">
        <v>95000</v>
      </c>
    </row>
    <row r="144" spans="1:5" x14ac:dyDescent="0.2">
      <c r="A144" s="5">
        <v>999</v>
      </c>
      <c r="B144" s="2" t="s">
        <v>377</v>
      </c>
      <c r="C144" s="2" t="s">
        <v>245</v>
      </c>
      <c r="D144" t="s">
        <v>638</v>
      </c>
      <c r="E144" s="4">
        <v>-423000</v>
      </c>
    </row>
    <row r="145" spans="1:5" x14ac:dyDescent="0.2">
      <c r="A145" s="5">
        <v>3840</v>
      </c>
      <c r="B145" s="2" t="s">
        <v>378</v>
      </c>
      <c r="C145" s="2" t="s">
        <v>235</v>
      </c>
      <c r="D145" t="s">
        <v>643</v>
      </c>
      <c r="E145" s="4">
        <v>443000</v>
      </c>
    </row>
    <row r="146" spans="1:5" x14ac:dyDescent="0.2">
      <c r="A146" s="5">
        <v>41</v>
      </c>
      <c r="B146" s="2" t="s">
        <v>379</v>
      </c>
      <c r="C146" s="2" t="s">
        <v>235</v>
      </c>
      <c r="D146" t="s">
        <v>636</v>
      </c>
      <c r="E146" s="4">
        <v>126000</v>
      </c>
    </row>
    <row r="147" spans="1:5" x14ac:dyDescent="0.2">
      <c r="A147" s="5">
        <v>2413</v>
      </c>
      <c r="B147" s="2" t="s">
        <v>380</v>
      </c>
      <c r="C147" s="2" t="s">
        <v>249</v>
      </c>
      <c r="D147" t="s">
        <v>643</v>
      </c>
      <c r="E147" s="4">
        <v>242000</v>
      </c>
    </row>
    <row r="148" spans="1:5" x14ac:dyDescent="0.2">
      <c r="A148" s="5">
        <v>9255851</v>
      </c>
      <c r="B148" s="2" t="s">
        <v>381</v>
      </c>
      <c r="C148" s="2" t="s">
        <v>235</v>
      </c>
      <c r="D148" t="s">
        <v>642</v>
      </c>
      <c r="E148" s="4">
        <v>405000</v>
      </c>
    </row>
    <row r="149" spans="1:5" x14ac:dyDescent="0.2">
      <c r="A149" s="5">
        <v>63528015</v>
      </c>
      <c r="B149" s="2" t="s">
        <v>382</v>
      </c>
      <c r="C149" s="2" t="s">
        <v>230</v>
      </c>
      <c r="D149" t="s">
        <v>643</v>
      </c>
      <c r="E149" s="4">
        <v>-255000</v>
      </c>
    </row>
    <row r="150" spans="1:5" x14ac:dyDescent="0.2">
      <c r="A150" s="5">
        <v>746941</v>
      </c>
      <c r="B150" s="2" t="s">
        <v>383</v>
      </c>
      <c r="C150" s="2" t="s">
        <v>235</v>
      </c>
      <c r="D150" t="s">
        <v>643</v>
      </c>
      <c r="E150" s="4">
        <v>220000</v>
      </c>
    </row>
    <row r="151" spans="1:5" x14ac:dyDescent="0.2">
      <c r="A151" s="5">
        <v>360588</v>
      </c>
      <c r="B151" s="2" t="s">
        <v>384</v>
      </c>
      <c r="C151" s="2" t="s">
        <v>235</v>
      </c>
      <c r="D151" t="s">
        <v>636</v>
      </c>
      <c r="E151" s="4">
        <v>372000</v>
      </c>
    </row>
    <row r="152" spans="1:5" x14ac:dyDescent="0.2">
      <c r="A152" s="5">
        <v>868</v>
      </c>
      <c r="B152" s="2" t="s">
        <v>385</v>
      </c>
      <c r="C152" s="2" t="s">
        <v>235</v>
      </c>
      <c r="D152" t="s">
        <v>665</v>
      </c>
      <c r="E152" s="4">
        <v>454000</v>
      </c>
    </row>
    <row r="153" spans="1:5" x14ac:dyDescent="0.2">
      <c r="A153" s="5">
        <v>95651</v>
      </c>
      <c r="B153" s="2" t="s">
        <v>386</v>
      </c>
      <c r="C153" s="2" t="s">
        <v>235</v>
      </c>
      <c r="D153" t="s">
        <v>643</v>
      </c>
      <c r="E153" s="4">
        <v>-312000</v>
      </c>
    </row>
    <row r="154" spans="1:5" x14ac:dyDescent="0.2">
      <c r="A154" s="5">
        <v>1634</v>
      </c>
      <c r="B154" s="2" t="s">
        <v>387</v>
      </c>
      <c r="C154" s="2" t="s">
        <v>235</v>
      </c>
      <c r="D154" t="s">
        <v>637</v>
      </c>
      <c r="E154" s="4">
        <v>-293000</v>
      </c>
    </row>
    <row r="155" spans="1:5" x14ac:dyDescent="0.2">
      <c r="A155" s="5">
        <v>708</v>
      </c>
      <c r="B155" s="2" t="s">
        <v>388</v>
      </c>
      <c r="C155" s="2" t="s">
        <v>235</v>
      </c>
      <c r="D155" t="s">
        <v>664</v>
      </c>
      <c r="E155" s="4">
        <v>443000</v>
      </c>
    </row>
    <row r="156" spans="1:5" x14ac:dyDescent="0.2">
      <c r="A156" s="5">
        <v>69</v>
      </c>
      <c r="B156" s="2" t="s">
        <v>389</v>
      </c>
      <c r="C156" s="2" t="s">
        <v>238</v>
      </c>
      <c r="D156" t="s">
        <v>640</v>
      </c>
      <c r="E156" s="4">
        <v>346000</v>
      </c>
    </row>
    <row r="157" spans="1:5" x14ac:dyDescent="0.2">
      <c r="A157" s="5">
        <v>9977853</v>
      </c>
      <c r="B157" s="2" t="s">
        <v>390</v>
      </c>
      <c r="C157" s="2" t="s">
        <v>235</v>
      </c>
      <c r="D157" t="s">
        <v>643</v>
      </c>
      <c r="E157" s="4">
        <v>83000</v>
      </c>
    </row>
    <row r="158" spans="1:5" x14ac:dyDescent="0.2">
      <c r="A158" s="5">
        <v>86480935</v>
      </c>
      <c r="B158" s="2" t="s">
        <v>391</v>
      </c>
      <c r="C158" s="2" t="s">
        <v>241</v>
      </c>
      <c r="D158" t="s">
        <v>643</v>
      </c>
      <c r="E158" s="4">
        <v>69000</v>
      </c>
    </row>
    <row r="159" spans="1:5" x14ac:dyDescent="0.2">
      <c r="A159" s="5">
        <v>1339249</v>
      </c>
      <c r="B159" s="2" t="s">
        <v>392</v>
      </c>
      <c r="C159" s="2" t="s">
        <v>228</v>
      </c>
      <c r="D159" t="s">
        <v>639</v>
      </c>
      <c r="E159" s="4">
        <v>-294000</v>
      </c>
    </row>
    <row r="160" spans="1:5" x14ac:dyDescent="0.2">
      <c r="A160" s="5">
        <v>1125568</v>
      </c>
      <c r="B160" s="2" t="s">
        <v>393</v>
      </c>
      <c r="C160" s="2" t="s">
        <v>235</v>
      </c>
      <c r="D160" t="s">
        <v>643</v>
      </c>
      <c r="E160" s="4">
        <v>-331000</v>
      </c>
    </row>
    <row r="161" spans="1:5" x14ac:dyDescent="0.2">
      <c r="A161" s="5">
        <v>730</v>
      </c>
      <c r="B161" s="2" t="s">
        <v>394</v>
      </c>
      <c r="C161" s="2" t="s">
        <v>235</v>
      </c>
      <c r="D161" t="s">
        <v>664</v>
      </c>
      <c r="E161" s="4">
        <v>345000</v>
      </c>
    </row>
    <row r="162" spans="1:5" x14ac:dyDescent="0.2">
      <c r="A162" s="5">
        <v>1359</v>
      </c>
      <c r="B162" s="2" t="s">
        <v>395</v>
      </c>
      <c r="C162" s="2" t="s">
        <v>235</v>
      </c>
      <c r="D162" t="s">
        <v>643</v>
      </c>
      <c r="E162" s="4">
        <v>443000</v>
      </c>
    </row>
    <row r="163" spans="1:5" x14ac:dyDescent="0.2">
      <c r="A163" s="5">
        <v>47564315</v>
      </c>
      <c r="B163" s="2" t="s">
        <v>396</v>
      </c>
      <c r="C163" s="2" t="s">
        <v>235</v>
      </c>
      <c r="D163" t="s">
        <v>636</v>
      </c>
      <c r="E163" s="4">
        <v>152000</v>
      </c>
    </row>
    <row r="164" spans="1:5" x14ac:dyDescent="0.2">
      <c r="A164" s="5">
        <v>3828</v>
      </c>
      <c r="B164" s="2" t="s">
        <v>397</v>
      </c>
      <c r="C164" s="2" t="s">
        <v>243</v>
      </c>
      <c r="D164" t="s">
        <v>637</v>
      </c>
      <c r="E164" s="4">
        <v>173000</v>
      </c>
    </row>
    <row r="165" spans="1:5" x14ac:dyDescent="0.2">
      <c r="A165" s="5">
        <v>988840</v>
      </c>
      <c r="B165" s="2" t="s">
        <v>398</v>
      </c>
      <c r="C165" s="2" t="s">
        <v>251</v>
      </c>
      <c r="D165" t="s">
        <v>637</v>
      </c>
      <c r="E165" s="4">
        <v>385000</v>
      </c>
    </row>
    <row r="166" spans="1:5" x14ac:dyDescent="0.2">
      <c r="A166" s="5">
        <v>22816</v>
      </c>
      <c r="B166" s="2" t="s">
        <v>399</v>
      </c>
      <c r="C166" s="2" t="s">
        <v>235</v>
      </c>
      <c r="D166" t="s">
        <v>664</v>
      </c>
      <c r="E166" s="4">
        <v>-470000</v>
      </c>
    </row>
    <row r="167" spans="1:5" x14ac:dyDescent="0.2">
      <c r="A167" s="5">
        <v>486</v>
      </c>
      <c r="B167" s="2" t="s">
        <v>400</v>
      </c>
      <c r="C167" s="2" t="s">
        <v>235</v>
      </c>
      <c r="D167" t="s">
        <v>637</v>
      </c>
      <c r="E167" s="4">
        <v>312000</v>
      </c>
    </row>
    <row r="168" spans="1:5" x14ac:dyDescent="0.2">
      <c r="A168" s="5">
        <v>2</v>
      </c>
      <c r="B168" s="2" t="s">
        <v>401</v>
      </c>
      <c r="C168" s="2" t="s">
        <v>230</v>
      </c>
      <c r="D168" t="s">
        <v>643</v>
      </c>
      <c r="E168" s="4">
        <v>136000</v>
      </c>
    </row>
    <row r="169" spans="1:5" x14ac:dyDescent="0.2">
      <c r="A169" s="5">
        <v>35370</v>
      </c>
      <c r="B169" s="2" t="s">
        <v>402</v>
      </c>
      <c r="C169" s="2" t="s">
        <v>245</v>
      </c>
      <c r="D169" t="s">
        <v>638</v>
      </c>
      <c r="E169" s="4">
        <v>323000</v>
      </c>
    </row>
    <row r="170" spans="1:5" x14ac:dyDescent="0.2">
      <c r="A170" s="5">
        <v>3344</v>
      </c>
      <c r="B170" s="2" t="s">
        <v>403</v>
      </c>
      <c r="C170" s="2" t="s">
        <v>249</v>
      </c>
      <c r="D170" t="s">
        <v>642</v>
      </c>
      <c r="E170" s="4">
        <v>211000</v>
      </c>
    </row>
    <row r="171" spans="1:5" x14ac:dyDescent="0.2">
      <c r="A171" s="5">
        <v>43324700</v>
      </c>
      <c r="B171" s="2" t="s">
        <v>404</v>
      </c>
      <c r="C171" s="2" t="s">
        <v>230</v>
      </c>
      <c r="D171" t="s">
        <v>643</v>
      </c>
      <c r="E171" s="4">
        <v>-277000</v>
      </c>
    </row>
    <row r="172" spans="1:5" x14ac:dyDescent="0.2">
      <c r="A172" s="5">
        <v>625</v>
      </c>
      <c r="B172" s="2" t="s">
        <v>405</v>
      </c>
      <c r="C172" s="2" t="s">
        <v>230</v>
      </c>
      <c r="D172" t="s">
        <v>638</v>
      </c>
      <c r="E172" s="4">
        <v>-196000</v>
      </c>
    </row>
    <row r="173" spans="1:5" x14ac:dyDescent="0.2">
      <c r="A173" s="5">
        <v>353</v>
      </c>
      <c r="B173" s="2" t="s">
        <v>406</v>
      </c>
      <c r="C173" s="2" t="s">
        <v>235</v>
      </c>
      <c r="D173" t="s">
        <v>664</v>
      </c>
      <c r="E173" s="4">
        <v>10000</v>
      </c>
    </row>
    <row r="174" spans="1:5" x14ac:dyDescent="0.2">
      <c r="A174" s="5">
        <v>4978</v>
      </c>
      <c r="B174" s="2" t="s">
        <v>407</v>
      </c>
      <c r="C174" s="2" t="s">
        <v>245</v>
      </c>
      <c r="D174" t="s">
        <v>638</v>
      </c>
      <c r="E174" s="4">
        <v>157000</v>
      </c>
    </row>
    <row r="175" spans="1:5" x14ac:dyDescent="0.2">
      <c r="A175" s="5">
        <v>19061278</v>
      </c>
      <c r="B175" s="2" t="s">
        <v>408</v>
      </c>
      <c r="C175" s="2" t="s">
        <v>241</v>
      </c>
      <c r="D175" t="s">
        <v>640</v>
      </c>
      <c r="E175" s="4">
        <v>-462000</v>
      </c>
    </row>
    <row r="176" spans="1:5" x14ac:dyDescent="0.2">
      <c r="A176" s="5">
        <v>1</v>
      </c>
      <c r="B176" s="2" t="s">
        <v>409</v>
      </c>
      <c r="C176" s="2" t="s">
        <v>235</v>
      </c>
      <c r="D176" t="s">
        <v>636</v>
      </c>
      <c r="E176" s="4">
        <v>-79000</v>
      </c>
    </row>
    <row r="177" spans="1:5" x14ac:dyDescent="0.2">
      <c r="A177" s="5">
        <v>380</v>
      </c>
      <c r="B177" s="2" t="s">
        <v>410</v>
      </c>
      <c r="C177" s="2" t="s">
        <v>241</v>
      </c>
      <c r="D177" t="s">
        <v>643</v>
      </c>
      <c r="E177" s="4">
        <v>337000</v>
      </c>
    </row>
    <row r="178" spans="1:5" x14ac:dyDescent="0.2">
      <c r="A178" s="5">
        <v>70391</v>
      </c>
      <c r="B178" s="2" t="s">
        <v>411</v>
      </c>
      <c r="C178" s="2" t="s">
        <v>238</v>
      </c>
      <c r="D178" t="s">
        <v>637</v>
      </c>
      <c r="E178" s="4">
        <v>280000</v>
      </c>
    </row>
    <row r="179" spans="1:5" x14ac:dyDescent="0.2">
      <c r="A179" s="5">
        <v>8009</v>
      </c>
      <c r="B179" s="2" t="s">
        <v>412</v>
      </c>
      <c r="C179" s="2" t="s">
        <v>235</v>
      </c>
      <c r="D179" t="s">
        <v>637</v>
      </c>
      <c r="E179" s="4">
        <v>322000</v>
      </c>
    </row>
    <row r="180" spans="1:5" x14ac:dyDescent="0.2">
      <c r="A180" s="5">
        <v>85984</v>
      </c>
      <c r="B180" s="2" t="s">
        <v>413</v>
      </c>
      <c r="C180" s="2" t="s">
        <v>243</v>
      </c>
      <c r="D180" t="s">
        <v>643</v>
      </c>
      <c r="E180" s="4">
        <v>104000</v>
      </c>
    </row>
    <row r="181" spans="1:5" x14ac:dyDescent="0.2">
      <c r="A181" s="5">
        <v>720972</v>
      </c>
      <c r="B181" s="2" t="s">
        <v>414</v>
      </c>
      <c r="C181" s="2" t="s">
        <v>230</v>
      </c>
      <c r="D181" t="s">
        <v>643</v>
      </c>
      <c r="E181" s="4">
        <v>-476000</v>
      </c>
    </row>
    <row r="182" spans="1:5" x14ac:dyDescent="0.2">
      <c r="A182" s="5">
        <v>864150</v>
      </c>
      <c r="B182" s="2" t="s">
        <v>415</v>
      </c>
      <c r="C182" s="2" t="s">
        <v>228</v>
      </c>
      <c r="D182" t="s">
        <v>636</v>
      </c>
      <c r="E182" s="4">
        <v>-338000</v>
      </c>
    </row>
    <row r="183" spans="1:5" x14ac:dyDescent="0.2">
      <c r="A183" s="5">
        <v>118609</v>
      </c>
      <c r="B183" s="2" t="s">
        <v>416</v>
      </c>
      <c r="C183" s="2" t="s">
        <v>235</v>
      </c>
      <c r="D183" t="s">
        <v>643</v>
      </c>
      <c r="E183" s="4">
        <v>397000</v>
      </c>
    </row>
    <row r="184" spans="1:5" x14ac:dyDescent="0.2">
      <c r="A184" s="5">
        <v>82503</v>
      </c>
      <c r="B184" s="2" t="s">
        <v>417</v>
      </c>
      <c r="C184" s="2" t="s">
        <v>235</v>
      </c>
      <c r="D184" t="s">
        <v>643</v>
      </c>
      <c r="E184" s="4">
        <v>10000</v>
      </c>
    </row>
    <row r="185" spans="1:5" x14ac:dyDescent="0.2">
      <c r="A185" s="5">
        <v>28660</v>
      </c>
      <c r="B185" s="2" t="s">
        <v>418</v>
      </c>
      <c r="C185" s="2" t="s">
        <v>241</v>
      </c>
      <c r="D185" t="s">
        <v>642</v>
      </c>
      <c r="E185" s="4">
        <v>256000</v>
      </c>
    </row>
    <row r="186" spans="1:5" x14ac:dyDescent="0.2">
      <c r="A186" s="5">
        <v>781</v>
      </c>
      <c r="B186" s="2" t="s">
        <v>419</v>
      </c>
      <c r="C186" s="2" t="s">
        <v>251</v>
      </c>
      <c r="D186" t="s">
        <v>637</v>
      </c>
      <c r="E186" s="4">
        <v>445000</v>
      </c>
    </row>
    <row r="187" spans="1:5" x14ac:dyDescent="0.2">
      <c r="A187" s="5">
        <v>67114</v>
      </c>
      <c r="B187" s="2" t="s">
        <v>420</v>
      </c>
      <c r="C187" s="2" t="s">
        <v>230</v>
      </c>
      <c r="D187" t="s">
        <v>638</v>
      </c>
      <c r="E187" s="4">
        <v>151000</v>
      </c>
    </row>
    <row r="188" spans="1:5" x14ac:dyDescent="0.2">
      <c r="A188" s="5">
        <v>664</v>
      </c>
      <c r="B188" s="2" t="s">
        <v>421</v>
      </c>
      <c r="C188" s="2" t="s">
        <v>238</v>
      </c>
      <c r="D188" t="s">
        <v>642</v>
      </c>
      <c r="E188" s="4">
        <v>351000</v>
      </c>
    </row>
    <row r="189" spans="1:5" x14ac:dyDescent="0.2">
      <c r="A189" s="5">
        <v>9839248</v>
      </c>
      <c r="B189" s="2" t="s">
        <v>422</v>
      </c>
      <c r="C189" s="2" t="s">
        <v>238</v>
      </c>
      <c r="D189" t="s">
        <v>637</v>
      </c>
      <c r="E189" s="4">
        <v>-342000</v>
      </c>
    </row>
    <row r="190" spans="1:5" x14ac:dyDescent="0.2">
      <c r="A190" s="5">
        <v>312251</v>
      </c>
      <c r="B190" s="2" t="s">
        <v>423</v>
      </c>
      <c r="C190" s="2" t="s">
        <v>238</v>
      </c>
      <c r="D190" t="s">
        <v>637</v>
      </c>
      <c r="E190" s="4">
        <v>240000</v>
      </c>
    </row>
    <row r="191" spans="1:5" x14ac:dyDescent="0.2">
      <c r="A191" s="5">
        <v>35504210</v>
      </c>
      <c r="B191" s="2" t="s">
        <v>424</v>
      </c>
      <c r="C191" s="2" t="s">
        <v>243</v>
      </c>
      <c r="D191" t="s">
        <v>637</v>
      </c>
      <c r="E191" s="4">
        <v>135000</v>
      </c>
    </row>
    <row r="192" spans="1:5" x14ac:dyDescent="0.2">
      <c r="A192" s="5">
        <v>20986178</v>
      </c>
      <c r="B192" s="2" t="s">
        <v>425</v>
      </c>
      <c r="C192" s="2" t="s">
        <v>230</v>
      </c>
      <c r="D192" t="s">
        <v>636</v>
      </c>
      <c r="E192" s="4">
        <v>17000</v>
      </c>
    </row>
    <row r="193" spans="1:5" x14ac:dyDescent="0.2">
      <c r="A193" s="5">
        <v>824</v>
      </c>
      <c r="B193" s="2" t="s">
        <v>426</v>
      </c>
      <c r="C193" s="2" t="s">
        <v>235</v>
      </c>
      <c r="D193" t="s">
        <v>643</v>
      </c>
      <c r="E193" s="4">
        <v>-341000</v>
      </c>
    </row>
    <row r="194" spans="1:5" x14ac:dyDescent="0.2">
      <c r="A194" s="5">
        <v>55</v>
      </c>
      <c r="B194" s="2" t="s">
        <v>427</v>
      </c>
      <c r="C194" s="2" t="s">
        <v>235</v>
      </c>
      <c r="D194" t="s">
        <v>664</v>
      </c>
      <c r="E194" s="4">
        <v>83000</v>
      </c>
    </row>
    <row r="195" spans="1:5" x14ac:dyDescent="0.2">
      <c r="A195" s="5">
        <v>633454</v>
      </c>
      <c r="B195" s="2" t="s">
        <v>428</v>
      </c>
      <c r="C195" s="2" t="s">
        <v>251</v>
      </c>
      <c r="D195" t="s">
        <v>636</v>
      </c>
      <c r="E195" s="4">
        <v>-329000</v>
      </c>
    </row>
    <row r="196" spans="1:5" x14ac:dyDescent="0.2">
      <c r="A196" s="5">
        <v>472</v>
      </c>
      <c r="B196" s="2" t="s">
        <v>429</v>
      </c>
      <c r="C196" s="2" t="s">
        <v>235</v>
      </c>
      <c r="D196" t="s">
        <v>664</v>
      </c>
      <c r="E196" s="4">
        <v>-19000</v>
      </c>
    </row>
    <row r="197" spans="1:5" x14ac:dyDescent="0.2">
      <c r="A197" s="5">
        <v>8779</v>
      </c>
      <c r="B197" s="2" t="s">
        <v>430</v>
      </c>
      <c r="C197" s="2" t="s">
        <v>235</v>
      </c>
      <c r="D197" t="s">
        <v>642</v>
      </c>
      <c r="E197" s="4">
        <v>379000</v>
      </c>
    </row>
    <row r="198" spans="1:5" x14ac:dyDescent="0.2">
      <c r="A198" s="5">
        <v>813</v>
      </c>
      <c r="B198" s="2" t="s">
        <v>431</v>
      </c>
      <c r="C198" s="2" t="s">
        <v>235</v>
      </c>
      <c r="D198" t="s">
        <v>635</v>
      </c>
      <c r="E198" s="4">
        <v>-398000</v>
      </c>
    </row>
    <row r="199" spans="1:5" x14ac:dyDescent="0.2">
      <c r="A199" s="5">
        <v>2789903</v>
      </c>
      <c r="B199" s="2" t="s">
        <v>432</v>
      </c>
      <c r="C199" s="2" t="s">
        <v>235</v>
      </c>
      <c r="D199" t="s">
        <v>636</v>
      </c>
      <c r="E199" s="4">
        <v>317000</v>
      </c>
    </row>
    <row r="200" spans="1:5" x14ac:dyDescent="0.2">
      <c r="A200" s="5">
        <v>55611854</v>
      </c>
      <c r="B200" s="2" t="s">
        <v>433</v>
      </c>
      <c r="C200" s="2" t="s">
        <v>243</v>
      </c>
      <c r="D200" t="s">
        <v>636</v>
      </c>
      <c r="E200" s="4">
        <v>303000</v>
      </c>
    </row>
    <row r="201" spans="1:5" x14ac:dyDescent="0.2">
      <c r="A201" s="5">
        <v>43651</v>
      </c>
      <c r="B201" s="2" t="s">
        <v>434</v>
      </c>
      <c r="C201" s="2" t="s">
        <v>235</v>
      </c>
      <c r="D201" t="s">
        <v>636</v>
      </c>
      <c r="E201" s="4">
        <v>-355000</v>
      </c>
    </row>
    <row r="202" spans="1:5" x14ac:dyDescent="0.2">
      <c r="A202" s="5">
        <v>249872</v>
      </c>
      <c r="B202" s="2" t="s">
        <v>435</v>
      </c>
      <c r="C202" s="2" t="s">
        <v>235</v>
      </c>
      <c r="D202" t="s">
        <v>643</v>
      </c>
      <c r="E202" s="4">
        <v>152000</v>
      </c>
    </row>
    <row r="203" spans="1:5" x14ac:dyDescent="0.2">
      <c r="A203" s="5">
        <v>5127412</v>
      </c>
      <c r="B203" s="2" t="s">
        <v>436</v>
      </c>
      <c r="C203" s="2" t="s">
        <v>241</v>
      </c>
      <c r="D203" t="s">
        <v>639</v>
      </c>
      <c r="E203" s="4">
        <v>353000</v>
      </c>
    </row>
    <row r="204" spans="1:5" x14ac:dyDescent="0.2">
      <c r="A204" s="5">
        <v>46184</v>
      </c>
      <c r="B204" s="2" t="s">
        <v>437</v>
      </c>
      <c r="C204" s="2" t="s">
        <v>243</v>
      </c>
      <c r="D204" t="s">
        <v>643</v>
      </c>
      <c r="E204" s="4">
        <v>-111000</v>
      </c>
    </row>
    <row r="205" spans="1:5" x14ac:dyDescent="0.2">
      <c r="A205" s="5">
        <v>3155</v>
      </c>
      <c r="B205" s="2" t="s">
        <v>438</v>
      </c>
      <c r="C205" s="2" t="s">
        <v>235</v>
      </c>
      <c r="D205" t="s">
        <v>637</v>
      </c>
      <c r="E205" s="4">
        <v>-377000</v>
      </c>
    </row>
    <row r="206" spans="1:5" x14ac:dyDescent="0.2">
      <c r="A206" s="5">
        <v>48952443</v>
      </c>
      <c r="B206" s="2" t="s">
        <v>439</v>
      </c>
      <c r="C206" s="2" t="s">
        <v>245</v>
      </c>
      <c r="D206" t="s">
        <v>640</v>
      </c>
      <c r="E206" s="4">
        <v>3000</v>
      </c>
    </row>
    <row r="207" spans="1:5" x14ac:dyDescent="0.2">
      <c r="A207" s="5">
        <v>80</v>
      </c>
      <c r="B207" s="2" t="s">
        <v>440</v>
      </c>
      <c r="C207" s="2" t="s">
        <v>241</v>
      </c>
      <c r="D207" t="s">
        <v>637</v>
      </c>
      <c r="E207" s="4">
        <v>445000</v>
      </c>
    </row>
    <row r="208" spans="1:5" x14ac:dyDescent="0.2">
      <c r="A208" s="5">
        <v>60</v>
      </c>
      <c r="B208" s="2" t="s">
        <v>441</v>
      </c>
      <c r="C208" s="2" t="s">
        <v>249</v>
      </c>
      <c r="D208" t="s">
        <v>640</v>
      </c>
      <c r="E208" s="4">
        <v>-7000</v>
      </c>
    </row>
    <row r="209" spans="1:5" x14ac:dyDescent="0.2">
      <c r="A209" s="5">
        <v>4090</v>
      </c>
      <c r="B209" s="2" t="s">
        <v>442</v>
      </c>
      <c r="C209" s="2" t="s">
        <v>238</v>
      </c>
      <c r="D209" t="s">
        <v>643</v>
      </c>
      <c r="E209" s="4">
        <v>452000</v>
      </c>
    </row>
    <row r="210" spans="1:5" x14ac:dyDescent="0.2">
      <c r="A210" s="5">
        <v>90</v>
      </c>
      <c r="B210" s="2" t="s">
        <v>443</v>
      </c>
      <c r="C210" s="2" t="s">
        <v>235</v>
      </c>
      <c r="D210" t="s">
        <v>636</v>
      </c>
      <c r="E210" s="4">
        <v>-227000</v>
      </c>
    </row>
    <row r="211" spans="1:5" x14ac:dyDescent="0.2">
      <c r="A211" s="5">
        <v>68215900</v>
      </c>
      <c r="B211" s="2" t="s">
        <v>444</v>
      </c>
      <c r="C211" s="2" t="s">
        <v>235</v>
      </c>
      <c r="D211" t="s">
        <v>636</v>
      </c>
      <c r="E211" s="4">
        <v>452000</v>
      </c>
    </row>
    <row r="212" spans="1:5" x14ac:dyDescent="0.2">
      <c r="A212" s="5">
        <v>60521821</v>
      </c>
      <c r="B212" s="2" t="s">
        <v>445</v>
      </c>
      <c r="C212" s="2" t="s">
        <v>235</v>
      </c>
      <c r="D212" t="s">
        <v>643</v>
      </c>
      <c r="E212" s="4">
        <v>447000</v>
      </c>
    </row>
    <row r="213" spans="1:5" x14ac:dyDescent="0.2">
      <c r="A213" s="5">
        <v>9767872</v>
      </c>
      <c r="B213" s="2" t="s">
        <v>446</v>
      </c>
      <c r="C213" s="2" t="s">
        <v>251</v>
      </c>
      <c r="D213" t="s">
        <v>636</v>
      </c>
      <c r="E213" s="4">
        <v>496000</v>
      </c>
    </row>
    <row r="214" spans="1:5" x14ac:dyDescent="0.2">
      <c r="A214" s="5">
        <v>8078653</v>
      </c>
      <c r="B214" s="2" t="s">
        <v>447</v>
      </c>
      <c r="C214" s="2" t="s">
        <v>245</v>
      </c>
      <c r="D214" t="s">
        <v>642</v>
      </c>
      <c r="E214" s="4">
        <v>439000</v>
      </c>
    </row>
    <row r="215" spans="1:5" x14ac:dyDescent="0.2">
      <c r="A215" s="5">
        <v>973</v>
      </c>
      <c r="B215" s="2" t="s">
        <v>448</v>
      </c>
      <c r="C215" s="2" t="s">
        <v>245</v>
      </c>
      <c r="D215" t="s">
        <v>636</v>
      </c>
      <c r="E215" s="4">
        <v>313000</v>
      </c>
    </row>
    <row r="216" spans="1:5" x14ac:dyDescent="0.2">
      <c r="A216" s="5">
        <v>698999</v>
      </c>
      <c r="B216" s="2" t="s">
        <v>449</v>
      </c>
      <c r="C216" s="2" t="s">
        <v>249</v>
      </c>
      <c r="D216" t="s">
        <v>636</v>
      </c>
      <c r="E216" s="4">
        <v>276000</v>
      </c>
    </row>
    <row r="217" spans="1:5" x14ac:dyDescent="0.2">
      <c r="A217" s="5">
        <v>1187267</v>
      </c>
      <c r="B217" s="2" t="s">
        <v>450</v>
      </c>
      <c r="C217" s="2" t="s">
        <v>235</v>
      </c>
      <c r="D217" t="s">
        <v>636</v>
      </c>
      <c r="E217" s="4">
        <v>292000</v>
      </c>
    </row>
    <row r="218" spans="1:5" x14ac:dyDescent="0.2">
      <c r="A218" s="5">
        <v>72848119</v>
      </c>
      <c r="B218" s="2" t="s">
        <v>451</v>
      </c>
      <c r="C218" s="2" t="s">
        <v>251</v>
      </c>
      <c r="D218" t="s">
        <v>636</v>
      </c>
      <c r="E218" s="4">
        <v>-300000</v>
      </c>
    </row>
    <row r="219" spans="1:5" x14ac:dyDescent="0.2">
      <c r="A219" s="5">
        <v>9723</v>
      </c>
      <c r="B219" s="2" t="s">
        <v>452</v>
      </c>
      <c r="C219" s="2" t="s">
        <v>235</v>
      </c>
      <c r="D219" t="s">
        <v>643</v>
      </c>
      <c r="E219" s="4">
        <v>41000</v>
      </c>
    </row>
    <row r="220" spans="1:5" x14ac:dyDescent="0.2">
      <c r="A220" s="5">
        <v>226482</v>
      </c>
      <c r="B220" s="2" t="s">
        <v>453</v>
      </c>
      <c r="C220" s="2" t="s">
        <v>238</v>
      </c>
      <c r="D220" t="s">
        <v>639</v>
      </c>
      <c r="E220" s="4">
        <v>-332000</v>
      </c>
    </row>
    <row r="221" spans="1:5" x14ac:dyDescent="0.2">
      <c r="A221" s="5">
        <v>108</v>
      </c>
      <c r="B221" s="2" t="s">
        <v>454</v>
      </c>
      <c r="C221" s="2" t="s">
        <v>230</v>
      </c>
      <c r="D221" t="s">
        <v>643</v>
      </c>
      <c r="E221" s="4">
        <v>211000</v>
      </c>
    </row>
    <row r="222" spans="1:5" x14ac:dyDescent="0.2">
      <c r="A222" s="5">
        <v>67</v>
      </c>
      <c r="B222" s="2" t="s">
        <v>455</v>
      </c>
      <c r="C222" s="2" t="s">
        <v>235</v>
      </c>
      <c r="D222" t="s">
        <v>637</v>
      </c>
      <c r="E222" s="4">
        <v>-249000</v>
      </c>
    </row>
    <row r="223" spans="1:5" x14ac:dyDescent="0.2">
      <c r="A223" s="5">
        <v>97352928</v>
      </c>
      <c r="B223" s="2" t="s">
        <v>456</v>
      </c>
      <c r="C223" s="2" t="s">
        <v>230</v>
      </c>
      <c r="D223" t="s">
        <v>640</v>
      </c>
      <c r="E223" s="4">
        <v>-441000</v>
      </c>
    </row>
    <row r="224" spans="1:5" x14ac:dyDescent="0.2">
      <c r="A224" s="5">
        <v>8089643</v>
      </c>
      <c r="B224" s="2" t="s">
        <v>457</v>
      </c>
      <c r="C224" s="2" t="s">
        <v>241</v>
      </c>
      <c r="D224" t="s">
        <v>637</v>
      </c>
      <c r="E224" s="4">
        <v>349000</v>
      </c>
    </row>
    <row r="225" spans="1:5" x14ac:dyDescent="0.2">
      <c r="A225" s="5">
        <v>694</v>
      </c>
      <c r="B225" s="2" t="s">
        <v>458</v>
      </c>
      <c r="C225" s="2" t="s">
        <v>235</v>
      </c>
      <c r="D225" t="s">
        <v>665</v>
      </c>
      <c r="E225" s="4">
        <v>-468000</v>
      </c>
    </row>
    <row r="226" spans="1:5" x14ac:dyDescent="0.2">
      <c r="A226" s="5">
        <v>8510</v>
      </c>
      <c r="B226" s="2" t="s">
        <v>459</v>
      </c>
      <c r="C226" s="2" t="s">
        <v>235</v>
      </c>
      <c r="D226" t="s">
        <v>643</v>
      </c>
      <c r="E226" s="4">
        <v>-115000</v>
      </c>
    </row>
    <row r="227" spans="1:5" x14ac:dyDescent="0.2">
      <c r="A227" s="5">
        <v>16867</v>
      </c>
      <c r="B227" s="2" t="s">
        <v>460</v>
      </c>
      <c r="C227" s="2" t="s">
        <v>235</v>
      </c>
      <c r="D227" t="s">
        <v>664</v>
      </c>
      <c r="E227" s="4">
        <v>152000</v>
      </c>
    </row>
    <row r="228" spans="1:5" x14ac:dyDescent="0.2">
      <c r="A228" s="5">
        <v>81771</v>
      </c>
      <c r="B228" s="2" t="s">
        <v>461</v>
      </c>
      <c r="C228" s="2" t="s">
        <v>230</v>
      </c>
      <c r="D228" t="s">
        <v>643</v>
      </c>
      <c r="E228" s="4">
        <v>57000</v>
      </c>
    </row>
    <row r="229" spans="1:5" x14ac:dyDescent="0.2">
      <c r="A229" s="5">
        <v>4081176</v>
      </c>
      <c r="B229" s="2" t="s">
        <v>462</v>
      </c>
      <c r="C229" s="2" t="s">
        <v>249</v>
      </c>
      <c r="D229" t="s">
        <v>643</v>
      </c>
      <c r="E229" s="4">
        <v>-191000</v>
      </c>
    </row>
    <row r="230" spans="1:5" x14ac:dyDescent="0.2">
      <c r="A230" s="5">
        <v>46181234</v>
      </c>
      <c r="B230" s="2" t="s">
        <v>463</v>
      </c>
      <c r="C230" s="2" t="s">
        <v>235</v>
      </c>
      <c r="D230" t="s">
        <v>635</v>
      </c>
      <c r="E230" s="4">
        <v>133000</v>
      </c>
    </row>
    <row r="231" spans="1:5" x14ac:dyDescent="0.2">
      <c r="A231" s="5">
        <v>97738</v>
      </c>
      <c r="B231" s="2" t="s">
        <v>464</v>
      </c>
      <c r="C231" s="2" t="s">
        <v>235</v>
      </c>
      <c r="D231" t="s">
        <v>665</v>
      </c>
      <c r="E231" s="4">
        <v>212000</v>
      </c>
    </row>
    <row r="232" spans="1:5" x14ac:dyDescent="0.2">
      <c r="A232" s="5">
        <v>95548</v>
      </c>
      <c r="B232" s="2" t="s">
        <v>465</v>
      </c>
      <c r="C232" s="2" t="s">
        <v>235</v>
      </c>
      <c r="D232" t="s">
        <v>636</v>
      </c>
      <c r="E232" s="4">
        <v>-468000</v>
      </c>
    </row>
    <row r="233" spans="1:5" x14ac:dyDescent="0.2">
      <c r="A233" s="5">
        <v>470</v>
      </c>
      <c r="B233" s="2" t="s">
        <v>466</v>
      </c>
      <c r="C233" s="2" t="s">
        <v>241</v>
      </c>
      <c r="D233" t="s">
        <v>637</v>
      </c>
      <c r="E233" s="4">
        <v>300000</v>
      </c>
    </row>
    <row r="234" spans="1:5" x14ac:dyDescent="0.2">
      <c r="A234" s="5">
        <v>94590438</v>
      </c>
      <c r="B234" s="2" t="s">
        <v>467</v>
      </c>
      <c r="C234" s="2" t="s">
        <v>235</v>
      </c>
      <c r="D234" t="s">
        <v>635</v>
      </c>
      <c r="E234" s="4">
        <v>-396000</v>
      </c>
    </row>
    <row r="235" spans="1:5" x14ac:dyDescent="0.2">
      <c r="A235" s="5">
        <v>75</v>
      </c>
      <c r="B235" s="2" t="s">
        <v>468</v>
      </c>
      <c r="C235" s="2" t="s">
        <v>228</v>
      </c>
      <c r="D235" t="s">
        <v>638</v>
      </c>
      <c r="E235" s="4">
        <v>-428000</v>
      </c>
    </row>
    <row r="236" spans="1:5" x14ac:dyDescent="0.2">
      <c r="A236" s="5">
        <v>59948756</v>
      </c>
      <c r="B236" s="2" t="s">
        <v>469</v>
      </c>
      <c r="C236" s="2" t="s">
        <v>235</v>
      </c>
      <c r="D236" t="s">
        <v>637</v>
      </c>
      <c r="E236" s="4">
        <v>15000</v>
      </c>
    </row>
    <row r="237" spans="1:5" x14ac:dyDescent="0.2">
      <c r="A237" s="5">
        <v>8063105</v>
      </c>
      <c r="B237" s="2" t="s">
        <v>470</v>
      </c>
      <c r="C237" s="2" t="s">
        <v>251</v>
      </c>
      <c r="D237" t="s">
        <v>638</v>
      </c>
      <c r="E237" s="4">
        <v>-486000</v>
      </c>
    </row>
    <row r="238" spans="1:5" x14ac:dyDescent="0.2">
      <c r="A238" s="5">
        <v>30523</v>
      </c>
      <c r="B238" s="2" t="s">
        <v>471</v>
      </c>
      <c r="C238" s="2" t="s">
        <v>235</v>
      </c>
      <c r="D238" t="s">
        <v>636</v>
      </c>
      <c r="E238" s="4">
        <v>-283000</v>
      </c>
    </row>
    <row r="239" spans="1:5" x14ac:dyDescent="0.2">
      <c r="A239" s="5">
        <v>961359</v>
      </c>
      <c r="B239" s="2" t="s">
        <v>472</v>
      </c>
      <c r="C239" s="2" t="s">
        <v>235</v>
      </c>
      <c r="D239" t="s">
        <v>642</v>
      </c>
      <c r="E239" s="4">
        <v>-114000</v>
      </c>
    </row>
    <row r="240" spans="1:5" x14ac:dyDescent="0.2">
      <c r="A240" s="5">
        <v>784</v>
      </c>
      <c r="B240" s="2" t="s">
        <v>473</v>
      </c>
      <c r="C240" s="2" t="s">
        <v>249</v>
      </c>
      <c r="D240" t="s">
        <v>637</v>
      </c>
      <c r="E240" s="4">
        <v>427000</v>
      </c>
    </row>
    <row r="241" spans="1:5" x14ac:dyDescent="0.2">
      <c r="A241" s="5">
        <v>70060</v>
      </c>
      <c r="B241" s="2" t="s">
        <v>474</v>
      </c>
      <c r="C241" s="2" t="s">
        <v>235</v>
      </c>
      <c r="D241" t="s">
        <v>643</v>
      </c>
      <c r="E241" s="4">
        <v>251000</v>
      </c>
    </row>
    <row r="242" spans="1:5" x14ac:dyDescent="0.2">
      <c r="A242" s="5">
        <v>9672156</v>
      </c>
      <c r="B242" s="2" t="s">
        <v>475</v>
      </c>
      <c r="C242" s="2" t="s">
        <v>228</v>
      </c>
      <c r="D242" t="s">
        <v>640</v>
      </c>
      <c r="E242" s="4">
        <v>-69000</v>
      </c>
    </row>
    <row r="243" spans="1:5" x14ac:dyDescent="0.2">
      <c r="A243" s="5">
        <v>5529955</v>
      </c>
      <c r="B243" s="2" t="s">
        <v>476</v>
      </c>
      <c r="C243" s="2" t="s">
        <v>235</v>
      </c>
      <c r="D243" t="s">
        <v>642</v>
      </c>
      <c r="E243" s="4">
        <v>152000</v>
      </c>
    </row>
    <row r="244" spans="1:5" x14ac:dyDescent="0.2">
      <c r="A244" s="5">
        <v>118</v>
      </c>
      <c r="B244" s="2" t="s">
        <v>477</v>
      </c>
      <c r="C244" s="2" t="s">
        <v>235</v>
      </c>
      <c r="D244" t="s">
        <v>635</v>
      </c>
      <c r="E244" s="4">
        <v>-352000</v>
      </c>
    </row>
    <row r="245" spans="1:5" x14ac:dyDescent="0.2">
      <c r="A245" s="5">
        <v>139153</v>
      </c>
      <c r="B245" s="2" t="s">
        <v>478</v>
      </c>
      <c r="C245" s="2" t="s">
        <v>249</v>
      </c>
      <c r="D245" t="s">
        <v>643</v>
      </c>
      <c r="E245" s="4">
        <v>-474000</v>
      </c>
    </row>
    <row r="246" spans="1:5" x14ac:dyDescent="0.2">
      <c r="A246" s="5">
        <v>307067</v>
      </c>
      <c r="B246" s="2" t="s">
        <v>479</v>
      </c>
      <c r="C246" s="2" t="s">
        <v>235</v>
      </c>
      <c r="D246" t="s">
        <v>665</v>
      </c>
      <c r="E246" s="4">
        <v>73000</v>
      </c>
    </row>
    <row r="247" spans="1:5" x14ac:dyDescent="0.2">
      <c r="A247" s="5">
        <v>838</v>
      </c>
      <c r="B247" s="2" t="s">
        <v>480</v>
      </c>
      <c r="C247" s="2" t="s">
        <v>235</v>
      </c>
      <c r="D247" t="s">
        <v>643</v>
      </c>
      <c r="E247" s="4">
        <v>-385000</v>
      </c>
    </row>
    <row r="248" spans="1:5" x14ac:dyDescent="0.2">
      <c r="A248" s="5">
        <v>833</v>
      </c>
      <c r="B248" s="2" t="s">
        <v>481</v>
      </c>
      <c r="C248" s="2" t="s">
        <v>241</v>
      </c>
      <c r="D248" t="s">
        <v>636</v>
      </c>
      <c r="E248" s="4">
        <v>32000</v>
      </c>
    </row>
    <row r="249" spans="1:5" x14ac:dyDescent="0.2">
      <c r="A249" s="5">
        <v>73396</v>
      </c>
      <c r="B249" s="2" t="s">
        <v>482</v>
      </c>
      <c r="C249" s="2" t="s">
        <v>228</v>
      </c>
      <c r="D249" t="s">
        <v>640</v>
      </c>
      <c r="E249" s="4">
        <v>-210000</v>
      </c>
    </row>
    <row r="250" spans="1:5" x14ac:dyDescent="0.2">
      <c r="A250" s="5">
        <v>74</v>
      </c>
      <c r="B250" s="2" t="s">
        <v>483</v>
      </c>
      <c r="C250" s="2" t="s">
        <v>249</v>
      </c>
      <c r="D250" t="s">
        <v>643</v>
      </c>
      <c r="E250" s="4">
        <v>-456000</v>
      </c>
    </row>
    <row r="251" spans="1:5" x14ac:dyDescent="0.2">
      <c r="A251" s="5">
        <v>33268421</v>
      </c>
      <c r="B251" s="2" t="s">
        <v>484</v>
      </c>
      <c r="C251" s="2" t="s">
        <v>245</v>
      </c>
      <c r="D251" t="s">
        <v>642</v>
      </c>
      <c r="E251" s="4">
        <v>393000</v>
      </c>
    </row>
    <row r="252" spans="1:5" x14ac:dyDescent="0.2">
      <c r="A252" s="5">
        <v>976560</v>
      </c>
      <c r="B252" s="2" t="s">
        <v>485</v>
      </c>
      <c r="C252" s="2" t="s">
        <v>245</v>
      </c>
      <c r="D252" t="s">
        <v>636</v>
      </c>
      <c r="E252" s="4">
        <v>123000</v>
      </c>
    </row>
    <row r="253" spans="1:5" x14ac:dyDescent="0.2">
      <c r="A253" s="5">
        <v>5733</v>
      </c>
      <c r="B253" s="2" t="s">
        <v>486</v>
      </c>
      <c r="C253" s="2" t="s">
        <v>230</v>
      </c>
      <c r="D253" t="s">
        <v>638</v>
      </c>
      <c r="E253" s="4">
        <v>63000</v>
      </c>
    </row>
    <row r="254" spans="1:5" x14ac:dyDescent="0.2">
      <c r="A254" s="5">
        <v>2672384</v>
      </c>
      <c r="B254" s="2" t="s">
        <v>487</v>
      </c>
      <c r="C254" s="2" t="s">
        <v>235</v>
      </c>
      <c r="D254" t="s">
        <v>637</v>
      </c>
      <c r="E254" s="4">
        <v>-102000</v>
      </c>
    </row>
    <row r="255" spans="1:5" x14ac:dyDescent="0.2">
      <c r="A255" s="5">
        <v>695</v>
      </c>
      <c r="B255" s="2" t="s">
        <v>488</v>
      </c>
      <c r="C255" s="2" t="s">
        <v>235</v>
      </c>
      <c r="D255" t="s">
        <v>664</v>
      </c>
      <c r="E255" s="4">
        <v>42000</v>
      </c>
    </row>
    <row r="256" spans="1:5" x14ac:dyDescent="0.2">
      <c r="A256" s="5">
        <v>94943</v>
      </c>
      <c r="B256" s="2" t="s">
        <v>489</v>
      </c>
      <c r="C256" s="2" t="s">
        <v>235</v>
      </c>
      <c r="D256" t="s">
        <v>664</v>
      </c>
      <c r="E256" s="4">
        <v>-200000</v>
      </c>
    </row>
    <row r="257" spans="1:5" x14ac:dyDescent="0.2">
      <c r="A257" s="5">
        <v>3130278</v>
      </c>
      <c r="B257" s="2" t="s">
        <v>490</v>
      </c>
      <c r="C257" s="2" t="s">
        <v>235</v>
      </c>
      <c r="D257" t="s">
        <v>640</v>
      </c>
      <c r="E257" s="4">
        <v>246000</v>
      </c>
    </row>
    <row r="258" spans="1:5" x14ac:dyDescent="0.2">
      <c r="A258" s="5">
        <v>675577</v>
      </c>
      <c r="B258" s="2" t="s">
        <v>491</v>
      </c>
      <c r="C258" s="2" t="s">
        <v>241</v>
      </c>
      <c r="D258" t="s">
        <v>638</v>
      </c>
      <c r="E258" s="4">
        <v>-60000</v>
      </c>
    </row>
    <row r="259" spans="1:5" x14ac:dyDescent="0.2">
      <c r="A259" s="5">
        <v>16108357</v>
      </c>
      <c r="B259" s="2" t="s">
        <v>492</v>
      </c>
      <c r="C259" s="2" t="s">
        <v>228</v>
      </c>
      <c r="D259" t="s">
        <v>643</v>
      </c>
      <c r="E259" s="4">
        <v>116000</v>
      </c>
    </row>
    <row r="260" spans="1:5" x14ac:dyDescent="0.2">
      <c r="A260" s="5">
        <v>6759</v>
      </c>
      <c r="B260" s="2" t="s">
        <v>493</v>
      </c>
      <c r="C260" s="2" t="s">
        <v>235</v>
      </c>
      <c r="D260" t="s">
        <v>636</v>
      </c>
      <c r="E260" s="4">
        <v>-41000</v>
      </c>
    </row>
    <row r="261" spans="1:5" x14ac:dyDescent="0.2">
      <c r="A261" s="5">
        <v>908</v>
      </c>
      <c r="B261" s="2" t="s">
        <v>494</v>
      </c>
      <c r="C261" s="2" t="s">
        <v>235</v>
      </c>
      <c r="D261" t="s">
        <v>640</v>
      </c>
      <c r="E261" s="4">
        <v>-229000</v>
      </c>
    </row>
    <row r="262" spans="1:5" x14ac:dyDescent="0.2">
      <c r="A262" s="5">
        <v>72006643</v>
      </c>
      <c r="B262" s="2" t="s">
        <v>495</v>
      </c>
      <c r="C262" s="2" t="s">
        <v>235</v>
      </c>
      <c r="D262" t="s">
        <v>665</v>
      </c>
      <c r="E262" s="4">
        <v>197000</v>
      </c>
    </row>
    <row r="263" spans="1:5" x14ac:dyDescent="0.2">
      <c r="A263" s="5">
        <v>2445707</v>
      </c>
      <c r="B263" s="2" t="s">
        <v>496</v>
      </c>
      <c r="C263" s="2" t="s">
        <v>235</v>
      </c>
      <c r="D263" t="s">
        <v>635</v>
      </c>
      <c r="E263" s="4">
        <v>281000</v>
      </c>
    </row>
    <row r="264" spans="1:5" x14ac:dyDescent="0.2">
      <c r="A264" s="5">
        <v>56961256</v>
      </c>
      <c r="B264" s="2" t="s">
        <v>497</v>
      </c>
      <c r="C264" s="2" t="s">
        <v>238</v>
      </c>
      <c r="D264" t="s">
        <v>643</v>
      </c>
      <c r="E264" s="4">
        <v>-53000</v>
      </c>
    </row>
    <row r="265" spans="1:5" x14ac:dyDescent="0.2">
      <c r="A265" s="5">
        <v>67296</v>
      </c>
      <c r="B265" s="2" t="s">
        <v>498</v>
      </c>
      <c r="C265" s="2" t="s">
        <v>235</v>
      </c>
      <c r="D265" t="s">
        <v>643</v>
      </c>
      <c r="E265" s="4">
        <v>413000</v>
      </c>
    </row>
    <row r="266" spans="1:5" x14ac:dyDescent="0.2">
      <c r="A266" s="5">
        <v>7202</v>
      </c>
      <c r="B266" s="2" t="s">
        <v>499</v>
      </c>
      <c r="C266" s="2" t="s">
        <v>245</v>
      </c>
      <c r="D266" t="s">
        <v>636</v>
      </c>
      <c r="E266" s="4">
        <v>489000</v>
      </c>
    </row>
    <row r="267" spans="1:5" x14ac:dyDescent="0.2">
      <c r="A267" s="5">
        <v>8017323</v>
      </c>
      <c r="B267" s="2" t="s">
        <v>500</v>
      </c>
      <c r="C267" s="2" t="s">
        <v>235</v>
      </c>
      <c r="D267" t="s">
        <v>664</v>
      </c>
      <c r="E267" s="4">
        <v>50000</v>
      </c>
    </row>
    <row r="268" spans="1:5" x14ac:dyDescent="0.2">
      <c r="A268" s="5">
        <v>568269</v>
      </c>
      <c r="B268" s="2" t="s">
        <v>501</v>
      </c>
      <c r="C268" s="2" t="s">
        <v>235</v>
      </c>
      <c r="D268" t="s">
        <v>637</v>
      </c>
      <c r="E268" s="4">
        <v>277000</v>
      </c>
    </row>
    <row r="269" spans="1:5" x14ac:dyDescent="0.2">
      <c r="A269" s="5">
        <v>202</v>
      </c>
      <c r="B269" s="2" t="s">
        <v>502</v>
      </c>
      <c r="C269" s="2" t="s">
        <v>235</v>
      </c>
      <c r="D269" t="s">
        <v>636</v>
      </c>
      <c r="E269" s="4">
        <v>-120000</v>
      </c>
    </row>
    <row r="270" spans="1:5" x14ac:dyDescent="0.2">
      <c r="A270" s="5">
        <v>431472</v>
      </c>
      <c r="B270" s="2" t="s">
        <v>503</v>
      </c>
      <c r="C270" s="2" t="s">
        <v>235</v>
      </c>
      <c r="D270" t="s">
        <v>664</v>
      </c>
      <c r="E270" s="4">
        <v>-16000</v>
      </c>
    </row>
    <row r="271" spans="1:5" x14ac:dyDescent="0.2">
      <c r="A271" s="5">
        <v>43863800</v>
      </c>
      <c r="B271" s="2" t="s">
        <v>504</v>
      </c>
      <c r="C271" s="2" t="s">
        <v>228</v>
      </c>
      <c r="D271" t="s">
        <v>643</v>
      </c>
      <c r="E271" s="4">
        <v>-398000</v>
      </c>
    </row>
    <row r="272" spans="1:5" x14ac:dyDescent="0.2">
      <c r="A272" s="5">
        <v>648663</v>
      </c>
      <c r="B272" s="2" t="s">
        <v>505</v>
      </c>
      <c r="C272" s="2" t="s">
        <v>228</v>
      </c>
      <c r="D272" t="s">
        <v>637</v>
      </c>
      <c r="E272" s="4">
        <v>-173000</v>
      </c>
    </row>
    <row r="273" spans="1:5" x14ac:dyDescent="0.2">
      <c r="A273" s="5">
        <v>7129</v>
      </c>
      <c r="B273" s="2" t="s">
        <v>506</v>
      </c>
      <c r="C273" s="2" t="s">
        <v>235</v>
      </c>
      <c r="D273" t="s">
        <v>636</v>
      </c>
      <c r="E273" s="4">
        <v>-450000</v>
      </c>
    </row>
    <row r="274" spans="1:5" x14ac:dyDescent="0.2">
      <c r="A274" s="5">
        <v>805</v>
      </c>
      <c r="B274" s="2" t="s">
        <v>507</v>
      </c>
      <c r="C274" s="2" t="s">
        <v>235</v>
      </c>
      <c r="D274" t="s">
        <v>643</v>
      </c>
      <c r="E274" s="4">
        <v>-287000</v>
      </c>
    </row>
    <row r="275" spans="1:5" x14ac:dyDescent="0.2">
      <c r="A275" s="5">
        <v>81</v>
      </c>
      <c r="B275" s="2" t="s">
        <v>508</v>
      </c>
      <c r="C275" s="2" t="s">
        <v>230</v>
      </c>
      <c r="D275" t="s">
        <v>638</v>
      </c>
      <c r="E275" s="4">
        <v>370000</v>
      </c>
    </row>
    <row r="276" spans="1:5" x14ac:dyDescent="0.2">
      <c r="A276" s="5">
        <v>5262777</v>
      </c>
      <c r="B276" s="2" t="s">
        <v>509</v>
      </c>
      <c r="C276" s="2" t="s">
        <v>241</v>
      </c>
      <c r="D276" t="s">
        <v>637</v>
      </c>
      <c r="E276" s="4">
        <v>338000</v>
      </c>
    </row>
    <row r="277" spans="1:5" x14ac:dyDescent="0.2">
      <c r="A277" s="5">
        <v>68241</v>
      </c>
      <c r="B277" s="2" t="s">
        <v>510</v>
      </c>
      <c r="C277" s="2" t="s">
        <v>235</v>
      </c>
      <c r="D277" t="s">
        <v>643</v>
      </c>
      <c r="E277" s="4">
        <v>-382000</v>
      </c>
    </row>
    <row r="278" spans="1:5" x14ac:dyDescent="0.2">
      <c r="A278" s="5">
        <v>990</v>
      </c>
      <c r="B278" s="2" t="s">
        <v>511</v>
      </c>
      <c r="C278" s="2" t="s">
        <v>251</v>
      </c>
      <c r="D278" t="s">
        <v>642</v>
      </c>
      <c r="E278" s="4">
        <v>-265000</v>
      </c>
    </row>
    <row r="279" spans="1:5" x14ac:dyDescent="0.2">
      <c r="A279" s="5">
        <v>612269</v>
      </c>
      <c r="B279" s="2" t="s">
        <v>512</v>
      </c>
      <c r="C279" s="2" t="s">
        <v>235</v>
      </c>
      <c r="D279" t="s">
        <v>643</v>
      </c>
      <c r="E279" s="4">
        <v>-296000</v>
      </c>
    </row>
    <row r="280" spans="1:5" x14ac:dyDescent="0.2">
      <c r="A280" s="5">
        <v>9322</v>
      </c>
      <c r="B280" s="2" t="s">
        <v>513</v>
      </c>
      <c r="C280" s="2" t="s">
        <v>235</v>
      </c>
      <c r="D280" t="s">
        <v>664</v>
      </c>
      <c r="E280" s="4">
        <v>-86000</v>
      </c>
    </row>
    <row r="281" spans="1:5" x14ac:dyDescent="0.2">
      <c r="A281" s="5">
        <v>9036672</v>
      </c>
      <c r="B281" s="2" t="s">
        <v>514</v>
      </c>
      <c r="C281" s="2" t="s">
        <v>235</v>
      </c>
      <c r="D281" t="s">
        <v>640</v>
      </c>
      <c r="E281" s="4">
        <v>134000</v>
      </c>
    </row>
    <row r="282" spans="1:5" x14ac:dyDescent="0.2">
      <c r="A282" s="5">
        <v>3</v>
      </c>
      <c r="B282" s="2" t="s">
        <v>515</v>
      </c>
      <c r="C282" s="2" t="s">
        <v>241</v>
      </c>
      <c r="D282" t="s">
        <v>642</v>
      </c>
      <c r="E282" s="4">
        <v>67000</v>
      </c>
    </row>
    <row r="283" spans="1:5" x14ac:dyDescent="0.2">
      <c r="A283" s="5">
        <v>50225</v>
      </c>
      <c r="B283" s="2" t="s">
        <v>516</v>
      </c>
      <c r="C283" s="2" t="s">
        <v>235</v>
      </c>
      <c r="D283" t="s">
        <v>636</v>
      </c>
      <c r="E283" s="4">
        <v>165000</v>
      </c>
    </row>
    <row r="284" spans="1:5" x14ac:dyDescent="0.2">
      <c r="A284" s="5">
        <v>785</v>
      </c>
      <c r="B284" s="2" t="s">
        <v>517</v>
      </c>
      <c r="C284" s="2" t="s">
        <v>251</v>
      </c>
      <c r="D284" t="s">
        <v>640</v>
      </c>
      <c r="E284" s="4">
        <v>74000</v>
      </c>
    </row>
    <row r="285" spans="1:5" x14ac:dyDescent="0.2">
      <c r="A285" s="5">
        <v>679310</v>
      </c>
      <c r="B285" s="2" t="s">
        <v>518</v>
      </c>
      <c r="C285" s="2" t="s">
        <v>235</v>
      </c>
      <c r="D285" t="s">
        <v>635</v>
      </c>
      <c r="E285" s="4">
        <v>-451000</v>
      </c>
    </row>
    <row r="286" spans="1:5" x14ac:dyDescent="0.2">
      <c r="A286" s="5">
        <v>96</v>
      </c>
      <c r="B286" s="2" t="s">
        <v>519</v>
      </c>
      <c r="C286" s="2" t="s">
        <v>235</v>
      </c>
      <c r="D286" t="s">
        <v>637</v>
      </c>
      <c r="E286" s="4">
        <v>303000</v>
      </c>
    </row>
    <row r="287" spans="1:5" x14ac:dyDescent="0.2">
      <c r="A287" s="5">
        <v>1948</v>
      </c>
      <c r="B287" s="2" t="s">
        <v>520</v>
      </c>
      <c r="C287" s="2" t="s">
        <v>251</v>
      </c>
      <c r="D287" t="s">
        <v>638</v>
      </c>
      <c r="E287" s="4">
        <v>-96000</v>
      </c>
    </row>
    <row r="288" spans="1:5" x14ac:dyDescent="0.2">
      <c r="A288" s="5">
        <v>7479966</v>
      </c>
      <c r="B288" s="2" t="s">
        <v>521</v>
      </c>
      <c r="C288" s="2" t="s">
        <v>230</v>
      </c>
      <c r="D288" t="s">
        <v>636</v>
      </c>
      <c r="E288" s="4">
        <v>40000</v>
      </c>
    </row>
    <row r="289" spans="1:5" x14ac:dyDescent="0.2">
      <c r="A289" s="5">
        <v>447700</v>
      </c>
      <c r="B289" s="2" t="s">
        <v>522</v>
      </c>
      <c r="C289" s="2" t="s">
        <v>235</v>
      </c>
      <c r="D289" t="s">
        <v>635</v>
      </c>
      <c r="E289" s="4">
        <v>-297000</v>
      </c>
    </row>
    <row r="290" spans="1:5" x14ac:dyDescent="0.2">
      <c r="A290" s="5">
        <v>21</v>
      </c>
      <c r="B290" s="2" t="s">
        <v>523</v>
      </c>
      <c r="C290" s="2" t="s">
        <v>235</v>
      </c>
      <c r="D290" t="s">
        <v>643</v>
      </c>
      <c r="E290" s="4">
        <v>126000</v>
      </c>
    </row>
    <row r="291" spans="1:5" x14ac:dyDescent="0.2">
      <c r="A291" s="5">
        <v>6862</v>
      </c>
      <c r="B291" s="2" t="s">
        <v>524</v>
      </c>
      <c r="C291" s="2" t="s">
        <v>228</v>
      </c>
      <c r="D291" t="s">
        <v>639</v>
      </c>
      <c r="E291" s="4">
        <v>378000</v>
      </c>
    </row>
    <row r="292" spans="1:5" x14ac:dyDescent="0.2">
      <c r="A292" s="5">
        <v>104816</v>
      </c>
      <c r="B292" s="2" t="s">
        <v>525</v>
      </c>
      <c r="C292" s="2" t="s">
        <v>243</v>
      </c>
      <c r="D292" t="s">
        <v>636</v>
      </c>
      <c r="E292" s="4">
        <v>116000</v>
      </c>
    </row>
    <row r="293" spans="1:5" x14ac:dyDescent="0.2">
      <c r="A293" s="5">
        <v>32</v>
      </c>
      <c r="B293" s="2" t="s">
        <v>526</v>
      </c>
      <c r="C293" s="2" t="s">
        <v>235</v>
      </c>
      <c r="D293" t="s">
        <v>665</v>
      </c>
      <c r="E293" s="4">
        <v>-173000</v>
      </c>
    </row>
    <row r="294" spans="1:5" x14ac:dyDescent="0.2">
      <c r="A294" s="5">
        <v>92320257</v>
      </c>
      <c r="B294" s="2" t="s">
        <v>527</v>
      </c>
      <c r="C294" s="2" t="s">
        <v>235</v>
      </c>
      <c r="D294" t="s">
        <v>643</v>
      </c>
      <c r="E294" s="4">
        <v>-132000</v>
      </c>
    </row>
    <row r="295" spans="1:5" x14ac:dyDescent="0.2">
      <c r="A295" s="5">
        <v>497</v>
      </c>
      <c r="B295" s="2" t="s">
        <v>528</v>
      </c>
      <c r="C295" s="2" t="s">
        <v>235</v>
      </c>
      <c r="D295" t="s">
        <v>643</v>
      </c>
      <c r="E295" s="4">
        <v>-336000</v>
      </c>
    </row>
    <row r="296" spans="1:5" x14ac:dyDescent="0.2">
      <c r="A296" s="5">
        <v>9037</v>
      </c>
      <c r="B296" s="2" t="s">
        <v>529</v>
      </c>
      <c r="C296" s="2" t="s">
        <v>235</v>
      </c>
      <c r="D296" t="s">
        <v>640</v>
      </c>
      <c r="E296" s="4">
        <v>-137000</v>
      </c>
    </row>
    <row r="297" spans="1:5" x14ac:dyDescent="0.2">
      <c r="A297" s="5">
        <v>38906965</v>
      </c>
      <c r="B297" s="2" t="s">
        <v>530</v>
      </c>
      <c r="C297" s="2" t="s">
        <v>235</v>
      </c>
      <c r="D297" t="s">
        <v>635</v>
      </c>
      <c r="E297" s="4">
        <v>180000</v>
      </c>
    </row>
    <row r="298" spans="1:5" x14ac:dyDescent="0.2">
      <c r="A298" s="5">
        <v>4</v>
      </c>
      <c r="B298" s="2" t="s">
        <v>531</v>
      </c>
      <c r="C298" s="2" t="s">
        <v>235</v>
      </c>
      <c r="D298" t="s">
        <v>643</v>
      </c>
      <c r="E298" s="4">
        <v>335000</v>
      </c>
    </row>
    <row r="299" spans="1:5" x14ac:dyDescent="0.2">
      <c r="A299" s="5">
        <v>20</v>
      </c>
      <c r="B299" s="2" t="s">
        <v>531</v>
      </c>
      <c r="C299" s="2" t="s">
        <v>235</v>
      </c>
      <c r="D299" t="s">
        <v>643</v>
      </c>
      <c r="E299" s="4">
        <v>396000</v>
      </c>
    </row>
    <row r="300" spans="1:5" x14ac:dyDescent="0.2">
      <c r="A300" s="5">
        <v>90962</v>
      </c>
      <c r="B300" s="2" t="s">
        <v>532</v>
      </c>
      <c r="C300" s="2" t="s">
        <v>238</v>
      </c>
      <c r="D300" t="s">
        <v>637</v>
      </c>
      <c r="E300" s="4">
        <v>403000</v>
      </c>
    </row>
    <row r="301" spans="1:5" x14ac:dyDescent="0.2">
      <c r="A301" s="5">
        <v>26</v>
      </c>
      <c r="B301" s="2" t="s">
        <v>533</v>
      </c>
      <c r="C301" s="2" t="s">
        <v>243</v>
      </c>
      <c r="D301" t="s">
        <v>638</v>
      </c>
      <c r="E301" s="4">
        <v>32000</v>
      </c>
    </row>
    <row r="302" spans="1:5" x14ac:dyDescent="0.2">
      <c r="A302" s="5">
        <v>13960806</v>
      </c>
      <c r="B302" s="2" t="s">
        <v>534</v>
      </c>
      <c r="C302" s="2" t="s">
        <v>245</v>
      </c>
      <c r="D302" t="s">
        <v>637</v>
      </c>
      <c r="E302" s="4">
        <v>-439000</v>
      </c>
    </row>
    <row r="303" spans="1:5" x14ac:dyDescent="0.2">
      <c r="A303" s="5">
        <v>4004754</v>
      </c>
      <c r="B303" s="2" t="s">
        <v>535</v>
      </c>
      <c r="C303" s="2" t="s">
        <v>235</v>
      </c>
      <c r="D303" t="s">
        <v>664</v>
      </c>
      <c r="E303" s="4">
        <v>-118000</v>
      </c>
    </row>
    <row r="304" spans="1:5" x14ac:dyDescent="0.2">
      <c r="A304" s="5">
        <v>753805</v>
      </c>
      <c r="B304" s="2" t="s">
        <v>536</v>
      </c>
      <c r="C304" s="2" t="s">
        <v>241</v>
      </c>
      <c r="D304" t="s">
        <v>638</v>
      </c>
      <c r="E304" s="4">
        <v>-452000</v>
      </c>
    </row>
    <row r="305" spans="1:5" x14ac:dyDescent="0.2">
      <c r="A305" s="5">
        <v>27076462</v>
      </c>
      <c r="B305" s="2" t="s">
        <v>537</v>
      </c>
      <c r="C305" s="2" t="s">
        <v>235</v>
      </c>
      <c r="D305" t="s">
        <v>643</v>
      </c>
      <c r="E305" s="4">
        <v>51000</v>
      </c>
    </row>
    <row r="306" spans="1:5" x14ac:dyDescent="0.2">
      <c r="A306" s="5">
        <v>6723074</v>
      </c>
      <c r="B306" s="2" t="s">
        <v>538</v>
      </c>
      <c r="C306" s="2" t="s">
        <v>235</v>
      </c>
      <c r="D306" t="s">
        <v>643</v>
      </c>
      <c r="E306" s="4">
        <v>344000</v>
      </c>
    </row>
    <row r="307" spans="1:5" x14ac:dyDescent="0.2">
      <c r="A307" s="5">
        <v>59</v>
      </c>
      <c r="B307" s="2" t="s">
        <v>539</v>
      </c>
      <c r="C307" s="2" t="s">
        <v>238</v>
      </c>
      <c r="D307" t="s">
        <v>636</v>
      </c>
      <c r="E307" s="4">
        <v>150000</v>
      </c>
    </row>
    <row r="308" spans="1:5" x14ac:dyDescent="0.2">
      <c r="A308" s="5">
        <v>78944070</v>
      </c>
      <c r="B308" s="2" t="s">
        <v>540</v>
      </c>
      <c r="C308" s="2" t="s">
        <v>235</v>
      </c>
      <c r="D308" t="s">
        <v>643</v>
      </c>
      <c r="E308" s="4">
        <v>-4000</v>
      </c>
    </row>
    <row r="309" spans="1:5" x14ac:dyDescent="0.2">
      <c r="A309" s="5">
        <v>54780</v>
      </c>
      <c r="B309" s="2" t="s">
        <v>541</v>
      </c>
      <c r="C309" s="2" t="s">
        <v>230</v>
      </c>
      <c r="D309" t="s">
        <v>637</v>
      </c>
      <c r="E309" s="4">
        <v>-402000</v>
      </c>
    </row>
    <row r="310" spans="1:5" x14ac:dyDescent="0.2">
      <c r="A310" s="5">
        <v>972</v>
      </c>
      <c r="B310" s="2" t="s">
        <v>542</v>
      </c>
      <c r="C310" s="2" t="s">
        <v>235</v>
      </c>
      <c r="D310" t="s">
        <v>637</v>
      </c>
      <c r="E310" s="4">
        <v>291000</v>
      </c>
    </row>
    <row r="311" spans="1:5" x14ac:dyDescent="0.2">
      <c r="A311" s="5">
        <v>662</v>
      </c>
      <c r="B311" s="2" t="s">
        <v>543</v>
      </c>
      <c r="C311" s="2" t="s">
        <v>235</v>
      </c>
      <c r="D311" t="s">
        <v>643</v>
      </c>
      <c r="E311" s="4">
        <v>204000</v>
      </c>
    </row>
    <row r="312" spans="1:5" x14ac:dyDescent="0.2">
      <c r="A312" s="5">
        <v>91327243</v>
      </c>
      <c r="B312" s="2" t="s">
        <v>544</v>
      </c>
      <c r="C312" s="2" t="s">
        <v>235</v>
      </c>
      <c r="D312" t="s">
        <v>635</v>
      </c>
      <c r="E312" s="4">
        <v>157000</v>
      </c>
    </row>
    <row r="313" spans="1:5" x14ac:dyDescent="0.2">
      <c r="A313" s="5">
        <v>516095</v>
      </c>
      <c r="B313" s="2" t="s">
        <v>545</v>
      </c>
      <c r="C313" s="2" t="s">
        <v>235</v>
      </c>
      <c r="D313" t="s">
        <v>636</v>
      </c>
      <c r="E313" s="4">
        <v>-77000</v>
      </c>
    </row>
    <row r="314" spans="1:5" x14ac:dyDescent="0.2">
      <c r="A314" s="5">
        <v>2765154</v>
      </c>
      <c r="B314" s="2" t="s">
        <v>546</v>
      </c>
      <c r="C314" s="2" t="s">
        <v>235</v>
      </c>
      <c r="D314" t="s">
        <v>665</v>
      </c>
      <c r="E314" s="4">
        <v>-282000</v>
      </c>
    </row>
    <row r="315" spans="1:5" x14ac:dyDescent="0.2">
      <c r="A315" s="5">
        <v>3881614</v>
      </c>
      <c r="B315" s="2" t="s">
        <v>547</v>
      </c>
      <c r="C315" s="2" t="s">
        <v>245</v>
      </c>
      <c r="D315" t="s">
        <v>637</v>
      </c>
      <c r="E315" s="4">
        <v>-176000</v>
      </c>
    </row>
    <row r="316" spans="1:5" x14ac:dyDescent="0.2">
      <c r="A316" s="5">
        <v>79476220</v>
      </c>
      <c r="B316" s="2" t="s">
        <v>548</v>
      </c>
      <c r="C316" s="2" t="s">
        <v>230</v>
      </c>
      <c r="D316" t="s">
        <v>640</v>
      </c>
      <c r="E316" s="4">
        <v>-38000</v>
      </c>
    </row>
    <row r="317" spans="1:5" x14ac:dyDescent="0.2">
      <c r="A317" s="5">
        <v>37706</v>
      </c>
      <c r="B317" s="2" t="s">
        <v>549</v>
      </c>
      <c r="C317" s="2" t="s">
        <v>238</v>
      </c>
      <c r="D317" t="s">
        <v>643</v>
      </c>
      <c r="E317" s="4">
        <v>220000</v>
      </c>
    </row>
    <row r="318" spans="1:5" x14ac:dyDescent="0.2">
      <c r="A318" s="5">
        <v>826714</v>
      </c>
      <c r="B318" s="2" t="s">
        <v>550</v>
      </c>
      <c r="C318" s="2" t="s">
        <v>235</v>
      </c>
      <c r="D318" t="s">
        <v>664</v>
      </c>
      <c r="E318" s="4">
        <v>-481000</v>
      </c>
    </row>
    <row r="319" spans="1:5" x14ac:dyDescent="0.2">
      <c r="A319" s="5">
        <v>572025</v>
      </c>
      <c r="B319" s="2" t="s">
        <v>551</v>
      </c>
      <c r="C319" s="2" t="s">
        <v>243</v>
      </c>
      <c r="D319" t="s">
        <v>635</v>
      </c>
      <c r="E319" s="4">
        <v>-263000</v>
      </c>
    </row>
    <row r="320" spans="1:5" x14ac:dyDescent="0.2">
      <c r="A320" s="5">
        <v>80138</v>
      </c>
      <c r="B320" s="2" t="s">
        <v>552</v>
      </c>
      <c r="C320" s="2" t="s">
        <v>235</v>
      </c>
      <c r="D320" t="s">
        <v>665</v>
      </c>
      <c r="E320" s="4">
        <v>-162000</v>
      </c>
    </row>
    <row r="321" spans="1:5" x14ac:dyDescent="0.2">
      <c r="A321" s="5">
        <v>91414</v>
      </c>
      <c r="B321" s="2" t="s">
        <v>553</v>
      </c>
      <c r="C321" s="2" t="s">
        <v>235</v>
      </c>
      <c r="D321" t="s">
        <v>636</v>
      </c>
      <c r="E321" s="4">
        <v>283000</v>
      </c>
    </row>
    <row r="322" spans="1:5" x14ac:dyDescent="0.2">
      <c r="A322" s="5">
        <v>54</v>
      </c>
      <c r="B322" s="2" t="s">
        <v>554</v>
      </c>
      <c r="C322" s="2" t="s">
        <v>241</v>
      </c>
      <c r="D322" t="s">
        <v>635</v>
      </c>
      <c r="E322" s="4">
        <v>288000</v>
      </c>
    </row>
    <row r="323" spans="1:5" x14ac:dyDescent="0.2">
      <c r="A323" s="5">
        <v>301</v>
      </c>
      <c r="B323" s="2" t="s">
        <v>555</v>
      </c>
      <c r="C323" s="2" t="s">
        <v>249</v>
      </c>
      <c r="D323" t="s">
        <v>638</v>
      </c>
      <c r="E323" s="4">
        <v>113000</v>
      </c>
    </row>
    <row r="324" spans="1:5" x14ac:dyDescent="0.2">
      <c r="A324" s="5">
        <v>95360283</v>
      </c>
      <c r="B324" s="2" t="s">
        <v>556</v>
      </c>
      <c r="C324" s="2" t="s">
        <v>235</v>
      </c>
      <c r="D324" t="s">
        <v>643</v>
      </c>
      <c r="E324" s="4">
        <v>401000</v>
      </c>
    </row>
    <row r="325" spans="1:5" x14ac:dyDescent="0.2">
      <c r="A325" s="5">
        <v>27</v>
      </c>
      <c r="B325" s="2" t="s">
        <v>557</v>
      </c>
      <c r="C325" s="2" t="s">
        <v>230</v>
      </c>
      <c r="D325" t="s">
        <v>637</v>
      </c>
      <c r="E325" s="4">
        <v>239000</v>
      </c>
    </row>
    <row r="326" spans="1:5" x14ac:dyDescent="0.2">
      <c r="A326" s="5">
        <v>75489043</v>
      </c>
      <c r="B326" s="2" t="s">
        <v>558</v>
      </c>
      <c r="C326" s="2" t="s">
        <v>238</v>
      </c>
      <c r="D326" t="s">
        <v>643</v>
      </c>
      <c r="E326" s="4">
        <v>210000</v>
      </c>
    </row>
    <row r="327" spans="1:5" x14ac:dyDescent="0.2">
      <c r="A327" s="5">
        <v>125034</v>
      </c>
      <c r="B327" s="2" t="s">
        <v>559</v>
      </c>
      <c r="C327" s="2" t="s">
        <v>235</v>
      </c>
      <c r="D327" t="s">
        <v>643</v>
      </c>
      <c r="E327" s="4">
        <v>452000</v>
      </c>
    </row>
    <row r="328" spans="1:5" x14ac:dyDescent="0.2">
      <c r="A328" s="5">
        <v>370893</v>
      </c>
      <c r="B328" s="2" t="s">
        <v>560</v>
      </c>
      <c r="C328" s="2" t="s">
        <v>235</v>
      </c>
      <c r="D328" t="s">
        <v>664</v>
      </c>
      <c r="E328" s="4">
        <v>-220000</v>
      </c>
    </row>
    <row r="329" spans="1:5" x14ac:dyDescent="0.2">
      <c r="A329" s="5">
        <v>484073</v>
      </c>
      <c r="B329" s="2" t="s">
        <v>561</v>
      </c>
      <c r="C329" s="2" t="s">
        <v>251</v>
      </c>
      <c r="D329" t="s">
        <v>643</v>
      </c>
      <c r="E329" s="4">
        <v>-486000</v>
      </c>
    </row>
    <row r="330" spans="1:5" x14ac:dyDescent="0.2">
      <c r="A330" s="5">
        <v>58333032</v>
      </c>
      <c r="B330" s="2" t="s">
        <v>562</v>
      </c>
      <c r="C330" s="2" t="s">
        <v>235</v>
      </c>
      <c r="D330" t="s">
        <v>642</v>
      </c>
      <c r="E330" s="4">
        <v>322000</v>
      </c>
    </row>
    <row r="331" spans="1:5" x14ac:dyDescent="0.2">
      <c r="A331" s="5">
        <v>6834377</v>
      </c>
      <c r="B331" s="2" t="s">
        <v>563</v>
      </c>
      <c r="C331" s="2" t="s">
        <v>235</v>
      </c>
      <c r="D331" t="s">
        <v>642</v>
      </c>
      <c r="E331" s="4">
        <v>-174000</v>
      </c>
    </row>
    <row r="332" spans="1:5" x14ac:dyDescent="0.2">
      <c r="A332" s="5">
        <v>2602931</v>
      </c>
      <c r="B332" s="2" t="s">
        <v>564</v>
      </c>
      <c r="C332" s="2" t="s">
        <v>235</v>
      </c>
      <c r="D332" t="s">
        <v>665</v>
      </c>
      <c r="E332" s="4">
        <v>-148000</v>
      </c>
    </row>
    <row r="333" spans="1:5" x14ac:dyDescent="0.2">
      <c r="A333" s="5">
        <v>7385</v>
      </c>
      <c r="B333" s="2" t="s">
        <v>565</v>
      </c>
      <c r="C333" s="2" t="s">
        <v>235</v>
      </c>
      <c r="D333" t="s">
        <v>642</v>
      </c>
      <c r="E333" s="4">
        <v>-312000</v>
      </c>
    </row>
    <row r="334" spans="1:5" x14ac:dyDescent="0.2">
      <c r="A334" s="5">
        <v>47805922</v>
      </c>
      <c r="B334" s="2" t="s">
        <v>566</v>
      </c>
      <c r="C334" s="2" t="s">
        <v>243</v>
      </c>
      <c r="D334" t="s">
        <v>642</v>
      </c>
      <c r="E334" s="4">
        <v>-62000</v>
      </c>
    </row>
    <row r="335" spans="1:5" x14ac:dyDescent="0.2">
      <c r="A335" s="5">
        <v>276</v>
      </c>
      <c r="B335" s="2" t="s">
        <v>567</v>
      </c>
      <c r="C335" s="2" t="s">
        <v>241</v>
      </c>
      <c r="D335" t="s">
        <v>639</v>
      </c>
      <c r="E335" s="4">
        <v>335000</v>
      </c>
    </row>
    <row r="336" spans="1:5" x14ac:dyDescent="0.2">
      <c r="A336" s="5">
        <v>80104779</v>
      </c>
      <c r="B336" s="2" t="s">
        <v>568</v>
      </c>
      <c r="C336" s="2" t="s">
        <v>235</v>
      </c>
      <c r="D336" t="s">
        <v>665</v>
      </c>
      <c r="E336" s="4">
        <v>-18000</v>
      </c>
    </row>
    <row r="337" spans="1:5" x14ac:dyDescent="0.2">
      <c r="A337" s="5">
        <v>4849</v>
      </c>
      <c r="B337" s="2" t="s">
        <v>569</v>
      </c>
      <c r="C337" s="2" t="s">
        <v>235</v>
      </c>
      <c r="D337" t="s">
        <v>643</v>
      </c>
      <c r="E337" s="4">
        <v>392000</v>
      </c>
    </row>
    <row r="338" spans="1:5" x14ac:dyDescent="0.2">
      <c r="A338" s="5">
        <v>125629</v>
      </c>
      <c r="B338" s="2" t="s">
        <v>570</v>
      </c>
      <c r="C338" s="2" t="s">
        <v>235</v>
      </c>
      <c r="D338" t="s">
        <v>636</v>
      </c>
      <c r="E338" s="4">
        <v>-198000</v>
      </c>
    </row>
    <row r="339" spans="1:5" x14ac:dyDescent="0.2">
      <c r="A339" s="5">
        <v>38</v>
      </c>
      <c r="B339" s="2" t="s">
        <v>571</v>
      </c>
      <c r="C339" s="2" t="s">
        <v>241</v>
      </c>
      <c r="D339" t="s">
        <v>639</v>
      </c>
      <c r="E339" s="4">
        <v>268000</v>
      </c>
    </row>
    <row r="340" spans="1:5" x14ac:dyDescent="0.2">
      <c r="A340" s="5">
        <v>99</v>
      </c>
      <c r="B340" s="2" t="s">
        <v>572</v>
      </c>
      <c r="C340" s="2" t="s">
        <v>251</v>
      </c>
      <c r="D340" t="s">
        <v>635</v>
      </c>
      <c r="E340" s="4">
        <v>476000</v>
      </c>
    </row>
    <row r="341" spans="1:5" x14ac:dyDescent="0.2">
      <c r="A341" s="5">
        <v>299</v>
      </c>
      <c r="B341" s="2" t="s">
        <v>573</v>
      </c>
      <c r="C341" s="2" t="s">
        <v>235</v>
      </c>
      <c r="D341" t="s">
        <v>635</v>
      </c>
      <c r="E341" s="4">
        <v>-224000</v>
      </c>
    </row>
    <row r="342" spans="1:5" x14ac:dyDescent="0.2">
      <c r="A342" s="5">
        <v>20194791</v>
      </c>
      <c r="B342" s="2" t="s">
        <v>574</v>
      </c>
      <c r="C342" s="2" t="s">
        <v>235</v>
      </c>
      <c r="D342" t="s">
        <v>643</v>
      </c>
      <c r="E342" s="4">
        <v>-72000</v>
      </c>
    </row>
    <row r="343" spans="1:5" x14ac:dyDescent="0.2">
      <c r="A343" s="5">
        <v>971</v>
      </c>
      <c r="B343" s="2" t="s">
        <v>575</v>
      </c>
      <c r="C343" s="2" t="s">
        <v>241</v>
      </c>
      <c r="D343" t="s">
        <v>637</v>
      </c>
      <c r="E343" s="4">
        <v>239000</v>
      </c>
    </row>
    <row r="344" spans="1:5" x14ac:dyDescent="0.2">
      <c r="A344" s="5">
        <v>7558475</v>
      </c>
      <c r="B344" s="2" t="s">
        <v>576</v>
      </c>
      <c r="C344" s="2" t="s">
        <v>235</v>
      </c>
      <c r="D344" t="s">
        <v>640</v>
      </c>
      <c r="E344" s="4">
        <v>99000</v>
      </c>
    </row>
    <row r="345" spans="1:5" x14ac:dyDescent="0.2">
      <c r="A345" s="5">
        <v>5488</v>
      </c>
      <c r="B345" s="2" t="s">
        <v>577</v>
      </c>
      <c r="C345" s="2" t="s">
        <v>241</v>
      </c>
      <c r="D345" t="s">
        <v>636</v>
      </c>
      <c r="E345" s="4">
        <v>-306000</v>
      </c>
    </row>
    <row r="346" spans="1:5" x14ac:dyDescent="0.2">
      <c r="A346" s="5">
        <v>798</v>
      </c>
      <c r="B346" s="2" t="s">
        <v>578</v>
      </c>
      <c r="C346" s="2" t="s">
        <v>235</v>
      </c>
      <c r="D346" t="s">
        <v>643</v>
      </c>
      <c r="E346" s="4">
        <v>-316000</v>
      </c>
    </row>
    <row r="347" spans="1:5" x14ac:dyDescent="0.2">
      <c r="A347" s="5">
        <v>880</v>
      </c>
      <c r="B347" s="2" t="s">
        <v>579</v>
      </c>
      <c r="C347" s="2" t="s">
        <v>238</v>
      </c>
      <c r="D347" t="s">
        <v>636</v>
      </c>
      <c r="E347" s="4">
        <v>35000</v>
      </c>
    </row>
    <row r="348" spans="1:5" x14ac:dyDescent="0.2">
      <c r="A348" s="5">
        <v>530</v>
      </c>
      <c r="B348" s="2" t="s">
        <v>580</v>
      </c>
      <c r="C348" s="2" t="s">
        <v>235</v>
      </c>
      <c r="D348" t="s">
        <v>664</v>
      </c>
      <c r="E348" s="4">
        <v>-181000</v>
      </c>
    </row>
    <row r="349" spans="1:5" x14ac:dyDescent="0.2">
      <c r="A349" s="5">
        <v>44982022</v>
      </c>
      <c r="B349" s="2" t="s">
        <v>581</v>
      </c>
      <c r="C349" s="2" t="s">
        <v>228</v>
      </c>
      <c r="D349" t="s">
        <v>638</v>
      </c>
      <c r="E349" s="4">
        <v>217000</v>
      </c>
    </row>
    <row r="350" spans="1:5" x14ac:dyDescent="0.2">
      <c r="A350" s="5">
        <v>72938</v>
      </c>
      <c r="B350" s="2" t="s">
        <v>582</v>
      </c>
      <c r="C350" s="2" t="s">
        <v>235</v>
      </c>
      <c r="D350" t="s">
        <v>636</v>
      </c>
      <c r="E350" s="4">
        <v>-371000</v>
      </c>
    </row>
    <row r="351" spans="1:5" x14ac:dyDescent="0.2">
      <c r="A351" s="5">
        <v>4148</v>
      </c>
      <c r="B351" s="2" t="s">
        <v>583</v>
      </c>
      <c r="C351" s="2" t="s">
        <v>238</v>
      </c>
      <c r="D351" t="s">
        <v>643</v>
      </c>
      <c r="E351" s="4">
        <v>368000</v>
      </c>
    </row>
    <row r="352" spans="1:5" x14ac:dyDescent="0.2">
      <c r="A352" s="5">
        <v>487</v>
      </c>
      <c r="B352" s="2" t="s">
        <v>584</v>
      </c>
      <c r="C352" s="2" t="s">
        <v>235</v>
      </c>
      <c r="D352" t="s">
        <v>636</v>
      </c>
      <c r="E352" s="4">
        <v>339000</v>
      </c>
    </row>
    <row r="353" spans="1:7" x14ac:dyDescent="0.2">
      <c r="A353" s="5">
        <v>50782119</v>
      </c>
      <c r="B353" s="2" t="s">
        <v>585</v>
      </c>
      <c r="C353" s="2" t="s">
        <v>243</v>
      </c>
      <c r="D353" t="s">
        <v>643</v>
      </c>
      <c r="E353" s="4">
        <v>-261000</v>
      </c>
    </row>
    <row r="354" spans="1:7" x14ac:dyDescent="0.2">
      <c r="A354" s="5">
        <v>9</v>
      </c>
      <c r="B354" s="2" t="s">
        <v>586</v>
      </c>
      <c r="C354" s="2" t="s">
        <v>243</v>
      </c>
      <c r="D354" t="s">
        <v>637</v>
      </c>
      <c r="E354" s="4">
        <v>-155000</v>
      </c>
    </row>
    <row r="355" spans="1:7" x14ac:dyDescent="0.2">
      <c r="A355" s="5">
        <v>14136</v>
      </c>
      <c r="B355" s="2" t="s">
        <v>587</v>
      </c>
      <c r="C355" s="2" t="s">
        <v>243</v>
      </c>
      <c r="D355" t="s">
        <v>643</v>
      </c>
      <c r="E355" s="4">
        <v>299000</v>
      </c>
    </row>
    <row r="356" spans="1:7" x14ac:dyDescent="0.2">
      <c r="A356" s="5">
        <v>91275989</v>
      </c>
      <c r="B356" s="2" t="s">
        <v>588</v>
      </c>
      <c r="C356" s="2" t="s">
        <v>235</v>
      </c>
      <c r="D356" t="s">
        <v>664</v>
      </c>
      <c r="E356" s="4">
        <v>477000</v>
      </c>
    </row>
    <row r="357" spans="1:7" x14ac:dyDescent="0.2">
      <c r="A357" s="5">
        <v>34061779</v>
      </c>
      <c r="B357" s="2" t="s">
        <v>589</v>
      </c>
      <c r="C357" s="2" t="s">
        <v>235</v>
      </c>
      <c r="D357" t="s">
        <v>636</v>
      </c>
      <c r="E357" s="4">
        <v>384000</v>
      </c>
    </row>
    <row r="358" spans="1:7" x14ac:dyDescent="0.2">
      <c r="A358" s="5">
        <v>79</v>
      </c>
      <c r="B358" s="2" t="s">
        <v>590</v>
      </c>
      <c r="C358" s="2" t="s">
        <v>235</v>
      </c>
      <c r="D358" t="s">
        <v>643</v>
      </c>
      <c r="E358" s="4">
        <v>-238000</v>
      </c>
    </row>
    <row r="359" spans="1:7" x14ac:dyDescent="0.2">
      <c r="A359" s="5">
        <v>372</v>
      </c>
      <c r="B359" s="2" t="s">
        <v>591</v>
      </c>
      <c r="C359" s="2" t="s">
        <v>251</v>
      </c>
      <c r="D359" t="s">
        <v>637</v>
      </c>
      <c r="E359" s="4">
        <v>210000</v>
      </c>
    </row>
    <row r="360" spans="1:7" x14ac:dyDescent="0.2">
      <c r="A360" s="5">
        <v>8</v>
      </c>
      <c r="B360" s="2" t="s">
        <v>592</v>
      </c>
      <c r="C360" s="2" t="s">
        <v>235</v>
      </c>
      <c r="D360" t="s">
        <v>643</v>
      </c>
      <c r="E360" s="4">
        <v>-22000</v>
      </c>
    </row>
    <row r="361" spans="1:7" x14ac:dyDescent="0.2">
      <c r="A361" s="5">
        <v>32000</v>
      </c>
      <c r="B361" s="2" t="s">
        <v>593</v>
      </c>
      <c r="C361" s="2" t="s">
        <v>235</v>
      </c>
      <c r="D361" t="s">
        <v>656</v>
      </c>
      <c r="E361" s="4">
        <v>68000</v>
      </c>
    </row>
    <row r="362" spans="1:7" x14ac:dyDescent="0.2">
      <c r="A362" s="5">
        <v>75057713</v>
      </c>
      <c r="B362" s="2" t="s">
        <v>594</v>
      </c>
      <c r="C362" s="2" t="s">
        <v>251</v>
      </c>
      <c r="D362" t="s">
        <v>635</v>
      </c>
      <c r="E362" s="4">
        <v>22000</v>
      </c>
    </row>
    <row r="363" spans="1:7" x14ac:dyDescent="0.2">
      <c r="A363" s="5">
        <v>5679313</v>
      </c>
      <c r="B363" s="2" t="s">
        <v>595</v>
      </c>
      <c r="C363" s="2" t="s">
        <v>249</v>
      </c>
      <c r="D363" t="s">
        <v>643</v>
      </c>
      <c r="E363" s="4">
        <v>191000</v>
      </c>
      <c r="G363" t="s">
        <v>648</v>
      </c>
    </row>
    <row r="364" spans="1:7" x14ac:dyDescent="0.2">
      <c r="A364" s="5">
        <v>77134361</v>
      </c>
      <c r="B364" s="2" t="s">
        <v>596</v>
      </c>
      <c r="C364" s="2" t="s">
        <v>249</v>
      </c>
      <c r="D364" t="s">
        <v>637</v>
      </c>
      <c r="E364" s="4">
        <v>-118000</v>
      </c>
    </row>
    <row r="365" spans="1:7" x14ac:dyDescent="0.2">
      <c r="A365" s="5">
        <v>4019637</v>
      </c>
      <c r="B365" s="2" t="s">
        <v>597</v>
      </c>
      <c r="C365" s="2" t="s">
        <v>235</v>
      </c>
      <c r="D365" t="s">
        <v>664</v>
      </c>
      <c r="E365" s="4">
        <v>204000</v>
      </c>
    </row>
    <row r="366" spans="1:7" x14ac:dyDescent="0.2">
      <c r="A366" s="5">
        <v>1822983</v>
      </c>
      <c r="B366" s="2" t="s">
        <v>598</v>
      </c>
      <c r="C366" s="2" t="s">
        <v>251</v>
      </c>
      <c r="D366" t="s">
        <v>638</v>
      </c>
      <c r="E366" s="4">
        <v>106000</v>
      </c>
    </row>
    <row r="367" spans="1:7" x14ac:dyDescent="0.2">
      <c r="A367" s="5">
        <v>43</v>
      </c>
      <c r="B367" s="2" t="s">
        <v>599</v>
      </c>
      <c r="C367" s="2" t="s">
        <v>235</v>
      </c>
      <c r="D367" t="s">
        <v>636</v>
      </c>
      <c r="E367" s="4">
        <v>217000</v>
      </c>
    </row>
    <row r="368" spans="1:7" x14ac:dyDescent="0.2">
      <c r="A368" s="5">
        <v>392643</v>
      </c>
      <c r="B368" s="2" t="s">
        <v>600</v>
      </c>
      <c r="C368" s="2" t="s">
        <v>241</v>
      </c>
      <c r="D368" t="s">
        <v>638</v>
      </c>
      <c r="E368" s="4">
        <v>-101000</v>
      </c>
    </row>
    <row r="369" spans="1:5" x14ac:dyDescent="0.2">
      <c r="A369" s="5">
        <v>29055093</v>
      </c>
      <c r="B369" s="2" t="s">
        <v>601</v>
      </c>
      <c r="C369" s="2" t="s">
        <v>235</v>
      </c>
      <c r="D369" t="s">
        <v>637</v>
      </c>
      <c r="E369" s="4">
        <v>171000</v>
      </c>
    </row>
    <row r="370" spans="1:5" x14ac:dyDescent="0.2">
      <c r="A370" s="5">
        <v>92320652</v>
      </c>
      <c r="B370" s="2" t="s">
        <v>602</v>
      </c>
      <c r="C370" s="2" t="s">
        <v>235</v>
      </c>
      <c r="D370" t="s">
        <v>637</v>
      </c>
      <c r="E370" s="4">
        <v>106000</v>
      </c>
    </row>
    <row r="371" spans="1:5" x14ac:dyDescent="0.2">
      <c r="A371" s="5">
        <v>57425327</v>
      </c>
      <c r="B371" s="2" t="s">
        <v>603</v>
      </c>
      <c r="C371" s="2" t="s">
        <v>228</v>
      </c>
      <c r="D371" t="s">
        <v>636</v>
      </c>
      <c r="E371" s="4">
        <v>324000</v>
      </c>
    </row>
    <row r="372" spans="1:5" x14ac:dyDescent="0.2">
      <c r="A372" s="5">
        <v>6140</v>
      </c>
      <c r="B372" s="2" t="s">
        <v>604</v>
      </c>
      <c r="C372" s="2" t="s">
        <v>235</v>
      </c>
      <c r="D372" t="s">
        <v>636</v>
      </c>
      <c r="E372" s="4">
        <v>-144000</v>
      </c>
    </row>
    <row r="373" spans="1:5" x14ac:dyDescent="0.2">
      <c r="A373" s="5">
        <v>67027627</v>
      </c>
      <c r="B373" s="2" t="s">
        <v>605</v>
      </c>
      <c r="C373" s="2" t="s">
        <v>235</v>
      </c>
      <c r="D373" t="s">
        <v>637</v>
      </c>
      <c r="E373" s="4">
        <v>245000</v>
      </c>
    </row>
    <row r="374" spans="1:5" x14ac:dyDescent="0.2">
      <c r="A374" s="5">
        <v>6644</v>
      </c>
      <c r="B374" s="2" t="s">
        <v>606</v>
      </c>
      <c r="C374" s="2" t="s">
        <v>235</v>
      </c>
      <c r="D374" t="s">
        <v>643</v>
      </c>
      <c r="E374" s="4">
        <v>-97000</v>
      </c>
    </row>
    <row r="375" spans="1:5" x14ac:dyDescent="0.2">
      <c r="A375" s="5">
        <v>7709</v>
      </c>
      <c r="B375" s="2" t="s">
        <v>607</v>
      </c>
      <c r="C375" s="2" t="s">
        <v>235</v>
      </c>
      <c r="D375" t="s">
        <v>637</v>
      </c>
      <c r="E375" s="4">
        <v>439000</v>
      </c>
    </row>
    <row r="376" spans="1:5" x14ac:dyDescent="0.2">
      <c r="A376" s="5">
        <v>57</v>
      </c>
      <c r="B376" s="2" t="s">
        <v>608</v>
      </c>
      <c r="C376" s="2" t="s">
        <v>243</v>
      </c>
      <c r="D376" t="s">
        <v>639</v>
      </c>
      <c r="E376" s="4">
        <v>176000</v>
      </c>
    </row>
    <row r="377" spans="1:5" x14ac:dyDescent="0.2">
      <c r="A377" s="5">
        <v>76035</v>
      </c>
      <c r="B377" s="2" t="s">
        <v>609</v>
      </c>
      <c r="C377" s="2" t="s">
        <v>235</v>
      </c>
      <c r="D377" t="s">
        <v>665</v>
      </c>
      <c r="E377" s="4">
        <v>-193000</v>
      </c>
    </row>
    <row r="378" spans="1:5" x14ac:dyDescent="0.2">
      <c r="A378" s="5">
        <v>1330</v>
      </c>
      <c r="B378" s="2" t="s">
        <v>610</v>
      </c>
      <c r="C378" s="2" t="s">
        <v>245</v>
      </c>
      <c r="D378" t="s">
        <v>638</v>
      </c>
      <c r="E378" s="4">
        <v>-270000</v>
      </c>
    </row>
    <row r="379" spans="1:5" x14ac:dyDescent="0.2">
      <c r="A379" s="5">
        <v>5945900</v>
      </c>
      <c r="B379" s="2" t="s">
        <v>611</v>
      </c>
      <c r="C379" s="2" t="s">
        <v>235</v>
      </c>
      <c r="D379" t="s">
        <v>635</v>
      </c>
      <c r="E379" s="4">
        <v>277000</v>
      </c>
    </row>
    <row r="380" spans="1:5" x14ac:dyDescent="0.2">
      <c r="A380" s="5">
        <v>767</v>
      </c>
      <c r="B380" s="2" t="s">
        <v>612</v>
      </c>
      <c r="C380" s="2" t="s">
        <v>245</v>
      </c>
      <c r="D380" t="s">
        <v>636</v>
      </c>
      <c r="E380" s="4">
        <v>-324000</v>
      </c>
    </row>
    <row r="381" spans="1:5" x14ac:dyDescent="0.2">
      <c r="A381" s="5">
        <v>563087</v>
      </c>
      <c r="B381" s="2" t="s">
        <v>613</v>
      </c>
      <c r="C381" s="2" t="s">
        <v>235</v>
      </c>
      <c r="D381" t="s">
        <v>664</v>
      </c>
      <c r="E381" s="4">
        <v>81000</v>
      </c>
    </row>
    <row r="382" spans="1:5" x14ac:dyDescent="0.2">
      <c r="A382" s="5">
        <v>778516</v>
      </c>
      <c r="B382" s="2" t="s">
        <v>614</v>
      </c>
      <c r="C382" s="2" t="s">
        <v>238</v>
      </c>
      <c r="D382" t="s">
        <v>635</v>
      </c>
      <c r="E382" s="4">
        <v>219000</v>
      </c>
    </row>
    <row r="383" spans="1:5" x14ac:dyDescent="0.2">
      <c r="A383" s="5">
        <v>1999</v>
      </c>
      <c r="B383" s="2" t="s">
        <v>615</v>
      </c>
      <c r="C383" s="2" t="s">
        <v>235</v>
      </c>
      <c r="D383" t="s">
        <v>643</v>
      </c>
      <c r="E383" s="4">
        <v>215000</v>
      </c>
    </row>
    <row r="384" spans="1:5" x14ac:dyDescent="0.2">
      <c r="A384" s="5">
        <v>80042</v>
      </c>
      <c r="B384" s="2" t="s">
        <v>616</v>
      </c>
      <c r="C384" s="2" t="s">
        <v>241</v>
      </c>
      <c r="D384" t="s">
        <v>643</v>
      </c>
      <c r="E384" s="4">
        <v>54000</v>
      </c>
    </row>
    <row r="385" spans="1:5" x14ac:dyDescent="0.2">
      <c r="A385" s="5">
        <v>45</v>
      </c>
      <c r="B385" s="2" t="s">
        <v>617</v>
      </c>
      <c r="C385" s="2" t="s">
        <v>228</v>
      </c>
      <c r="D385" t="s">
        <v>638</v>
      </c>
      <c r="E385" s="4">
        <v>317000</v>
      </c>
    </row>
    <row r="386" spans="1:5" x14ac:dyDescent="0.2">
      <c r="A386" s="5">
        <v>7889821</v>
      </c>
      <c r="B386" s="2" t="s">
        <v>618</v>
      </c>
      <c r="C386" s="2" t="s">
        <v>228</v>
      </c>
      <c r="D386" t="s">
        <v>638</v>
      </c>
      <c r="E386" s="4">
        <v>357000</v>
      </c>
    </row>
    <row r="387" spans="1:5" x14ac:dyDescent="0.2">
      <c r="A387" s="5">
        <v>268</v>
      </c>
      <c r="B387" s="2" t="s">
        <v>619</v>
      </c>
      <c r="C387" s="2" t="s">
        <v>235</v>
      </c>
      <c r="D387" t="s">
        <v>640</v>
      </c>
      <c r="E387" s="4">
        <v>-347000</v>
      </c>
    </row>
    <row r="388" spans="1:5" x14ac:dyDescent="0.2">
      <c r="A388" s="5">
        <v>7391965</v>
      </c>
      <c r="B388" s="2" t="s">
        <v>620</v>
      </c>
      <c r="C388" s="2" t="s">
        <v>235</v>
      </c>
      <c r="D388" t="s">
        <v>643</v>
      </c>
      <c r="E388" s="4">
        <v>182000</v>
      </c>
    </row>
    <row r="389" spans="1:5" x14ac:dyDescent="0.2">
      <c r="A389" s="5">
        <v>7738528</v>
      </c>
      <c r="B389" s="2" t="s">
        <v>621</v>
      </c>
      <c r="C389" s="2" t="s">
        <v>235</v>
      </c>
      <c r="D389" t="s">
        <v>636</v>
      </c>
      <c r="E389" s="4">
        <v>-41000</v>
      </c>
    </row>
    <row r="390" spans="1:5" x14ac:dyDescent="0.2">
      <c r="A390" s="5">
        <v>90065899</v>
      </c>
      <c r="B390" s="2" t="s">
        <v>622</v>
      </c>
      <c r="C390" s="2" t="s">
        <v>241</v>
      </c>
      <c r="D390" t="s">
        <v>642</v>
      </c>
      <c r="E390" s="4">
        <v>8000</v>
      </c>
    </row>
    <row r="391" spans="1:5" x14ac:dyDescent="0.2">
      <c r="A391" s="5">
        <v>8354757</v>
      </c>
      <c r="B391" s="2" t="s">
        <v>623</v>
      </c>
      <c r="C391" s="2" t="s">
        <v>235</v>
      </c>
      <c r="D391" t="s">
        <v>636</v>
      </c>
      <c r="E391" s="4">
        <v>-87000</v>
      </c>
    </row>
    <row r="392" spans="1:5" x14ac:dyDescent="0.2">
      <c r="A392" s="5">
        <v>135055</v>
      </c>
      <c r="B392" s="2" t="s">
        <v>624</v>
      </c>
      <c r="C392" s="2" t="s">
        <v>235</v>
      </c>
      <c r="D392" t="s">
        <v>640</v>
      </c>
      <c r="E392" s="4">
        <v>430000</v>
      </c>
    </row>
    <row r="393" spans="1:5" x14ac:dyDescent="0.2">
      <c r="A393" s="5">
        <v>7854521</v>
      </c>
      <c r="B393" s="2" t="s">
        <v>625</v>
      </c>
      <c r="C393" s="2" t="s">
        <v>245</v>
      </c>
      <c r="D393" t="s">
        <v>643</v>
      </c>
      <c r="E393" s="4">
        <v>-121000</v>
      </c>
    </row>
    <row r="394" spans="1:5" x14ac:dyDescent="0.2">
      <c r="A394" s="5">
        <v>7683</v>
      </c>
      <c r="B394" s="2" t="s">
        <v>626</v>
      </c>
      <c r="C394" s="2" t="s">
        <v>249</v>
      </c>
      <c r="D394" t="s">
        <v>639</v>
      </c>
      <c r="E394" s="4">
        <v>-275000</v>
      </c>
    </row>
    <row r="395" spans="1:5" x14ac:dyDescent="0.2">
      <c r="A395" s="5">
        <v>762234</v>
      </c>
      <c r="B395" s="2" t="s">
        <v>627</v>
      </c>
      <c r="C395" s="2" t="s">
        <v>235</v>
      </c>
      <c r="D395" t="s">
        <v>640</v>
      </c>
      <c r="E395" s="4">
        <v>432000</v>
      </c>
    </row>
    <row r="396" spans="1:5" x14ac:dyDescent="0.2">
      <c r="A396" s="5">
        <v>627</v>
      </c>
      <c r="B396" s="2" t="s">
        <v>628</v>
      </c>
      <c r="C396" s="2" t="s">
        <v>235</v>
      </c>
      <c r="D396" t="s">
        <v>643</v>
      </c>
      <c r="E396" s="4">
        <v>68000</v>
      </c>
    </row>
    <row r="397" spans="1:5" x14ac:dyDescent="0.2">
      <c r="A397" s="5">
        <v>1886966</v>
      </c>
      <c r="B397" s="2" t="s">
        <v>629</v>
      </c>
      <c r="C397" s="2" t="s">
        <v>249</v>
      </c>
      <c r="D397" t="s">
        <v>635</v>
      </c>
      <c r="E397" s="4">
        <v>126000</v>
      </c>
    </row>
    <row r="398" spans="1:5" x14ac:dyDescent="0.2">
      <c r="A398" s="5">
        <v>81269643</v>
      </c>
      <c r="B398" s="2" t="s">
        <v>630</v>
      </c>
      <c r="C398" s="2" t="s">
        <v>235</v>
      </c>
      <c r="D398" t="s">
        <v>642</v>
      </c>
      <c r="E398" s="4">
        <v>-290000</v>
      </c>
    </row>
    <row r="399" spans="1:5" x14ac:dyDescent="0.2">
      <c r="A399" s="5">
        <v>4830658</v>
      </c>
      <c r="B399" s="2" t="s">
        <v>631</v>
      </c>
      <c r="C399" s="2" t="s">
        <v>230</v>
      </c>
      <c r="D399" t="s">
        <v>636</v>
      </c>
      <c r="E399" s="4">
        <v>-256000</v>
      </c>
    </row>
    <row r="400" spans="1:5" x14ac:dyDescent="0.2">
      <c r="A400" s="5">
        <v>1239</v>
      </c>
      <c r="B400" s="2" t="s">
        <v>632</v>
      </c>
      <c r="C400" s="2" t="s">
        <v>235</v>
      </c>
      <c r="D400" t="s">
        <v>637</v>
      </c>
      <c r="E400" s="4">
        <v>-439000</v>
      </c>
    </row>
    <row r="401" spans="1:5" x14ac:dyDescent="0.2">
      <c r="A401" s="5">
        <v>7690</v>
      </c>
      <c r="B401" s="2" t="s">
        <v>633</v>
      </c>
      <c r="C401" s="2" t="s">
        <v>249</v>
      </c>
      <c r="D401" t="s">
        <v>637</v>
      </c>
      <c r="E401" s="4">
        <v>-347000</v>
      </c>
    </row>
  </sheetData>
  <sortState ref="A2:E396">
    <sortCondition ref="B5"/>
  </sortState>
  <conditionalFormatting sqref="A2:E401">
    <cfRule type="endsWith" dxfId="4" priority="1" operator="endsWith" text="00">
      <formula>RIGHT(A2,LEN("00"))="00"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AE9E-8789-464B-B9E9-1BE0C9B73E79}">
  <dimension ref="A1:O112"/>
  <sheetViews>
    <sheetView workbookViewId="0">
      <selection activeCell="G36" sqref="G36"/>
    </sheetView>
  </sheetViews>
  <sheetFormatPr defaultRowHeight="12" x14ac:dyDescent="0.2"/>
  <cols>
    <col min="1" max="1" width="9.83203125" customWidth="1"/>
    <col min="2" max="2" width="19.83203125" customWidth="1"/>
    <col min="3" max="6" width="10.83203125" customWidth="1"/>
  </cols>
  <sheetData>
    <row r="1" spans="1:15" x14ac:dyDescent="0.2">
      <c r="A1" s="1" t="s">
        <v>0</v>
      </c>
      <c r="B1" s="1" t="s">
        <v>1</v>
      </c>
      <c r="C1" s="1" t="s">
        <v>672</v>
      </c>
      <c r="D1" s="1" t="s">
        <v>673</v>
      </c>
      <c r="E1" s="1" t="s">
        <v>674</v>
      </c>
      <c r="F1" s="1" t="s">
        <v>675</v>
      </c>
    </row>
    <row r="2" spans="1:15" x14ac:dyDescent="0.2">
      <c r="A2" s="2" t="s">
        <v>113</v>
      </c>
      <c r="B2" s="2" t="s">
        <v>2</v>
      </c>
      <c r="C2" s="12"/>
      <c r="D2" s="12"/>
      <c r="E2" s="9">
        <v>0.85</v>
      </c>
      <c r="F2" s="12"/>
    </row>
    <row r="3" spans="1:15" x14ac:dyDescent="0.2">
      <c r="A3" s="2" t="s">
        <v>114</v>
      </c>
      <c r="B3" s="2" t="s">
        <v>3</v>
      </c>
      <c r="C3" s="12"/>
      <c r="D3" s="12"/>
      <c r="E3" s="9">
        <v>0.56999999999999995</v>
      </c>
      <c r="F3" s="12"/>
      <c r="H3" s="3" t="s">
        <v>676</v>
      </c>
      <c r="J3" s="3"/>
    </row>
    <row r="4" spans="1:15" x14ac:dyDescent="0.2">
      <c r="A4" s="2" t="s">
        <v>115</v>
      </c>
      <c r="B4" s="2" t="s">
        <v>4</v>
      </c>
      <c r="C4" s="12"/>
      <c r="D4" s="12" t="b">
        <v>1</v>
      </c>
      <c r="E4" s="9">
        <v>0.78</v>
      </c>
      <c r="F4" s="12"/>
      <c r="H4" s="3" t="s">
        <v>921</v>
      </c>
    </row>
    <row r="5" spans="1:15" x14ac:dyDescent="0.2">
      <c r="A5" s="2" t="s">
        <v>116</v>
      </c>
      <c r="B5" s="2" t="s">
        <v>5</v>
      </c>
      <c r="C5" s="12" t="b">
        <v>1</v>
      </c>
      <c r="D5" s="12"/>
      <c r="E5" s="9">
        <v>0.88</v>
      </c>
      <c r="F5" s="12"/>
      <c r="H5" s="3" t="s">
        <v>922</v>
      </c>
    </row>
    <row r="6" spans="1:15" x14ac:dyDescent="0.2">
      <c r="A6" s="2" t="s">
        <v>117</v>
      </c>
      <c r="B6" s="2" t="s">
        <v>6</v>
      </c>
      <c r="C6" s="12"/>
      <c r="D6" s="12"/>
      <c r="E6" s="9">
        <v>0.66</v>
      </c>
      <c r="F6" s="12"/>
      <c r="H6" s="3" t="s">
        <v>929</v>
      </c>
    </row>
    <row r="7" spans="1:15" x14ac:dyDescent="0.2">
      <c r="A7" s="2" t="s">
        <v>118</v>
      </c>
      <c r="B7" s="2" t="s">
        <v>7</v>
      </c>
      <c r="C7" s="12" t="b">
        <v>1</v>
      </c>
      <c r="D7" s="12"/>
      <c r="E7" s="9">
        <v>0.84</v>
      </c>
      <c r="F7" s="12"/>
      <c r="H7" s="3" t="s">
        <v>930</v>
      </c>
    </row>
    <row r="8" spans="1:15" x14ac:dyDescent="0.2">
      <c r="A8" s="2" t="s">
        <v>119</v>
      </c>
      <c r="B8" s="2" t="s">
        <v>8</v>
      </c>
      <c r="C8" s="12" t="b">
        <v>1</v>
      </c>
      <c r="D8" s="12"/>
      <c r="E8" s="9">
        <v>0.78</v>
      </c>
      <c r="F8" s="12"/>
      <c r="H8" s="3" t="s">
        <v>931</v>
      </c>
    </row>
    <row r="9" spans="1:15" x14ac:dyDescent="0.2">
      <c r="A9" s="2" t="s">
        <v>120</v>
      </c>
      <c r="B9" s="2" t="s">
        <v>9</v>
      </c>
      <c r="C9" s="12"/>
      <c r="D9" s="12"/>
      <c r="E9" s="9">
        <v>0.84</v>
      </c>
      <c r="F9" s="12"/>
      <c r="H9" s="3"/>
    </row>
    <row r="10" spans="1:15" x14ac:dyDescent="0.2">
      <c r="A10" s="2" t="s">
        <v>121</v>
      </c>
      <c r="B10" s="2" t="s">
        <v>10</v>
      </c>
      <c r="C10" s="12"/>
      <c r="D10" s="12" t="b">
        <v>1</v>
      </c>
      <c r="E10" s="9">
        <v>0.91</v>
      </c>
      <c r="F10" s="12"/>
    </row>
    <row r="11" spans="1:15" x14ac:dyDescent="0.2">
      <c r="A11" s="2" t="s">
        <v>122</v>
      </c>
      <c r="B11" s="2" t="s">
        <v>11</v>
      </c>
      <c r="C11" s="12"/>
      <c r="D11" s="12" t="b">
        <v>1</v>
      </c>
      <c r="E11" s="9">
        <v>0.8</v>
      </c>
      <c r="F11" s="12"/>
    </row>
    <row r="12" spans="1:15" x14ac:dyDescent="0.2">
      <c r="A12" s="2" t="s">
        <v>123</v>
      </c>
      <c r="B12" s="2" t="s">
        <v>12</v>
      </c>
      <c r="C12" s="12" t="b">
        <v>1</v>
      </c>
      <c r="D12" s="12"/>
      <c r="E12" s="9">
        <v>0.6</v>
      </c>
      <c r="F12" s="12"/>
    </row>
    <row r="13" spans="1:15" x14ac:dyDescent="0.2">
      <c r="A13" s="2" t="s">
        <v>124</v>
      </c>
      <c r="B13" s="2" t="s">
        <v>13</v>
      </c>
      <c r="C13" s="12"/>
      <c r="D13" s="12"/>
      <c r="E13" s="9">
        <v>0.87</v>
      </c>
      <c r="F13" s="12"/>
    </row>
    <row r="14" spans="1:15" x14ac:dyDescent="0.2">
      <c r="A14" s="2" t="s">
        <v>125</v>
      </c>
      <c r="B14" s="2" t="s">
        <v>14</v>
      </c>
      <c r="C14" s="12"/>
      <c r="D14" s="12"/>
      <c r="E14" s="9">
        <v>0.76</v>
      </c>
      <c r="F14" s="12"/>
    </row>
    <row r="15" spans="1:15" x14ac:dyDescent="0.2">
      <c r="A15" s="2" t="s">
        <v>126</v>
      </c>
      <c r="B15" s="2" t="s">
        <v>15</v>
      </c>
      <c r="C15" s="12"/>
      <c r="D15" s="12"/>
      <c r="E15" s="9">
        <v>0.68</v>
      </c>
      <c r="F15" s="12"/>
      <c r="O15" t="b">
        <f>AND(OR(C4=TRUE,D4=TRUE),OR(E4&gt;60%,F4=TRUE))</f>
        <v>1</v>
      </c>
    </row>
    <row r="16" spans="1:15" x14ac:dyDescent="0.2">
      <c r="A16" s="2" t="s">
        <v>127</v>
      </c>
      <c r="B16" s="2" t="s">
        <v>16</v>
      </c>
      <c r="C16" s="12" t="b">
        <v>1</v>
      </c>
      <c r="D16" s="12"/>
      <c r="E16" s="9">
        <v>0.32</v>
      </c>
      <c r="F16" s="12"/>
    </row>
    <row r="17" spans="1:6" x14ac:dyDescent="0.2">
      <c r="A17" s="2" t="s">
        <v>128</v>
      </c>
      <c r="B17" s="2" t="s">
        <v>17</v>
      </c>
      <c r="C17" s="12"/>
      <c r="D17" s="12" t="b">
        <v>1</v>
      </c>
      <c r="E17" s="9">
        <v>0.73</v>
      </c>
      <c r="F17" s="12"/>
    </row>
    <row r="18" spans="1:6" x14ac:dyDescent="0.2">
      <c r="A18" s="2" t="s">
        <v>129</v>
      </c>
      <c r="B18" s="2" t="s">
        <v>18</v>
      </c>
      <c r="C18" s="12"/>
      <c r="D18" s="12" t="b">
        <v>1</v>
      </c>
      <c r="E18" s="9">
        <v>0.66</v>
      </c>
      <c r="F18" s="12"/>
    </row>
    <row r="19" spans="1:6" x14ac:dyDescent="0.2">
      <c r="A19" s="2" t="s">
        <v>130</v>
      </c>
      <c r="B19" s="2" t="s">
        <v>19</v>
      </c>
      <c r="C19" s="12" t="b">
        <v>1</v>
      </c>
      <c r="D19" s="12"/>
      <c r="E19" s="9">
        <v>0.48</v>
      </c>
      <c r="F19" s="12"/>
    </row>
    <row r="20" spans="1:6" x14ac:dyDescent="0.2">
      <c r="A20" s="2" t="s">
        <v>131</v>
      </c>
      <c r="B20" s="2" t="s">
        <v>20</v>
      </c>
      <c r="C20" s="12" t="b">
        <v>1</v>
      </c>
      <c r="D20" s="12"/>
      <c r="E20" s="9">
        <v>0.38</v>
      </c>
      <c r="F20" s="12" t="b">
        <v>1</v>
      </c>
    </row>
    <row r="21" spans="1:6" x14ac:dyDescent="0.2">
      <c r="A21" s="2" t="s">
        <v>132</v>
      </c>
      <c r="B21" s="2" t="s">
        <v>21</v>
      </c>
      <c r="C21" s="12"/>
      <c r="D21" s="12" t="b">
        <v>1</v>
      </c>
      <c r="E21" s="9">
        <v>0.93</v>
      </c>
      <c r="F21" s="12"/>
    </row>
    <row r="22" spans="1:6" x14ac:dyDescent="0.2">
      <c r="A22" s="2" t="s">
        <v>133</v>
      </c>
      <c r="B22" s="2" t="s">
        <v>22</v>
      </c>
      <c r="C22" s="12"/>
      <c r="D22" s="12" t="b">
        <v>1</v>
      </c>
      <c r="E22" s="9">
        <v>0.82</v>
      </c>
      <c r="F22" s="12"/>
    </row>
    <row r="23" spans="1:6" x14ac:dyDescent="0.2">
      <c r="A23" s="2" t="s">
        <v>134</v>
      </c>
      <c r="B23" s="2" t="s">
        <v>23</v>
      </c>
      <c r="C23" s="12"/>
      <c r="D23" s="12" t="b">
        <v>1</v>
      </c>
      <c r="E23" s="9">
        <v>0.85</v>
      </c>
      <c r="F23" s="12"/>
    </row>
    <row r="24" spans="1:6" x14ac:dyDescent="0.2">
      <c r="A24" s="2" t="s">
        <v>135</v>
      </c>
      <c r="B24" s="2" t="s">
        <v>24</v>
      </c>
      <c r="C24" s="12" t="b">
        <v>1</v>
      </c>
      <c r="D24" s="12"/>
      <c r="E24" s="9">
        <v>0.88</v>
      </c>
      <c r="F24" s="12"/>
    </row>
    <row r="25" spans="1:6" x14ac:dyDescent="0.2">
      <c r="A25" s="2" t="s">
        <v>136</v>
      </c>
      <c r="B25" s="2" t="s">
        <v>25</v>
      </c>
      <c r="C25" s="12" t="b">
        <v>1</v>
      </c>
      <c r="D25" s="12"/>
      <c r="E25" s="9">
        <v>0.8</v>
      </c>
      <c r="F25" s="12"/>
    </row>
    <row r="26" spans="1:6" x14ac:dyDescent="0.2">
      <c r="A26" s="2" t="s">
        <v>137</v>
      </c>
      <c r="B26" s="2" t="s">
        <v>26</v>
      </c>
      <c r="C26" s="12" t="b">
        <v>1</v>
      </c>
      <c r="D26" s="12"/>
      <c r="E26" s="9">
        <v>0.73</v>
      </c>
      <c r="F26" s="12"/>
    </row>
    <row r="27" spans="1:6" x14ac:dyDescent="0.2">
      <c r="A27" s="2" t="s">
        <v>138</v>
      </c>
      <c r="B27" s="2" t="s">
        <v>27</v>
      </c>
      <c r="C27" s="12"/>
      <c r="D27" s="12" t="b">
        <v>1</v>
      </c>
      <c r="E27" s="9">
        <v>0.39</v>
      </c>
      <c r="F27" s="12" t="b">
        <v>1</v>
      </c>
    </row>
    <row r="28" spans="1:6" x14ac:dyDescent="0.2">
      <c r="A28" s="2" t="s">
        <v>139</v>
      </c>
      <c r="B28" s="2" t="s">
        <v>28</v>
      </c>
      <c r="C28" s="12"/>
      <c r="D28" s="12"/>
      <c r="E28" s="9">
        <v>0.69</v>
      </c>
      <c r="F28" s="12"/>
    </row>
    <row r="29" spans="1:6" x14ac:dyDescent="0.2">
      <c r="A29" s="2" t="s">
        <v>140</v>
      </c>
      <c r="B29" s="2" t="s">
        <v>29</v>
      </c>
      <c r="C29" s="12"/>
      <c r="D29" s="12" t="b">
        <v>1</v>
      </c>
      <c r="E29" s="9">
        <v>0.69</v>
      </c>
      <c r="F29" s="12"/>
    </row>
    <row r="30" spans="1:6" x14ac:dyDescent="0.2">
      <c r="A30" s="2" t="s">
        <v>141</v>
      </c>
      <c r="B30" s="2" t="s">
        <v>30</v>
      </c>
      <c r="C30" s="12"/>
      <c r="D30" s="12" t="b">
        <v>1</v>
      </c>
      <c r="E30" s="9">
        <v>0.67</v>
      </c>
      <c r="F30" s="12"/>
    </row>
    <row r="31" spans="1:6" x14ac:dyDescent="0.2">
      <c r="A31" s="2" t="s">
        <v>142</v>
      </c>
      <c r="B31" s="2" t="s">
        <v>31</v>
      </c>
      <c r="C31" s="12"/>
      <c r="D31" s="12" t="b">
        <v>1</v>
      </c>
      <c r="E31" s="9">
        <v>0.33</v>
      </c>
      <c r="F31" s="12" t="b">
        <v>1</v>
      </c>
    </row>
    <row r="32" spans="1:6" x14ac:dyDescent="0.2">
      <c r="A32" s="2" t="s">
        <v>143</v>
      </c>
      <c r="B32" s="2" t="s">
        <v>32</v>
      </c>
      <c r="C32" s="12"/>
      <c r="D32" s="12" t="b">
        <v>1</v>
      </c>
      <c r="E32" s="9">
        <v>0.69</v>
      </c>
      <c r="F32" s="12"/>
    </row>
    <row r="33" spans="1:6" x14ac:dyDescent="0.2">
      <c r="A33" s="2" t="s">
        <v>144</v>
      </c>
      <c r="B33" s="2" t="s">
        <v>33</v>
      </c>
      <c r="C33" s="12"/>
      <c r="D33" s="12"/>
      <c r="E33" s="9">
        <v>0.5</v>
      </c>
      <c r="F33" s="12" t="b">
        <v>1</v>
      </c>
    </row>
    <row r="34" spans="1:6" x14ac:dyDescent="0.2">
      <c r="A34" s="2" t="s">
        <v>145</v>
      </c>
      <c r="B34" s="2" t="s">
        <v>34</v>
      </c>
      <c r="C34" s="12"/>
      <c r="D34" s="12" t="b">
        <v>1</v>
      </c>
      <c r="E34" s="9">
        <v>0.62</v>
      </c>
      <c r="F34" s="12"/>
    </row>
    <row r="35" spans="1:6" x14ac:dyDescent="0.2">
      <c r="A35" s="2" t="s">
        <v>146</v>
      </c>
      <c r="B35" s="2" t="s">
        <v>35</v>
      </c>
      <c r="C35" s="12" t="b">
        <v>1</v>
      </c>
      <c r="D35" s="12"/>
      <c r="E35" s="9">
        <v>0.72</v>
      </c>
      <c r="F35" s="12"/>
    </row>
    <row r="36" spans="1:6" x14ac:dyDescent="0.2">
      <c r="A36" s="2" t="s">
        <v>147</v>
      </c>
      <c r="B36" s="2" t="s">
        <v>36</v>
      </c>
      <c r="C36" s="12"/>
      <c r="D36" s="12" t="b">
        <v>1</v>
      </c>
      <c r="E36" s="9">
        <v>0.57999999999999996</v>
      </c>
      <c r="F36" s="12" t="b">
        <v>1</v>
      </c>
    </row>
    <row r="37" spans="1:6" x14ac:dyDescent="0.2">
      <c r="A37" s="2" t="s">
        <v>148</v>
      </c>
      <c r="B37" s="2" t="s">
        <v>37</v>
      </c>
      <c r="C37" s="12"/>
      <c r="D37" s="12"/>
      <c r="E37" s="9">
        <v>0.97</v>
      </c>
      <c r="F37" s="12"/>
    </row>
    <row r="38" spans="1:6" x14ac:dyDescent="0.2">
      <c r="A38" s="2" t="s">
        <v>149</v>
      </c>
      <c r="B38" s="2" t="s">
        <v>38</v>
      </c>
      <c r="C38" s="12" t="b">
        <v>1</v>
      </c>
      <c r="D38" s="12"/>
      <c r="E38" s="9">
        <v>0.57999999999999996</v>
      </c>
      <c r="F38" s="12"/>
    </row>
    <row r="39" spans="1:6" x14ac:dyDescent="0.2">
      <c r="A39" s="2" t="s">
        <v>150</v>
      </c>
      <c r="B39" s="2" t="s">
        <v>39</v>
      </c>
      <c r="C39" s="12"/>
      <c r="D39" s="12" t="b">
        <v>1</v>
      </c>
      <c r="E39" s="9">
        <v>0.55000000000000004</v>
      </c>
      <c r="F39" s="12" t="b">
        <v>1</v>
      </c>
    </row>
    <row r="40" spans="1:6" x14ac:dyDescent="0.2">
      <c r="A40" s="2" t="s">
        <v>151</v>
      </c>
      <c r="B40" s="2" t="s">
        <v>40</v>
      </c>
      <c r="C40" s="12"/>
      <c r="D40" s="12"/>
      <c r="E40" s="9">
        <v>0.8</v>
      </c>
      <c r="F40" s="12"/>
    </row>
    <row r="41" spans="1:6" x14ac:dyDescent="0.2">
      <c r="A41" s="2" t="s">
        <v>152</v>
      </c>
      <c r="B41" s="2" t="s">
        <v>41</v>
      </c>
      <c r="C41" s="12" t="b">
        <v>1</v>
      </c>
      <c r="D41" s="12"/>
      <c r="E41" s="9">
        <v>0.4</v>
      </c>
      <c r="F41" s="12"/>
    </row>
    <row r="42" spans="1:6" x14ac:dyDescent="0.2">
      <c r="A42" s="2" t="s">
        <v>153</v>
      </c>
      <c r="B42" s="2" t="s">
        <v>42</v>
      </c>
      <c r="C42" s="12"/>
      <c r="D42" s="12"/>
      <c r="E42" s="9">
        <v>0.38</v>
      </c>
      <c r="F42" s="12"/>
    </row>
    <row r="43" spans="1:6" x14ac:dyDescent="0.2">
      <c r="A43" s="2" t="s">
        <v>154</v>
      </c>
      <c r="B43" s="2" t="s">
        <v>43</v>
      </c>
      <c r="C43" s="12"/>
      <c r="D43" s="12"/>
      <c r="E43" s="9">
        <v>0.63</v>
      </c>
      <c r="F43" s="12"/>
    </row>
    <row r="44" spans="1:6" x14ac:dyDescent="0.2">
      <c r="A44" s="2" t="s">
        <v>155</v>
      </c>
      <c r="B44" s="2" t="s">
        <v>44</v>
      </c>
      <c r="C44" s="12"/>
      <c r="D44" s="12"/>
      <c r="E44" s="9">
        <v>0.63</v>
      </c>
      <c r="F44" s="12"/>
    </row>
    <row r="45" spans="1:6" x14ac:dyDescent="0.2">
      <c r="A45" s="2" t="s">
        <v>156</v>
      </c>
      <c r="B45" s="2" t="s">
        <v>45</v>
      </c>
      <c r="C45" s="12"/>
      <c r="D45" s="12" t="b">
        <v>1</v>
      </c>
      <c r="E45" s="9">
        <v>0.76</v>
      </c>
      <c r="F45" s="12"/>
    </row>
    <row r="46" spans="1:6" x14ac:dyDescent="0.2">
      <c r="A46" s="2" t="s">
        <v>157</v>
      </c>
      <c r="B46" s="2" t="s">
        <v>46</v>
      </c>
      <c r="C46" s="12"/>
      <c r="D46" s="12"/>
      <c r="E46" s="9">
        <v>0.95</v>
      </c>
      <c r="F46" s="12"/>
    </row>
    <row r="47" spans="1:6" x14ac:dyDescent="0.2">
      <c r="A47" s="2" t="s">
        <v>158</v>
      </c>
      <c r="B47" s="2" t="s">
        <v>47</v>
      </c>
      <c r="C47" s="12"/>
      <c r="D47" s="12" t="b">
        <v>1</v>
      </c>
      <c r="E47" s="9">
        <v>0.85</v>
      </c>
      <c r="F47" s="12"/>
    </row>
    <row r="48" spans="1:6" x14ac:dyDescent="0.2">
      <c r="A48" s="2" t="s">
        <v>159</v>
      </c>
      <c r="B48" s="2" t="s">
        <v>48</v>
      </c>
      <c r="C48" s="12"/>
      <c r="D48" s="12" t="b">
        <v>1</v>
      </c>
      <c r="E48" s="9">
        <v>0.89</v>
      </c>
      <c r="F48" s="12"/>
    </row>
    <row r="49" spans="1:6" x14ac:dyDescent="0.2">
      <c r="A49" s="2" t="s">
        <v>160</v>
      </c>
      <c r="B49" s="2" t="s">
        <v>49</v>
      </c>
      <c r="C49" s="12"/>
      <c r="D49" s="12"/>
      <c r="E49" s="9">
        <v>0.67</v>
      </c>
      <c r="F49" s="12"/>
    </row>
    <row r="50" spans="1:6" x14ac:dyDescent="0.2">
      <c r="A50" s="2" t="s">
        <v>161</v>
      </c>
      <c r="B50" s="2" t="s">
        <v>50</v>
      </c>
      <c r="C50" s="12"/>
      <c r="D50" s="12"/>
      <c r="E50" s="9">
        <v>0.91</v>
      </c>
      <c r="F50" s="12"/>
    </row>
    <row r="51" spans="1:6" x14ac:dyDescent="0.2">
      <c r="A51" s="2" t="s">
        <v>162</v>
      </c>
      <c r="B51" s="2" t="s">
        <v>51</v>
      </c>
      <c r="C51" s="12"/>
      <c r="D51" s="12"/>
      <c r="E51" s="9">
        <v>0.83</v>
      </c>
      <c r="F51" s="12"/>
    </row>
    <row r="52" spans="1:6" x14ac:dyDescent="0.2">
      <c r="A52" s="2" t="s">
        <v>163</v>
      </c>
      <c r="B52" s="2" t="s">
        <v>52</v>
      </c>
      <c r="C52" s="12"/>
      <c r="D52" s="12"/>
      <c r="E52" s="9">
        <v>0.65</v>
      </c>
      <c r="F52" s="12"/>
    </row>
    <row r="53" spans="1:6" x14ac:dyDescent="0.2">
      <c r="A53" s="2" t="s">
        <v>164</v>
      </c>
      <c r="B53" s="2" t="s">
        <v>53</v>
      </c>
      <c r="C53" s="12"/>
      <c r="D53" s="12" t="b">
        <v>1</v>
      </c>
      <c r="E53" s="9">
        <v>0.76</v>
      </c>
      <c r="F53" s="12"/>
    </row>
    <row r="54" spans="1:6" x14ac:dyDescent="0.2">
      <c r="A54" s="2" t="s">
        <v>165</v>
      </c>
      <c r="B54" s="2" t="s">
        <v>54</v>
      </c>
      <c r="C54" s="12"/>
      <c r="D54" s="12"/>
      <c r="E54" s="9">
        <v>0.66</v>
      </c>
      <c r="F54" s="12"/>
    </row>
    <row r="55" spans="1:6" x14ac:dyDescent="0.2">
      <c r="A55" s="2" t="s">
        <v>166</v>
      </c>
      <c r="B55" s="2" t="s">
        <v>55</v>
      </c>
      <c r="C55" s="12"/>
      <c r="D55" s="12"/>
      <c r="E55" s="9">
        <v>0.89</v>
      </c>
      <c r="F55" s="12"/>
    </row>
    <row r="56" spans="1:6" x14ac:dyDescent="0.2">
      <c r="A56" s="2" t="s">
        <v>167</v>
      </c>
      <c r="B56" s="2" t="s">
        <v>56</v>
      </c>
      <c r="C56" s="12"/>
      <c r="D56" s="12"/>
      <c r="E56" s="9">
        <v>0.55000000000000004</v>
      </c>
      <c r="F56" s="12" t="b">
        <v>1</v>
      </c>
    </row>
    <row r="57" spans="1:6" x14ac:dyDescent="0.2">
      <c r="A57" s="2" t="s">
        <v>168</v>
      </c>
      <c r="B57" s="2" t="s">
        <v>57</v>
      </c>
      <c r="C57" s="12"/>
      <c r="D57" s="12" t="b">
        <v>1</v>
      </c>
      <c r="E57" s="9">
        <v>0.66</v>
      </c>
      <c r="F57" s="12"/>
    </row>
    <row r="58" spans="1:6" x14ac:dyDescent="0.2">
      <c r="A58" s="2" t="s">
        <v>169</v>
      </c>
      <c r="B58" s="2" t="s">
        <v>58</v>
      </c>
      <c r="C58" s="12"/>
      <c r="D58" s="12"/>
      <c r="E58" s="9">
        <v>0.73</v>
      </c>
      <c r="F58" s="12"/>
    </row>
    <row r="59" spans="1:6" x14ac:dyDescent="0.2">
      <c r="A59" s="2" t="s">
        <v>170</v>
      </c>
      <c r="B59" s="2" t="s">
        <v>59</v>
      </c>
      <c r="C59" s="12" t="b">
        <v>1</v>
      </c>
      <c r="D59" s="12"/>
      <c r="E59" s="9">
        <v>0.8</v>
      </c>
      <c r="F59" s="12"/>
    </row>
    <row r="60" spans="1:6" x14ac:dyDescent="0.2">
      <c r="A60" s="2" t="s">
        <v>171</v>
      </c>
      <c r="B60" s="2" t="s">
        <v>60</v>
      </c>
      <c r="C60" s="12"/>
      <c r="D60" s="12" t="b">
        <v>1</v>
      </c>
      <c r="E60" s="9">
        <v>0.94</v>
      </c>
      <c r="F60" s="12"/>
    </row>
    <row r="61" spans="1:6" x14ac:dyDescent="0.2">
      <c r="A61" s="2" t="s">
        <v>172</v>
      </c>
      <c r="B61" s="2" t="s">
        <v>61</v>
      </c>
      <c r="C61" s="12"/>
      <c r="D61" s="12"/>
      <c r="E61" s="9">
        <v>0.6</v>
      </c>
      <c r="F61" s="12"/>
    </row>
    <row r="62" spans="1:6" x14ac:dyDescent="0.2">
      <c r="A62" s="2" t="s">
        <v>173</v>
      </c>
      <c r="B62" s="2" t="s">
        <v>62</v>
      </c>
      <c r="C62" s="12" t="b">
        <v>1</v>
      </c>
      <c r="D62" s="12"/>
      <c r="E62" s="9">
        <v>0.57999999999999996</v>
      </c>
      <c r="F62" s="12"/>
    </row>
    <row r="63" spans="1:6" x14ac:dyDescent="0.2">
      <c r="A63" s="2" t="s">
        <v>174</v>
      </c>
      <c r="B63" s="2" t="s">
        <v>63</v>
      </c>
      <c r="C63" s="12" t="b">
        <v>1</v>
      </c>
      <c r="D63" s="12"/>
      <c r="E63" s="9">
        <v>0.59</v>
      </c>
      <c r="F63" s="12" t="b">
        <v>1</v>
      </c>
    </row>
    <row r="64" spans="1:6" x14ac:dyDescent="0.2">
      <c r="A64" s="2" t="s">
        <v>175</v>
      </c>
      <c r="B64" s="2" t="s">
        <v>64</v>
      </c>
      <c r="C64" s="12"/>
      <c r="D64" s="12" t="b">
        <v>1</v>
      </c>
      <c r="E64" s="9">
        <v>0.36</v>
      </c>
      <c r="F64" s="12" t="b">
        <v>1</v>
      </c>
    </row>
    <row r="65" spans="1:6" x14ac:dyDescent="0.2">
      <c r="A65" s="2" t="s">
        <v>176</v>
      </c>
      <c r="B65" s="2" t="s">
        <v>65</v>
      </c>
      <c r="C65" s="12"/>
      <c r="D65" s="12" t="b">
        <v>1</v>
      </c>
      <c r="E65" s="9">
        <v>0.97</v>
      </c>
      <c r="F65" s="12"/>
    </row>
    <row r="66" spans="1:6" x14ac:dyDescent="0.2">
      <c r="A66" s="2" t="s">
        <v>177</v>
      </c>
      <c r="B66" s="2" t="s">
        <v>66</v>
      </c>
      <c r="C66" s="12" t="b">
        <v>1</v>
      </c>
      <c r="D66" s="12"/>
      <c r="E66" s="9">
        <v>0.4</v>
      </c>
      <c r="F66" s="12"/>
    </row>
    <row r="67" spans="1:6" x14ac:dyDescent="0.2">
      <c r="A67" s="2" t="s">
        <v>178</v>
      </c>
      <c r="B67" s="2" t="s">
        <v>67</v>
      </c>
      <c r="C67" s="12"/>
      <c r="D67" s="12"/>
      <c r="E67" s="9">
        <v>0.63</v>
      </c>
      <c r="F67" s="12"/>
    </row>
    <row r="68" spans="1:6" x14ac:dyDescent="0.2">
      <c r="A68" s="2" t="s">
        <v>179</v>
      </c>
      <c r="B68" s="2" t="s">
        <v>68</v>
      </c>
      <c r="C68" s="12"/>
      <c r="D68" s="12" t="b">
        <v>1</v>
      </c>
      <c r="E68" s="9">
        <v>0.41</v>
      </c>
      <c r="F68" s="12" t="b">
        <v>1</v>
      </c>
    </row>
    <row r="69" spans="1:6" x14ac:dyDescent="0.2">
      <c r="A69" s="2" t="s">
        <v>180</v>
      </c>
      <c r="B69" s="2" t="s">
        <v>69</v>
      </c>
      <c r="C69" s="12"/>
      <c r="D69" s="12"/>
      <c r="E69" s="9">
        <v>0.82</v>
      </c>
      <c r="F69" s="12"/>
    </row>
    <row r="70" spans="1:6" x14ac:dyDescent="0.2">
      <c r="A70" s="2" t="s">
        <v>181</v>
      </c>
      <c r="B70" s="2" t="s">
        <v>70</v>
      </c>
      <c r="C70" s="12"/>
      <c r="D70" s="12"/>
      <c r="E70" s="9">
        <v>0.74</v>
      </c>
      <c r="F70" s="12"/>
    </row>
    <row r="71" spans="1:6" x14ac:dyDescent="0.2">
      <c r="A71" s="2" t="s">
        <v>182</v>
      </c>
      <c r="B71" s="2" t="s">
        <v>71</v>
      </c>
      <c r="C71" s="12"/>
      <c r="D71" s="12"/>
      <c r="E71" s="9">
        <v>0.86</v>
      </c>
      <c r="F71" s="12"/>
    </row>
    <row r="72" spans="1:6" x14ac:dyDescent="0.2">
      <c r="A72" s="2" t="s">
        <v>183</v>
      </c>
      <c r="B72" s="2" t="s">
        <v>72</v>
      </c>
      <c r="C72" s="12"/>
      <c r="D72" s="12"/>
      <c r="E72" s="9">
        <v>0.93</v>
      </c>
      <c r="F72" s="12"/>
    </row>
    <row r="73" spans="1:6" x14ac:dyDescent="0.2">
      <c r="A73" s="2" t="s">
        <v>184</v>
      </c>
      <c r="B73" s="2" t="s">
        <v>73</v>
      </c>
      <c r="C73" s="12"/>
      <c r="D73" s="12"/>
      <c r="E73" s="9">
        <v>0.8</v>
      </c>
      <c r="F73" s="12"/>
    </row>
    <row r="74" spans="1:6" x14ac:dyDescent="0.2">
      <c r="A74" s="2" t="s">
        <v>185</v>
      </c>
      <c r="B74" s="2" t="s">
        <v>74</v>
      </c>
      <c r="C74" s="12"/>
      <c r="D74" s="12"/>
      <c r="E74" s="9">
        <v>0.91</v>
      </c>
      <c r="F74" s="12"/>
    </row>
    <row r="75" spans="1:6" x14ac:dyDescent="0.2">
      <c r="A75" s="2" t="s">
        <v>186</v>
      </c>
      <c r="B75" s="2" t="s">
        <v>75</v>
      </c>
      <c r="C75" s="12"/>
      <c r="D75" s="12"/>
      <c r="E75" s="9">
        <v>0.88</v>
      </c>
      <c r="F75" s="12"/>
    </row>
    <row r="76" spans="1:6" x14ac:dyDescent="0.2">
      <c r="A76" s="2" t="s">
        <v>187</v>
      </c>
      <c r="B76" s="2" t="s">
        <v>76</v>
      </c>
      <c r="C76" s="12"/>
      <c r="D76" s="12" t="b">
        <v>1</v>
      </c>
      <c r="E76" s="9">
        <v>0.77</v>
      </c>
      <c r="F76" s="12"/>
    </row>
    <row r="77" spans="1:6" x14ac:dyDescent="0.2">
      <c r="A77" s="2" t="s">
        <v>188</v>
      </c>
      <c r="B77" s="2" t="s">
        <v>77</v>
      </c>
      <c r="C77" s="12" t="b">
        <v>1</v>
      </c>
      <c r="D77" s="12"/>
      <c r="E77" s="9">
        <v>0.35</v>
      </c>
      <c r="F77" s="12"/>
    </row>
    <row r="78" spans="1:6" x14ac:dyDescent="0.2">
      <c r="A78" s="2" t="s">
        <v>189</v>
      </c>
      <c r="B78" s="2" t="s">
        <v>78</v>
      </c>
      <c r="C78" s="12" t="b">
        <v>1</v>
      </c>
      <c r="D78" s="12"/>
      <c r="E78" s="9">
        <v>0.35</v>
      </c>
      <c r="F78" s="12"/>
    </row>
    <row r="79" spans="1:6" x14ac:dyDescent="0.2">
      <c r="A79" s="2" t="s">
        <v>190</v>
      </c>
      <c r="B79" s="2" t="s">
        <v>79</v>
      </c>
      <c r="C79" s="12"/>
      <c r="D79" s="12"/>
      <c r="E79" s="9">
        <v>0.41</v>
      </c>
      <c r="F79" s="12"/>
    </row>
    <row r="80" spans="1:6" x14ac:dyDescent="0.2">
      <c r="A80" s="2" t="s">
        <v>191</v>
      </c>
      <c r="B80" s="2" t="s">
        <v>80</v>
      </c>
      <c r="C80" s="12"/>
      <c r="D80" s="12" t="b">
        <v>1</v>
      </c>
      <c r="E80" s="9">
        <v>0.84</v>
      </c>
      <c r="F80" s="12"/>
    </row>
    <row r="81" spans="1:6" x14ac:dyDescent="0.2">
      <c r="A81" s="2" t="s">
        <v>192</v>
      </c>
      <c r="B81" s="2" t="s">
        <v>81</v>
      </c>
      <c r="C81" s="12"/>
      <c r="D81" s="12" t="b">
        <v>1</v>
      </c>
      <c r="E81" s="9">
        <v>0.79</v>
      </c>
      <c r="F81" s="12"/>
    </row>
    <row r="82" spans="1:6" x14ac:dyDescent="0.2">
      <c r="A82" s="2" t="s">
        <v>193</v>
      </c>
      <c r="B82" s="2" t="s">
        <v>82</v>
      </c>
      <c r="C82" s="12"/>
      <c r="D82" s="12"/>
      <c r="E82" s="9">
        <v>0.65</v>
      </c>
      <c r="F82" s="12"/>
    </row>
    <row r="83" spans="1:6" x14ac:dyDescent="0.2">
      <c r="A83" s="2" t="s">
        <v>194</v>
      </c>
      <c r="B83" s="2" t="s">
        <v>83</v>
      </c>
      <c r="C83" s="12" t="b">
        <v>1</v>
      </c>
      <c r="D83" s="12"/>
      <c r="E83" s="9">
        <v>0.93</v>
      </c>
      <c r="F83" s="12"/>
    </row>
    <row r="84" spans="1:6" x14ac:dyDescent="0.2">
      <c r="A84" s="2" t="s">
        <v>195</v>
      </c>
      <c r="B84" s="2" t="s">
        <v>84</v>
      </c>
      <c r="C84" s="12"/>
      <c r="D84" s="12"/>
      <c r="E84" s="9">
        <v>0.72</v>
      </c>
      <c r="F84" s="12"/>
    </row>
    <row r="85" spans="1:6" x14ac:dyDescent="0.2">
      <c r="A85" s="2" t="s">
        <v>196</v>
      </c>
      <c r="B85" s="2" t="s">
        <v>85</v>
      </c>
      <c r="C85" s="12" t="b">
        <v>1</v>
      </c>
      <c r="D85" s="12"/>
      <c r="E85" s="9">
        <v>0.61</v>
      </c>
      <c r="F85" s="12"/>
    </row>
    <row r="86" spans="1:6" x14ac:dyDescent="0.2">
      <c r="A86" s="2" t="s">
        <v>197</v>
      </c>
      <c r="B86" s="2" t="s">
        <v>86</v>
      </c>
      <c r="C86" s="12"/>
      <c r="D86" s="12" t="b">
        <v>1</v>
      </c>
      <c r="E86" s="9">
        <v>0.71</v>
      </c>
      <c r="F86" s="12"/>
    </row>
    <row r="87" spans="1:6" x14ac:dyDescent="0.2">
      <c r="A87" s="2" t="s">
        <v>198</v>
      </c>
      <c r="B87" s="2" t="s">
        <v>87</v>
      </c>
      <c r="C87" s="12" t="b">
        <v>1</v>
      </c>
      <c r="D87" s="12"/>
      <c r="E87" s="9">
        <v>0.65</v>
      </c>
      <c r="F87" s="12"/>
    </row>
    <row r="88" spans="1:6" x14ac:dyDescent="0.2">
      <c r="A88" s="2" t="s">
        <v>199</v>
      </c>
      <c r="B88" s="2" t="s">
        <v>88</v>
      </c>
      <c r="C88" s="12"/>
      <c r="D88" s="12" t="b">
        <v>1</v>
      </c>
      <c r="E88" s="9">
        <v>0.74</v>
      </c>
      <c r="F88" s="12"/>
    </row>
    <row r="89" spans="1:6" x14ac:dyDescent="0.2">
      <c r="A89" s="2" t="s">
        <v>200</v>
      </c>
      <c r="B89" s="2" t="s">
        <v>89</v>
      </c>
      <c r="C89" s="12" t="b">
        <v>1</v>
      </c>
      <c r="D89" s="12"/>
      <c r="E89" s="9">
        <v>0.56000000000000005</v>
      </c>
      <c r="F89" s="12"/>
    </row>
    <row r="90" spans="1:6" x14ac:dyDescent="0.2">
      <c r="A90" s="2" t="s">
        <v>201</v>
      </c>
      <c r="B90" s="2" t="s">
        <v>90</v>
      </c>
      <c r="C90" s="12"/>
      <c r="D90" s="12"/>
      <c r="E90" s="9">
        <v>0.77</v>
      </c>
      <c r="F90" s="12"/>
    </row>
    <row r="91" spans="1:6" x14ac:dyDescent="0.2">
      <c r="A91" s="2" t="s">
        <v>202</v>
      </c>
      <c r="B91" s="2" t="s">
        <v>91</v>
      </c>
      <c r="C91" s="12"/>
      <c r="D91" s="12" t="b">
        <v>1</v>
      </c>
      <c r="E91" s="9">
        <v>0.65</v>
      </c>
      <c r="F91" s="12"/>
    </row>
    <row r="92" spans="1:6" x14ac:dyDescent="0.2">
      <c r="A92" s="2" t="s">
        <v>203</v>
      </c>
      <c r="B92" s="2" t="s">
        <v>92</v>
      </c>
      <c r="C92" s="12"/>
      <c r="D92" s="12" t="b">
        <v>1</v>
      </c>
      <c r="E92" s="9">
        <v>0.91</v>
      </c>
      <c r="F92" s="12"/>
    </row>
    <row r="93" spans="1:6" x14ac:dyDescent="0.2">
      <c r="A93" s="2" t="s">
        <v>204</v>
      </c>
      <c r="B93" s="2" t="s">
        <v>93</v>
      </c>
      <c r="C93" s="12" t="b">
        <v>1</v>
      </c>
      <c r="D93" s="12"/>
      <c r="E93" s="9">
        <v>0.48</v>
      </c>
      <c r="F93" s="12" t="b">
        <v>1</v>
      </c>
    </row>
    <row r="94" spans="1:6" x14ac:dyDescent="0.2">
      <c r="A94" s="2" t="s">
        <v>205</v>
      </c>
      <c r="B94" s="2" t="s">
        <v>94</v>
      </c>
      <c r="C94" s="12"/>
      <c r="D94" s="12"/>
      <c r="E94" s="9">
        <v>0.53</v>
      </c>
      <c r="F94" s="12" t="b">
        <v>1</v>
      </c>
    </row>
    <row r="95" spans="1:6" x14ac:dyDescent="0.2">
      <c r="A95" s="2" t="s">
        <v>206</v>
      </c>
      <c r="B95" s="2" t="s">
        <v>95</v>
      </c>
      <c r="C95" s="12" t="b">
        <v>1</v>
      </c>
      <c r="D95" s="12"/>
      <c r="E95" s="9">
        <v>0.85</v>
      </c>
      <c r="F95" s="12"/>
    </row>
    <row r="96" spans="1:6" x14ac:dyDescent="0.2">
      <c r="A96" s="2" t="s">
        <v>207</v>
      </c>
      <c r="B96" s="2" t="s">
        <v>96</v>
      </c>
      <c r="C96" s="12"/>
      <c r="D96" s="12"/>
      <c r="E96" s="9">
        <v>0.46</v>
      </c>
      <c r="F96" s="12"/>
    </row>
    <row r="97" spans="1:6" x14ac:dyDescent="0.2">
      <c r="A97" s="2" t="s">
        <v>208</v>
      </c>
      <c r="B97" s="2" t="s">
        <v>97</v>
      </c>
      <c r="C97" s="12"/>
      <c r="D97" s="12"/>
      <c r="E97" s="9">
        <v>0.33</v>
      </c>
      <c r="F97" s="12"/>
    </row>
    <row r="98" spans="1:6" x14ac:dyDescent="0.2">
      <c r="A98" s="2" t="s">
        <v>209</v>
      </c>
      <c r="B98" s="2" t="s">
        <v>98</v>
      </c>
      <c r="C98" s="12" t="b">
        <v>1</v>
      </c>
      <c r="D98" s="12"/>
      <c r="E98" s="9">
        <v>0.76</v>
      </c>
      <c r="F98" s="12"/>
    </row>
    <row r="99" spans="1:6" x14ac:dyDescent="0.2">
      <c r="A99" s="2" t="s">
        <v>210</v>
      </c>
      <c r="B99" s="2" t="s">
        <v>99</v>
      </c>
      <c r="C99" s="12"/>
      <c r="D99" s="12"/>
      <c r="E99" s="9">
        <v>0.48</v>
      </c>
      <c r="F99" s="12" t="b">
        <v>1</v>
      </c>
    </row>
    <row r="100" spans="1:6" x14ac:dyDescent="0.2">
      <c r="A100" s="2" t="s">
        <v>211</v>
      </c>
      <c r="B100" s="2" t="s">
        <v>100</v>
      </c>
      <c r="C100" s="12"/>
      <c r="D100" s="12" t="b">
        <v>1</v>
      </c>
      <c r="E100" s="9">
        <v>0.73</v>
      </c>
      <c r="F100" s="12"/>
    </row>
    <row r="101" spans="1:6" x14ac:dyDescent="0.2">
      <c r="A101" s="2" t="s">
        <v>212</v>
      </c>
      <c r="B101" s="2" t="s">
        <v>101</v>
      </c>
      <c r="C101" s="12"/>
      <c r="D101" s="12" t="b">
        <v>1</v>
      </c>
      <c r="E101" s="9">
        <v>0.43</v>
      </c>
      <c r="F101" s="12"/>
    </row>
    <row r="102" spans="1:6" x14ac:dyDescent="0.2">
      <c r="A102" s="2" t="s">
        <v>213</v>
      </c>
      <c r="B102" s="2" t="s">
        <v>102</v>
      </c>
      <c r="C102" s="12" t="b">
        <v>1</v>
      </c>
      <c r="D102" s="12"/>
      <c r="E102" s="9">
        <v>0.34</v>
      </c>
      <c r="F102" s="12"/>
    </row>
    <row r="103" spans="1:6" x14ac:dyDescent="0.2">
      <c r="A103" s="2" t="s">
        <v>214</v>
      </c>
      <c r="B103" s="2" t="s">
        <v>103</v>
      </c>
      <c r="C103" s="12"/>
      <c r="D103" s="12" t="b">
        <v>1</v>
      </c>
      <c r="E103" s="9">
        <v>0.43</v>
      </c>
      <c r="F103" s="12"/>
    </row>
    <row r="104" spans="1:6" x14ac:dyDescent="0.2">
      <c r="A104" s="2" t="s">
        <v>215</v>
      </c>
      <c r="B104" s="2" t="s">
        <v>104</v>
      </c>
      <c r="C104" s="12" t="b">
        <v>1</v>
      </c>
      <c r="D104" s="12"/>
      <c r="E104" s="9">
        <v>0.59</v>
      </c>
      <c r="F104" s="12"/>
    </row>
    <row r="105" spans="1:6" x14ac:dyDescent="0.2">
      <c r="A105" s="2" t="s">
        <v>216</v>
      </c>
      <c r="B105" s="2" t="s">
        <v>105</v>
      </c>
      <c r="C105" s="12"/>
      <c r="D105" s="12"/>
      <c r="E105" s="9">
        <v>0.4</v>
      </c>
      <c r="F105" s="12"/>
    </row>
    <row r="106" spans="1:6" x14ac:dyDescent="0.2">
      <c r="A106" s="2" t="s">
        <v>217</v>
      </c>
      <c r="B106" s="2" t="s">
        <v>106</v>
      </c>
      <c r="C106" s="12" t="b">
        <v>1</v>
      </c>
      <c r="D106" s="12"/>
      <c r="E106" s="9">
        <v>0.43</v>
      </c>
      <c r="F106" s="12"/>
    </row>
    <row r="107" spans="1:6" x14ac:dyDescent="0.2">
      <c r="A107" s="2" t="s">
        <v>218</v>
      </c>
      <c r="B107" s="2" t="s">
        <v>107</v>
      </c>
      <c r="C107" s="12"/>
      <c r="D107" s="12"/>
      <c r="E107" s="9">
        <v>0.52</v>
      </c>
      <c r="F107" s="12" t="b">
        <v>1</v>
      </c>
    </row>
    <row r="108" spans="1:6" x14ac:dyDescent="0.2">
      <c r="A108" s="2" t="s">
        <v>219</v>
      </c>
      <c r="B108" s="2" t="s">
        <v>108</v>
      </c>
      <c r="C108" s="12" t="b">
        <v>1</v>
      </c>
      <c r="D108" s="12"/>
      <c r="E108" s="9">
        <v>0.93</v>
      </c>
      <c r="F108" s="12"/>
    </row>
    <row r="109" spans="1:6" x14ac:dyDescent="0.2">
      <c r="A109" s="2" t="s">
        <v>220</v>
      </c>
      <c r="B109" s="2" t="s">
        <v>109</v>
      </c>
      <c r="C109" s="12" t="b">
        <v>1</v>
      </c>
      <c r="D109" s="12"/>
      <c r="E109" s="9">
        <v>0.59</v>
      </c>
      <c r="F109" s="12"/>
    </row>
    <row r="110" spans="1:6" x14ac:dyDescent="0.2">
      <c r="A110" s="2" t="s">
        <v>221</v>
      </c>
      <c r="B110" s="2" t="s">
        <v>110</v>
      </c>
      <c r="C110" s="12"/>
      <c r="D110" s="12"/>
      <c r="E110" s="9">
        <v>0.86</v>
      </c>
      <c r="F110" s="12"/>
    </row>
    <row r="111" spans="1:6" x14ac:dyDescent="0.2">
      <c r="A111" s="2" t="s">
        <v>222</v>
      </c>
      <c r="B111" s="2" t="s">
        <v>111</v>
      </c>
      <c r="C111" s="12"/>
      <c r="D111" s="12" t="b">
        <v>1</v>
      </c>
      <c r="E111" s="9">
        <v>0.45</v>
      </c>
      <c r="F111" s="12" t="b">
        <v>1</v>
      </c>
    </row>
    <row r="112" spans="1:6" x14ac:dyDescent="0.2">
      <c r="A112" s="2" t="s">
        <v>223</v>
      </c>
      <c r="B112" s="2" t="s">
        <v>112</v>
      </c>
      <c r="C112" s="12" t="b">
        <v>1</v>
      </c>
      <c r="D112" s="12"/>
      <c r="E112" s="9">
        <v>0.52</v>
      </c>
      <c r="F112" s="12"/>
    </row>
  </sheetData>
  <conditionalFormatting sqref="A5:F5">
    <cfRule type="expression" dxfId="3" priority="2">
      <formula>$C$5=TRUE</formula>
    </cfRule>
  </conditionalFormatting>
  <conditionalFormatting sqref="A2:F112">
    <cfRule type="expression" dxfId="2" priority="1">
      <formula>AND(OR(C2=TRUE,D2=TRUE),OR(E2&gt;60%,F2=TRUE))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D83E-33DD-4CB4-A1A4-4FE05067C586}">
  <dimension ref="A1:F125"/>
  <sheetViews>
    <sheetView workbookViewId="0">
      <selection activeCell="H6" sqref="H6"/>
    </sheetView>
  </sheetViews>
  <sheetFormatPr defaultRowHeight="12" x14ac:dyDescent="0.2"/>
  <cols>
    <col min="1" max="1" width="20.83203125" customWidth="1"/>
    <col min="2" max="2" width="12.83203125" customWidth="1"/>
    <col min="3" max="3" width="20.83203125" customWidth="1"/>
    <col min="4" max="4" width="10.83203125" customWidth="1"/>
  </cols>
  <sheetData>
    <row r="1" spans="1:6" x14ac:dyDescent="0.2">
      <c r="A1" s="1" t="s">
        <v>1</v>
      </c>
      <c r="B1" s="1" t="s">
        <v>677</v>
      </c>
      <c r="C1" s="1" t="s">
        <v>678</v>
      </c>
      <c r="D1" s="1" t="s">
        <v>679</v>
      </c>
    </row>
    <row r="2" spans="1:6" x14ac:dyDescent="0.2">
      <c r="A2" s="2" t="s">
        <v>680</v>
      </c>
      <c r="B2" s="13">
        <f ca="1">TODAY()-8047</f>
        <v>36589</v>
      </c>
      <c r="C2" s="2" t="s">
        <v>681</v>
      </c>
      <c r="D2" s="15">
        <v>185</v>
      </c>
    </row>
    <row r="3" spans="1:6" x14ac:dyDescent="0.2">
      <c r="A3" s="2" t="s">
        <v>682</v>
      </c>
      <c r="B3" s="13">
        <f ca="1">TODAY()-8021</f>
        <v>36615</v>
      </c>
      <c r="C3" s="2" t="s">
        <v>683</v>
      </c>
      <c r="D3" s="15">
        <v>55</v>
      </c>
      <c r="F3" s="3" t="s">
        <v>923</v>
      </c>
    </row>
    <row r="4" spans="1:6" x14ac:dyDescent="0.2">
      <c r="A4" s="2" t="s">
        <v>684</v>
      </c>
      <c r="B4" s="13">
        <f ca="1">TODAY()-7405</f>
        <v>37231</v>
      </c>
      <c r="C4" s="2" t="s">
        <v>685</v>
      </c>
      <c r="D4" s="15">
        <v>192</v>
      </c>
      <c r="F4" s="3" t="s">
        <v>925</v>
      </c>
    </row>
    <row r="5" spans="1:6" x14ac:dyDescent="0.2">
      <c r="A5" s="2" t="s">
        <v>686</v>
      </c>
      <c r="B5" s="13">
        <f ca="1">TODAY()-7546</f>
        <v>37090</v>
      </c>
      <c r="C5" s="2" t="s">
        <v>687</v>
      </c>
      <c r="D5" s="15">
        <v>132</v>
      </c>
      <c r="F5" s="3" t="s">
        <v>924</v>
      </c>
    </row>
    <row r="6" spans="1:6" x14ac:dyDescent="0.2">
      <c r="A6" s="2" t="s">
        <v>688</v>
      </c>
      <c r="B6" s="13">
        <f ca="1">TODAY()-7496</f>
        <v>37140</v>
      </c>
      <c r="C6" s="2" t="s">
        <v>689</v>
      </c>
      <c r="D6" s="15">
        <v>85</v>
      </c>
      <c r="F6" s="3" t="s">
        <v>928</v>
      </c>
    </row>
    <row r="7" spans="1:6" x14ac:dyDescent="0.2">
      <c r="A7" s="2" t="s">
        <v>690</v>
      </c>
      <c r="B7" s="13">
        <f ca="1">TODAY()-7753</f>
        <v>36883</v>
      </c>
      <c r="C7" s="2" t="s">
        <v>691</v>
      </c>
      <c r="D7" s="15">
        <v>143</v>
      </c>
    </row>
    <row r="8" spans="1:6" x14ac:dyDescent="0.2">
      <c r="A8" s="2" t="s">
        <v>692</v>
      </c>
      <c r="B8" s="13">
        <f ca="1">TODAY()-7792</f>
        <v>36844</v>
      </c>
      <c r="C8" s="2" t="s">
        <v>693</v>
      </c>
      <c r="D8" s="15">
        <v>170</v>
      </c>
    </row>
    <row r="9" spans="1:6" x14ac:dyDescent="0.2">
      <c r="A9" s="2" t="s">
        <v>694</v>
      </c>
      <c r="B9" s="13">
        <f ca="1">TODAY()-7655</f>
        <v>36981</v>
      </c>
      <c r="C9" s="2" t="s">
        <v>695</v>
      </c>
      <c r="D9" s="15">
        <v>106</v>
      </c>
    </row>
    <row r="10" spans="1:6" x14ac:dyDescent="0.2">
      <c r="A10" s="2" t="s">
        <v>696</v>
      </c>
      <c r="B10" s="13">
        <f ca="1">TODAY()-7547</f>
        <v>37089</v>
      </c>
      <c r="C10" s="2" t="s">
        <v>697</v>
      </c>
      <c r="D10" s="15">
        <v>135</v>
      </c>
      <c r="F10" s="3" t="s">
        <v>926</v>
      </c>
    </row>
    <row r="11" spans="1:6" x14ac:dyDescent="0.2">
      <c r="A11" s="2" t="s">
        <v>698</v>
      </c>
      <c r="B11" s="13">
        <f ca="1">TODAY()-7707</f>
        <v>36929</v>
      </c>
      <c r="C11" s="2" t="s">
        <v>699</v>
      </c>
      <c r="D11" s="15">
        <v>96</v>
      </c>
      <c r="F11" s="3" t="s">
        <v>927</v>
      </c>
    </row>
    <row r="12" spans="1:6" x14ac:dyDescent="0.2">
      <c r="A12" s="2" t="s">
        <v>700</v>
      </c>
      <c r="B12" s="13">
        <f ca="1">TODAY()-7761</f>
        <v>36875</v>
      </c>
      <c r="C12" s="2" t="s">
        <v>701</v>
      </c>
      <c r="D12" s="15">
        <v>163</v>
      </c>
    </row>
    <row r="13" spans="1:6" x14ac:dyDescent="0.2">
      <c r="A13" s="2" t="s">
        <v>702</v>
      </c>
      <c r="B13" s="13">
        <f ca="1">TODAY()-7445</f>
        <v>37191</v>
      </c>
      <c r="C13" s="2" t="s">
        <v>703</v>
      </c>
      <c r="D13" s="15">
        <v>59</v>
      </c>
    </row>
    <row r="14" spans="1:6" x14ac:dyDescent="0.2">
      <c r="A14" s="2" t="s">
        <v>704</v>
      </c>
      <c r="B14" s="13">
        <f ca="1">TODAY()-7803</f>
        <v>36833</v>
      </c>
      <c r="C14" s="2" t="s">
        <v>705</v>
      </c>
      <c r="D14" s="15">
        <v>87</v>
      </c>
    </row>
    <row r="15" spans="1:6" x14ac:dyDescent="0.2">
      <c r="A15" s="2" t="s">
        <v>706</v>
      </c>
      <c r="B15" s="13">
        <f ca="1">TODAY()-7419</f>
        <v>37217</v>
      </c>
      <c r="C15" s="2" t="s">
        <v>707</v>
      </c>
      <c r="D15" s="15">
        <v>116</v>
      </c>
    </row>
    <row r="16" spans="1:6" x14ac:dyDescent="0.2">
      <c r="A16" s="2" t="s">
        <v>708</v>
      </c>
      <c r="B16" s="13">
        <f ca="1">TODAY()-7450</f>
        <v>37186</v>
      </c>
      <c r="C16" s="2" t="s">
        <v>709</v>
      </c>
      <c r="D16" s="15">
        <v>126</v>
      </c>
    </row>
    <row r="17" spans="1:4" x14ac:dyDescent="0.2">
      <c r="A17" s="2" t="s">
        <v>710</v>
      </c>
      <c r="B17" s="13">
        <f ca="1">TODAY()-7967</f>
        <v>36669</v>
      </c>
      <c r="C17" s="2" t="s">
        <v>711</v>
      </c>
      <c r="D17" s="15">
        <v>64</v>
      </c>
    </row>
    <row r="18" spans="1:4" x14ac:dyDescent="0.2">
      <c r="A18" s="2" t="s">
        <v>712</v>
      </c>
      <c r="B18" s="13">
        <f ca="1">TODAY()-7519</f>
        <v>37117</v>
      </c>
      <c r="C18" s="2" t="s">
        <v>713</v>
      </c>
      <c r="D18" s="15">
        <v>93</v>
      </c>
    </row>
    <row r="19" spans="1:4" x14ac:dyDescent="0.2">
      <c r="A19" s="2" t="s">
        <v>714</v>
      </c>
      <c r="B19" s="13">
        <f ca="1">TODAY()-7919</f>
        <v>36717</v>
      </c>
      <c r="C19" s="2" t="s">
        <v>715</v>
      </c>
      <c r="D19" s="15">
        <v>168</v>
      </c>
    </row>
    <row r="20" spans="1:4" x14ac:dyDescent="0.2">
      <c r="A20" s="2" t="s">
        <v>716</v>
      </c>
      <c r="B20" s="13">
        <f ca="1">TODAY()-7356</f>
        <v>37280</v>
      </c>
      <c r="C20" s="2" t="s">
        <v>717</v>
      </c>
      <c r="D20" s="15">
        <v>186</v>
      </c>
    </row>
    <row r="21" spans="1:4" x14ac:dyDescent="0.2">
      <c r="A21" s="2" t="s">
        <v>718</v>
      </c>
      <c r="B21" s="13">
        <f ca="1">TODAY()-7647</f>
        <v>36989</v>
      </c>
      <c r="C21" s="2" t="s">
        <v>719</v>
      </c>
      <c r="D21" s="15">
        <v>141</v>
      </c>
    </row>
    <row r="22" spans="1:4" x14ac:dyDescent="0.2">
      <c r="A22" s="2" t="s">
        <v>720</v>
      </c>
      <c r="B22" s="13">
        <f ca="1">TODAY()-7356</f>
        <v>37280</v>
      </c>
      <c r="C22" s="2" t="s">
        <v>721</v>
      </c>
      <c r="D22" s="15">
        <v>192</v>
      </c>
    </row>
    <row r="23" spans="1:4" x14ac:dyDescent="0.2">
      <c r="A23" s="2" t="s">
        <v>722</v>
      </c>
      <c r="B23" s="13">
        <f ca="1">TODAY()-7988</f>
        <v>36648</v>
      </c>
      <c r="C23" s="2" t="s">
        <v>723</v>
      </c>
      <c r="D23" s="15">
        <v>61</v>
      </c>
    </row>
    <row r="24" spans="1:4" x14ac:dyDescent="0.2">
      <c r="A24" s="2" t="s">
        <v>692</v>
      </c>
      <c r="B24" s="13">
        <f ca="1">TODAY()-7417</f>
        <v>37219</v>
      </c>
      <c r="C24" s="2" t="s">
        <v>724</v>
      </c>
      <c r="D24" s="15">
        <v>96</v>
      </c>
    </row>
    <row r="25" spans="1:4" x14ac:dyDescent="0.2">
      <c r="A25" s="2" t="s">
        <v>725</v>
      </c>
      <c r="B25" s="13">
        <f ca="1">TODAY()-8045</f>
        <v>36591</v>
      </c>
      <c r="C25" s="2" t="s">
        <v>726</v>
      </c>
      <c r="D25" s="15">
        <v>97</v>
      </c>
    </row>
    <row r="26" spans="1:4" x14ac:dyDescent="0.2">
      <c r="A26" s="2" t="s">
        <v>727</v>
      </c>
      <c r="B26" s="13">
        <f ca="1">TODAY()-7685</f>
        <v>36951</v>
      </c>
      <c r="C26" s="2" t="s">
        <v>728</v>
      </c>
      <c r="D26" s="15">
        <v>124</v>
      </c>
    </row>
    <row r="27" spans="1:4" x14ac:dyDescent="0.2">
      <c r="A27" s="2" t="s">
        <v>729</v>
      </c>
      <c r="B27" s="13">
        <f ca="1">TODAY()-7687</f>
        <v>36949</v>
      </c>
      <c r="C27" s="2" t="s">
        <v>730</v>
      </c>
      <c r="D27" s="15">
        <v>177</v>
      </c>
    </row>
    <row r="28" spans="1:4" x14ac:dyDescent="0.2">
      <c r="A28" s="2" t="s">
        <v>731</v>
      </c>
      <c r="B28" s="13">
        <f ca="1">TODAY()-7570</f>
        <v>37066</v>
      </c>
      <c r="C28" s="2" t="s">
        <v>732</v>
      </c>
      <c r="D28" s="15">
        <v>193</v>
      </c>
    </row>
    <row r="29" spans="1:4" x14ac:dyDescent="0.2">
      <c r="A29" s="2" t="s">
        <v>733</v>
      </c>
      <c r="B29" s="13">
        <f ca="1">TODAY()-8051</f>
        <v>36585</v>
      </c>
      <c r="C29" s="2" t="s">
        <v>734</v>
      </c>
      <c r="D29" s="15">
        <v>112</v>
      </c>
    </row>
    <row r="30" spans="1:4" x14ac:dyDescent="0.2">
      <c r="A30" s="2" t="s">
        <v>735</v>
      </c>
      <c r="B30" s="13">
        <f ca="1">TODAY()-7792</f>
        <v>36844</v>
      </c>
      <c r="C30" s="2" t="s">
        <v>736</v>
      </c>
      <c r="D30" s="15">
        <v>76</v>
      </c>
    </row>
    <row r="31" spans="1:4" x14ac:dyDescent="0.2">
      <c r="A31" s="2" t="s">
        <v>737</v>
      </c>
      <c r="B31" s="13">
        <f ca="1">TODAY()-7876</f>
        <v>36760</v>
      </c>
      <c r="C31" s="2" t="s">
        <v>738</v>
      </c>
      <c r="D31" s="15">
        <v>190</v>
      </c>
    </row>
    <row r="32" spans="1:4" x14ac:dyDescent="0.2">
      <c r="A32" s="2" t="s">
        <v>739</v>
      </c>
      <c r="B32" s="13">
        <f ca="1">TODAY()-7838</f>
        <v>36798</v>
      </c>
      <c r="C32" s="2" t="s">
        <v>740</v>
      </c>
      <c r="D32" s="15">
        <v>109</v>
      </c>
    </row>
    <row r="33" spans="1:4" x14ac:dyDescent="0.2">
      <c r="A33" s="2" t="s">
        <v>741</v>
      </c>
      <c r="B33" s="13">
        <f ca="1">TODAY()-8051</f>
        <v>36585</v>
      </c>
      <c r="C33" s="2" t="s">
        <v>742</v>
      </c>
      <c r="D33" s="15">
        <v>121</v>
      </c>
    </row>
    <row r="34" spans="1:4" x14ac:dyDescent="0.2">
      <c r="A34" s="2" t="s">
        <v>743</v>
      </c>
      <c r="B34" s="13">
        <f ca="1">TODAY()-7423</f>
        <v>37213</v>
      </c>
      <c r="C34" s="2" t="s">
        <v>744</v>
      </c>
      <c r="D34" s="15">
        <v>88</v>
      </c>
    </row>
    <row r="35" spans="1:4" x14ac:dyDescent="0.2">
      <c r="A35" s="2" t="s">
        <v>745</v>
      </c>
      <c r="B35" s="13">
        <f ca="1">TODAY()-7709</f>
        <v>36927</v>
      </c>
      <c r="C35" s="2" t="s">
        <v>746</v>
      </c>
      <c r="D35" s="15">
        <v>111</v>
      </c>
    </row>
    <row r="36" spans="1:4" x14ac:dyDescent="0.2">
      <c r="A36" s="2" t="s">
        <v>747</v>
      </c>
      <c r="B36" s="13">
        <f ca="1">TODAY()-7767</f>
        <v>36869</v>
      </c>
      <c r="C36" s="2" t="s">
        <v>748</v>
      </c>
      <c r="D36" s="15">
        <v>191</v>
      </c>
    </row>
    <row r="37" spans="1:4" x14ac:dyDescent="0.2">
      <c r="A37" s="2" t="s">
        <v>749</v>
      </c>
      <c r="B37" s="13">
        <f ca="1">TODAY()-7443</f>
        <v>37193</v>
      </c>
      <c r="C37" s="2" t="s">
        <v>750</v>
      </c>
      <c r="D37" s="15">
        <v>54</v>
      </c>
    </row>
    <row r="38" spans="1:4" x14ac:dyDescent="0.2">
      <c r="A38" s="2" t="s">
        <v>751</v>
      </c>
      <c r="B38" s="13">
        <f ca="1">TODAY()-7985</f>
        <v>36651</v>
      </c>
      <c r="C38" s="2" t="s">
        <v>752</v>
      </c>
      <c r="D38" s="15">
        <v>170</v>
      </c>
    </row>
    <row r="39" spans="1:4" x14ac:dyDescent="0.2">
      <c r="A39" s="2" t="s">
        <v>753</v>
      </c>
      <c r="B39" s="13">
        <f ca="1">TODAY()-7810</f>
        <v>36826</v>
      </c>
      <c r="C39" s="2" t="s">
        <v>754</v>
      </c>
      <c r="D39" s="15">
        <v>175</v>
      </c>
    </row>
    <row r="40" spans="1:4" x14ac:dyDescent="0.2">
      <c r="A40" s="2" t="s">
        <v>755</v>
      </c>
      <c r="B40" s="13">
        <f ca="1">TODAY()-7780</f>
        <v>36856</v>
      </c>
      <c r="C40" s="2" t="s">
        <v>756</v>
      </c>
      <c r="D40" s="15">
        <v>80</v>
      </c>
    </row>
    <row r="41" spans="1:4" x14ac:dyDescent="0.2">
      <c r="A41" s="2" t="s">
        <v>757</v>
      </c>
      <c r="B41" s="13">
        <f ca="1">TODAY()-7959</f>
        <v>36677</v>
      </c>
      <c r="C41" s="2" t="s">
        <v>758</v>
      </c>
      <c r="D41" s="15">
        <v>126</v>
      </c>
    </row>
    <row r="42" spans="1:4" x14ac:dyDescent="0.2">
      <c r="A42" s="2" t="s">
        <v>759</v>
      </c>
      <c r="B42" s="13">
        <f ca="1">TODAY()-7781</f>
        <v>36855</v>
      </c>
      <c r="C42" s="2" t="s">
        <v>760</v>
      </c>
      <c r="D42" s="15">
        <v>60</v>
      </c>
    </row>
    <row r="43" spans="1:4" x14ac:dyDescent="0.2">
      <c r="A43" s="2" t="s">
        <v>761</v>
      </c>
      <c r="B43" s="13">
        <f ca="1">TODAY()-8041</f>
        <v>36595</v>
      </c>
      <c r="C43" s="2" t="s">
        <v>762</v>
      </c>
      <c r="D43" s="15">
        <v>129</v>
      </c>
    </row>
    <row r="44" spans="1:4" x14ac:dyDescent="0.2">
      <c r="A44" s="2" t="s">
        <v>763</v>
      </c>
      <c r="B44" s="13">
        <f ca="1">TODAY()-7471</f>
        <v>37165</v>
      </c>
      <c r="C44" s="2" t="s">
        <v>764</v>
      </c>
      <c r="D44" s="15">
        <v>126</v>
      </c>
    </row>
    <row r="45" spans="1:4" x14ac:dyDescent="0.2">
      <c r="A45" s="2" t="s">
        <v>765</v>
      </c>
      <c r="B45" s="13">
        <f ca="1">TODAY()-7356</f>
        <v>37280</v>
      </c>
      <c r="C45" s="2" t="s">
        <v>766</v>
      </c>
      <c r="D45" s="15">
        <v>88</v>
      </c>
    </row>
    <row r="46" spans="1:4" x14ac:dyDescent="0.2">
      <c r="A46" s="2" t="s">
        <v>767</v>
      </c>
      <c r="B46" s="13">
        <f ca="1">TODAY()-7461</f>
        <v>37175</v>
      </c>
      <c r="C46" s="2" t="s">
        <v>768</v>
      </c>
      <c r="D46" s="15">
        <v>175</v>
      </c>
    </row>
    <row r="47" spans="1:4" x14ac:dyDescent="0.2">
      <c r="A47" s="2" t="s">
        <v>769</v>
      </c>
      <c r="B47" s="13">
        <f ca="1">TODAY()-8019</f>
        <v>36617</v>
      </c>
      <c r="C47" s="2" t="s">
        <v>770</v>
      </c>
      <c r="D47" s="15">
        <v>115</v>
      </c>
    </row>
    <row r="48" spans="1:4" x14ac:dyDescent="0.2">
      <c r="A48" s="2" t="s">
        <v>771</v>
      </c>
      <c r="B48" s="13">
        <f ca="1">TODAY()-8033</f>
        <v>36603</v>
      </c>
      <c r="C48" s="2" t="s">
        <v>772</v>
      </c>
      <c r="D48" s="15">
        <v>153</v>
      </c>
    </row>
    <row r="49" spans="1:4" x14ac:dyDescent="0.2">
      <c r="A49" s="2" t="s">
        <v>773</v>
      </c>
      <c r="B49" s="13">
        <f ca="1">TODAY()-7909</f>
        <v>36727</v>
      </c>
      <c r="C49" s="2" t="s">
        <v>774</v>
      </c>
      <c r="D49" s="15">
        <v>133</v>
      </c>
    </row>
    <row r="50" spans="1:4" x14ac:dyDescent="0.2">
      <c r="A50" s="2" t="s">
        <v>775</v>
      </c>
      <c r="B50" s="13">
        <f ca="1">TODAY()-7805</f>
        <v>36831</v>
      </c>
      <c r="C50" s="2" t="s">
        <v>776</v>
      </c>
      <c r="D50" s="15">
        <v>177</v>
      </c>
    </row>
    <row r="51" spans="1:4" x14ac:dyDescent="0.2">
      <c r="A51" s="2" t="s">
        <v>777</v>
      </c>
      <c r="B51" s="13">
        <f ca="1">TODAY()-7913</f>
        <v>36723</v>
      </c>
      <c r="C51" s="2" t="s">
        <v>778</v>
      </c>
      <c r="D51" s="15">
        <v>62</v>
      </c>
    </row>
    <row r="52" spans="1:4" x14ac:dyDescent="0.2">
      <c r="A52" s="2" t="s">
        <v>779</v>
      </c>
      <c r="B52" s="13">
        <f ca="1">TODAY()-7427</f>
        <v>37209</v>
      </c>
      <c r="C52" s="2" t="s">
        <v>780</v>
      </c>
      <c r="D52" s="15">
        <v>107</v>
      </c>
    </row>
    <row r="53" spans="1:4" x14ac:dyDescent="0.2">
      <c r="A53" s="2" t="s">
        <v>716</v>
      </c>
      <c r="B53" s="13">
        <f ca="1">TODAY()-7602</f>
        <v>37034</v>
      </c>
      <c r="C53" s="2" t="s">
        <v>781</v>
      </c>
      <c r="D53" s="15">
        <v>130</v>
      </c>
    </row>
    <row r="54" spans="1:4" x14ac:dyDescent="0.2">
      <c r="A54" s="2" t="s">
        <v>782</v>
      </c>
      <c r="B54" s="13">
        <f ca="1">TODAY()-7373</f>
        <v>37263</v>
      </c>
      <c r="C54" s="2" t="s">
        <v>783</v>
      </c>
      <c r="D54" s="15">
        <v>170</v>
      </c>
    </row>
    <row r="55" spans="1:4" x14ac:dyDescent="0.2">
      <c r="A55" s="2" t="s">
        <v>784</v>
      </c>
      <c r="B55" s="13">
        <f ca="1">TODAY()-7704</f>
        <v>36932</v>
      </c>
      <c r="C55" s="2" t="s">
        <v>785</v>
      </c>
      <c r="D55" s="15">
        <v>152</v>
      </c>
    </row>
    <row r="56" spans="1:4" x14ac:dyDescent="0.2">
      <c r="A56" s="2" t="s">
        <v>786</v>
      </c>
      <c r="B56" s="13">
        <f ca="1">TODAY()-7459</f>
        <v>37177</v>
      </c>
      <c r="C56" s="2" t="s">
        <v>787</v>
      </c>
      <c r="D56" s="15">
        <v>172</v>
      </c>
    </row>
    <row r="57" spans="1:4" x14ac:dyDescent="0.2">
      <c r="A57" s="2" t="s">
        <v>788</v>
      </c>
      <c r="B57" s="13">
        <f ca="1">TODAY()-7646</f>
        <v>36990</v>
      </c>
      <c r="C57" s="2" t="s">
        <v>789</v>
      </c>
      <c r="D57" s="15">
        <v>127</v>
      </c>
    </row>
    <row r="58" spans="1:4" x14ac:dyDescent="0.2">
      <c r="A58" s="2" t="s">
        <v>790</v>
      </c>
      <c r="B58" s="13">
        <f ca="1">TODAY()-7736</f>
        <v>36900</v>
      </c>
      <c r="C58" s="2" t="s">
        <v>791</v>
      </c>
      <c r="D58" s="15">
        <v>156</v>
      </c>
    </row>
    <row r="59" spans="1:4" x14ac:dyDescent="0.2">
      <c r="A59" s="2" t="s">
        <v>792</v>
      </c>
      <c r="B59" s="13">
        <f ca="1">TODAY()-7855</f>
        <v>36781</v>
      </c>
      <c r="C59" s="2" t="s">
        <v>793</v>
      </c>
      <c r="D59" s="15">
        <v>86</v>
      </c>
    </row>
    <row r="60" spans="1:4" x14ac:dyDescent="0.2">
      <c r="A60" s="2" t="s">
        <v>794</v>
      </c>
      <c r="B60" s="13">
        <f ca="1">TODAY()-8024</f>
        <v>36612</v>
      </c>
      <c r="C60" s="2" t="s">
        <v>795</v>
      </c>
      <c r="D60" s="15">
        <v>56</v>
      </c>
    </row>
    <row r="61" spans="1:4" x14ac:dyDescent="0.2">
      <c r="A61" s="2" t="s">
        <v>796</v>
      </c>
      <c r="B61" s="13">
        <f ca="1">TODAY()-7939</f>
        <v>36697</v>
      </c>
      <c r="C61" s="2" t="s">
        <v>797</v>
      </c>
      <c r="D61" s="15">
        <v>181</v>
      </c>
    </row>
    <row r="62" spans="1:4" x14ac:dyDescent="0.2">
      <c r="A62" s="2" t="s">
        <v>798</v>
      </c>
      <c r="B62" s="13">
        <f ca="1">TODAY()-7595</f>
        <v>37041</v>
      </c>
      <c r="C62" s="2" t="s">
        <v>799</v>
      </c>
      <c r="D62" s="15">
        <v>53</v>
      </c>
    </row>
    <row r="63" spans="1:4" x14ac:dyDescent="0.2">
      <c r="A63" s="2" t="s">
        <v>800</v>
      </c>
      <c r="B63" s="13">
        <f ca="1">TODAY()-7421</f>
        <v>37215</v>
      </c>
      <c r="C63" s="2" t="s">
        <v>801</v>
      </c>
      <c r="D63" s="15">
        <v>84</v>
      </c>
    </row>
    <row r="64" spans="1:4" x14ac:dyDescent="0.2">
      <c r="A64" s="2" t="s">
        <v>802</v>
      </c>
      <c r="B64" s="13">
        <f ca="1">TODAY()-7761</f>
        <v>36875</v>
      </c>
      <c r="C64" s="2" t="s">
        <v>803</v>
      </c>
      <c r="D64" s="15">
        <v>185</v>
      </c>
    </row>
    <row r="65" spans="1:4" x14ac:dyDescent="0.2">
      <c r="A65" s="2" t="s">
        <v>804</v>
      </c>
      <c r="B65" s="13">
        <f ca="1">TODAY()-7938</f>
        <v>36698</v>
      </c>
      <c r="C65" s="2" t="s">
        <v>805</v>
      </c>
      <c r="D65" s="15">
        <v>190</v>
      </c>
    </row>
    <row r="66" spans="1:4" x14ac:dyDescent="0.2">
      <c r="A66" s="2" t="s">
        <v>806</v>
      </c>
      <c r="B66" s="13">
        <f ca="1">TODAY()-7689</f>
        <v>36947</v>
      </c>
      <c r="C66" s="2" t="s">
        <v>807</v>
      </c>
      <c r="D66" s="15">
        <v>108</v>
      </c>
    </row>
    <row r="67" spans="1:4" x14ac:dyDescent="0.2">
      <c r="A67" s="2" t="s">
        <v>808</v>
      </c>
      <c r="B67" s="13">
        <f ca="1">TODAY()-7889</f>
        <v>36747</v>
      </c>
      <c r="C67" s="2" t="s">
        <v>809</v>
      </c>
      <c r="D67" s="15">
        <v>70</v>
      </c>
    </row>
    <row r="68" spans="1:4" x14ac:dyDescent="0.2">
      <c r="A68" s="2" t="s">
        <v>810</v>
      </c>
      <c r="B68" s="13">
        <f ca="1">TODAY()-7484</f>
        <v>37152</v>
      </c>
      <c r="C68" s="2" t="s">
        <v>811</v>
      </c>
      <c r="D68" s="15">
        <v>86</v>
      </c>
    </row>
    <row r="69" spans="1:4" x14ac:dyDescent="0.2">
      <c r="A69" s="2" t="s">
        <v>812</v>
      </c>
      <c r="B69" s="13">
        <f ca="1">TODAY()-7384</f>
        <v>37252</v>
      </c>
      <c r="C69" s="2" t="s">
        <v>813</v>
      </c>
      <c r="D69" s="15">
        <v>125</v>
      </c>
    </row>
    <row r="70" spans="1:4" x14ac:dyDescent="0.2">
      <c r="A70" s="2" t="s">
        <v>814</v>
      </c>
      <c r="B70" s="13">
        <f ca="1">TODAY()-7764</f>
        <v>36872</v>
      </c>
      <c r="C70" s="2" t="s">
        <v>815</v>
      </c>
      <c r="D70" s="15">
        <v>80</v>
      </c>
    </row>
    <row r="71" spans="1:4" x14ac:dyDescent="0.2">
      <c r="A71" s="2" t="s">
        <v>816</v>
      </c>
      <c r="B71" s="13">
        <f ca="1">TODAY()-7410</f>
        <v>37226</v>
      </c>
      <c r="C71" s="2" t="s">
        <v>817</v>
      </c>
      <c r="D71" s="15">
        <v>125</v>
      </c>
    </row>
    <row r="72" spans="1:4" x14ac:dyDescent="0.2">
      <c r="A72" s="2" t="s">
        <v>818</v>
      </c>
      <c r="B72" s="13">
        <f ca="1">TODAY()-7675</f>
        <v>36961</v>
      </c>
      <c r="C72" s="2" t="s">
        <v>819</v>
      </c>
      <c r="D72" s="15">
        <v>55</v>
      </c>
    </row>
    <row r="73" spans="1:4" x14ac:dyDescent="0.2">
      <c r="A73" s="2" t="s">
        <v>820</v>
      </c>
      <c r="B73" s="13">
        <f ca="1">TODAY()-7949</f>
        <v>36687</v>
      </c>
      <c r="C73" s="2" t="s">
        <v>821</v>
      </c>
      <c r="D73" s="15">
        <v>95</v>
      </c>
    </row>
    <row r="74" spans="1:4" x14ac:dyDescent="0.2">
      <c r="A74" s="2" t="s">
        <v>822</v>
      </c>
      <c r="B74" s="13">
        <f ca="1">TODAY()-7767</f>
        <v>36869</v>
      </c>
      <c r="C74" s="2" t="s">
        <v>823</v>
      </c>
      <c r="D74" s="15">
        <v>66</v>
      </c>
    </row>
    <row r="75" spans="1:4" x14ac:dyDescent="0.2">
      <c r="A75" s="2" t="s">
        <v>824</v>
      </c>
      <c r="B75" s="13">
        <f ca="1">TODAY()-7401</f>
        <v>37235</v>
      </c>
      <c r="C75" s="2" t="s">
        <v>825</v>
      </c>
      <c r="D75" s="15">
        <v>78</v>
      </c>
    </row>
    <row r="76" spans="1:4" x14ac:dyDescent="0.2">
      <c r="A76" s="2" t="s">
        <v>826</v>
      </c>
      <c r="B76" s="13">
        <f ca="1">TODAY()-8042</f>
        <v>36594</v>
      </c>
      <c r="C76" s="2" t="s">
        <v>827</v>
      </c>
      <c r="D76" s="15">
        <v>86</v>
      </c>
    </row>
    <row r="77" spans="1:4" x14ac:dyDescent="0.2">
      <c r="A77" s="2" t="s">
        <v>828</v>
      </c>
      <c r="B77" s="13">
        <f ca="1">TODAY()-7503</f>
        <v>37133</v>
      </c>
      <c r="C77" s="2" t="s">
        <v>829</v>
      </c>
      <c r="D77" s="15">
        <v>50</v>
      </c>
    </row>
    <row r="78" spans="1:4" x14ac:dyDescent="0.2">
      <c r="A78" s="2" t="s">
        <v>830</v>
      </c>
      <c r="B78" s="13">
        <f ca="1">TODAY()-7382</f>
        <v>37254</v>
      </c>
      <c r="C78" s="2" t="s">
        <v>831</v>
      </c>
      <c r="D78" s="15">
        <v>167</v>
      </c>
    </row>
    <row r="79" spans="1:4" x14ac:dyDescent="0.2">
      <c r="A79" s="2" t="s">
        <v>832</v>
      </c>
      <c r="B79" s="13">
        <f ca="1">TODAY()-7568</f>
        <v>37068</v>
      </c>
      <c r="C79" s="2" t="s">
        <v>833</v>
      </c>
      <c r="D79" s="15">
        <v>149</v>
      </c>
    </row>
    <row r="80" spans="1:4" x14ac:dyDescent="0.2">
      <c r="A80" s="2" t="s">
        <v>834</v>
      </c>
      <c r="B80" s="13">
        <f ca="1">TODAY()-8009</f>
        <v>36627</v>
      </c>
      <c r="C80" s="2" t="s">
        <v>835</v>
      </c>
      <c r="D80" s="15">
        <v>71</v>
      </c>
    </row>
    <row r="81" spans="1:4" x14ac:dyDescent="0.2">
      <c r="A81" s="2" t="s">
        <v>836</v>
      </c>
      <c r="B81" s="13">
        <f ca="1">TODAY()-7678</f>
        <v>36958</v>
      </c>
      <c r="C81" s="2" t="s">
        <v>837</v>
      </c>
      <c r="D81" s="15">
        <v>126</v>
      </c>
    </row>
    <row r="82" spans="1:4" x14ac:dyDescent="0.2">
      <c r="A82" s="2" t="s">
        <v>838</v>
      </c>
      <c r="B82" s="13">
        <f ca="1">TODAY()-7377</f>
        <v>37259</v>
      </c>
      <c r="C82" s="2" t="s">
        <v>839</v>
      </c>
      <c r="D82" s="15">
        <v>182</v>
      </c>
    </row>
    <row r="83" spans="1:4" x14ac:dyDescent="0.2">
      <c r="A83" s="2" t="s">
        <v>840</v>
      </c>
      <c r="B83" s="13">
        <f ca="1">TODAY()-7880</f>
        <v>36756</v>
      </c>
      <c r="C83" s="2" t="s">
        <v>841</v>
      </c>
      <c r="D83" s="15">
        <v>188</v>
      </c>
    </row>
    <row r="84" spans="1:4" x14ac:dyDescent="0.2">
      <c r="A84" s="2" t="s">
        <v>838</v>
      </c>
      <c r="B84" s="13">
        <f ca="1">TODAY()-7485</f>
        <v>37151</v>
      </c>
      <c r="C84" s="2" t="s">
        <v>842</v>
      </c>
      <c r="D84" s="15">
        <v>109</v>
      </c>
    </row>
    <row r="85" spans="1:4" x14ac:dyDescent="0.2">
      <c r="A85" s="2" t="s">
        <v>843</v>
      </c>
      <c r="B85" s="13">
        <f ca="1">TODAY()-7977</f>
        <v>36659</v>
      </c>
      <c r="C85" s="2" t="s">
        <v>844</v>
      </c>
      <c r="D85" s="15">
        <v>186</v>
      </c>
    </row>
    <row r="86" spans="1:4" x14ac:dyDescent="0.2">
      <c r="A86" s="2" t="s">
        <v>777</v>
      </c>
      <c r="B86" s="13">
        <f ca="1">TODAY()-7620</f>
        <v>37016</v>
      </c>
      <c r="C86" s="2" t="s">
        <v>845</v>
      </c>
      <c r="D86" s="15">
        <v>53</v>
      </c>
    </row>
    <row r="87" spans="1:4" x14ac:dyDescent="0.2">
      <c r="A87" s="2" t="s">
        <v>846</v>
      </c>
      <c r="B87" s="13">
        <f ca="1">TODAY()-8009</f>
        <v>36627</v>
      </c>
      <c r="C87" s="2" t="s">
        <v>847</v>
      </c>
      <c r="D87" s="15">
        <v>119</v>
      </c>
    </row>
    <row r="88" spans="1:4" x14ac:dyDescent="0.2">
      <c r="A88" s="2" t="s">
        <v>848</v>
      </c>
      <c r="B88" s="13">
        <f ca="1">TODAY()-7521</f>
        <v>37115</v>
      </c>
      <c r="C88" s="2" t="s">
        <v>849</v>
      </c>
      <c r="D88" s="15">
        <v>76</v>
      </c>
    </row>
    <row r="89" spans="1:4" x14ac:dyDescent="0.2">
      <c r="A89" s="2" t="s">
        <v>850</v>
      </c>
      <c r="B89" s="13">
        <f ca="1">TODAY()-7663</f>
        <v>36973</v>
      </c>
      <c r="C89" s="2" t="s">
        <v>851</v>
      </c>
      <c r="D89" s="15">
        <v>89</v>
      </c>
    </row>
    <row r="90" spans="1:4" x14ac:dyDescent="0.2">
      <c r="A90" s="2" t="s">
        <v>852</v>
      </c>
      <c r="B90" s="13">
        <f ca="1">TODAY()-7618</f>
        <v>37018</v>
      </c>
      <c r="C90" s="2" t="s">
        <v>853</v>
      </c>
      <c r="D90" s="15">
        <v>68</v>
      </c>
    </row>
    <row r="91" spans="1:4" x14ac:dyDescent="0.2">
      <c r="A91" s="2" t="s">
        <v>854</v>
      </c>
      <c r="B91" s="13">
        <f ca="1">TODAY()-7598</f>
        <v>37038</v>
      </c>
      <c r="C91" s="2" t="s">
        <v>855</v>
      </c>
      <c r="D91" s="15">
        <v>192</v>
      </c>
    </row>
    <row r="92" spans="1:4" x14ac:dyDescent="0.2">
      <c r="A92" s="2" t="s">
        <v>856</v>
      </c>
      <c r="B92" s="13">
        <f ca="1">TODAY()-7364</f>
        <v>37272</v>
      </c>
      <c r="C92" s="2" t="s">
        <v>857</v>
      </c>
      <c r="D92" s="15">
        <v>180</v>
      </c>
    </row>
    <row r="93" spans="1:4" x14ac:dyDescent="0.2">
      <c r="A93" s="2" t="s">
        <v>858</v>
      </c>
      <c r="B93" s="13">
        <f ca="1">TODAY()-7711</f>
        <v>36925</v>
      </c>
      <c r="C93" s="2" t="s">
        <v>859</v>
      </c>
      <c r="D93" s="15">
        <v>160</v>
      </c>
    </row>
    <row r="94" spans="1:4" x14ac:dyDescent="0.2">
      <c r="A94" s="2" t="s">
        <v>860</v>
      </c>
      <c r="B94" s="13">
        <f ca="1">TODAY()-7516</f>
        <v>37120</v>
      </c>
      <c r="C94" s="2" t="s">
        <v>861</v>
      </c>
      <c r="D94" s="15">
        <v>165</v>
      </c>
    </row>
    <row r="95" spans="1:4" x14ac:dyDescent="0.2">
      <c r="A95" s="2" t="s">
        <v>862</v>
      </c>
      <c r="B95" s="13">
        <f ca="1">TODAY()-7502</f>
        <v>37134</v>
      </c>
      <c r="C95" s="2" t="s">
        <v>863</v>
      </c>
      <c r="D95" s="15">
        <v>106</v>
      </c>
    </row>
    <row r="96" spans="1:4" x14ac:dyDescent="0.2">
      <c r="A96" s="2" t="s">
        <v>864</v>
      </c>
      <c r="B96" s="13">
        <f ca="1">TODAY()-7409</f>
        <v>37227</v>
      </c>
      <c r="C96" s="2" t="s">
        <v>865</v>
      </c>
      <c r="D96" s="15">
        <v>58</v>
      </c>
    </row>
    <row r="97" spans="1:4" x14ac:dyDescent="0.2">
      <c r="A97" s="2" t="s">
        <v>866</v>
      </c>
      <c r="B97" s="13">
        <f ca="1">TODAY()-7480</f>
        <v>37156</v>
      </c>
      <c r="C97" s="2" t="s">
        <v>867</v>
      </c>
      <c r="D97" s="15">
        <v>136</v>
      </c>
    </row>
    <row r="98" spans="1:4" x14ac:dyDescent="0.2">
      <c r="A98" s="2" t="s">
        <v>868</v>
      </c>
      <c r="B98" s="13">
        <f ca="1">TODAY()-7922</f>
        <v>36714</v>
      </c>
      <c r="C98" s="2" t="s">
        <v>869</v>
      </c>
      <c r="D98" s="15">
        <v>50</v>
      </c>
    </row>
    <row r="99" spans="1:4" x14ac:dyDescent="0.2">
      <c r="A99" s="2" t="s">
        <v>870</v>
      </c>
      <c r="B99" s="13">
        <f ca="1">TODAY()-7946</f>
        <v>36690</v>
      </c>
      <c r="C99" s="2" t="s">
        <v>871</v>
      </c>
      <c r="D99" s="15">
        <v>150</v>
      </c>
    </row>
    <row r="100" spans="1:4" x14ac:dyDescent="0.2">
      <c r="A100" s="2" t="s">
        <v>830</v>
      </c>
      <c r="B100" s="13">
        <f ca="1">TODAY()-7719</f>
        <v>36917</v>
      </c>
      <c r="C100" s="2" t="s">
        <v>872</v>
      </c>
      <c r="D100" s="15">
        <v>177</v>
      </c>
    </row>
    <row r="101" spans="1:4" x14ac:dyDescent="0.2">
      <c r="A101" s="2" t="s">
        <v>873</v>
      </c>
      <c r="B101" s="13">
        <f ca="1">TODAY()-7916</f>
        <v>36720</v>
      </c>
      <c r="C101" s="2" t="s">
        <v>874</v>
      </c>
      <c r="D101" s="15">
        <v>69</v>
      </c>
    </row>
    <row r="102" spans="1:4" x14ac:dyDescent="0.2">
      <c r="A102" s="2" t="s">
        <v>875</v>
      </c>
      <c r="B102" s="13">
        <f ca="1">TODAY()-7713</f>
        <v>36923</v>
      </c>
      <c r="C102" s="2" t="s">
        <v>876</v>
      </c>
      <c r="D102" s="15">
        <v>122</v>
      </c>
    </row>
    <row r="103" spans="1:4" x14ac:dyDescent="0.2">
      <c r="A103" s="2" t="s">
        <v>877</v>
      </c>
      <c r="B103" s="13">
        <f ca="1">TODAY()-7546</f>
        <v>37090</v>
      </c>
      <c r="C103" s="2" t="s">
        <v>878</v>
      </c>
      <c r="D103" s="15">
        <v>166</v>
      </c>
    </row>
    <row r="104" spans="1:4" x14ac:dyDescent="0.2">
      <c r="A104" s="2" t="s">
        <v>879</v>
      </c>
      <c r="B104" s="13">
        <f ca="1">TODAY()-7553</f>
        <v>37083</v>
      </c>
      <c r="C104" s="2" t="s">
        <v>880</v>
      </c>
      <c r="D104" s="15">
        <v>55</v>
      </c>
    </row>
    <row r="105" spans="1:4" x14ac:dyDescent="0.2">
      <c r="A105" s="2" t="s">
        <v>767</v>
      </c>
      <c r="B105" s="13">
        <f ca="1">TODAY()-7820</f>
        <v>36816</v>
      </c>
      <c r="C105" s="2" t="s">
        <v>881</v>
      </c>
      <c r="D105" s="15">
        <v>125</v>
      </c>
    </row>
    <row r="106" spans="1:4" x14ac:dyDescent="0.2">
      <c r="A106" s="2" t="s">
        <v>882</v>
      </c>
      <c r="B106" s="13">
        <f ca="1">TODAY()-7936</f>
        <v>36700</v>
      </c>
      <c r="C106" s="2" t="s">
        <v>883</v>
      </c>
      <c r="D106" s="15">
        <v>71</v>
      </c>
    </row>
    <row r="107" spans="1:4" x14ac:dyDescent="0.2">
      <c r="A107" s="2" t="s">
        <v>884</v>
      </c>
      <c r="B107" s="13">
        <f ca="1">TODAY()-7676</f>
        <v>36960</v>
      </c>
      <c r="C107" s="2" t="s">
        <v>885</v>
      </c>
      <c r="D107" s="15">
        <v>156</v>
      </c>
    </row>
    <row r="108" spans="1:4" x14ac:dyDescent="0.2">
      <c r="A108" s="2" t="s">
        <v>886</v>
      </c>
      <c r="B108" s="13">
        <f ca="1">TODAY()-7472</f>
        <v>37164</v>
      </c>
      <c r="C108" s="2" t="s">
        <v>887</v>
      </c>
      <c r="D108" s="15">
        <v>188</v>
      </c>
    </row>
    <row r="109" spans="1:4" x14ac:dyDescent="0.2">
      <c r="A109" s="2" t="s">
        <v>888</v>
      </c>
      <c r="B109" s="13">
        <f ca="1">TODAY()-7578</f>
        <v>37058</v>
      </c>
      <c r="C109" s="2" t="s">
        <v>889</v>
      </c>
      <c r="D109" s="15">
        <v>154</v>
      </c>
    </row>
    <row r="110" spans="1:4" x14ac:dyDescent="0.2">
      <c r="A110" s="2" t="s">
        <v>890</v>
      </c>
      <c r="B110" s="13">
        <f ca="1">TODAY()-7429</f>
        <v>37207</v>
      </c>
      <c r="C110" s="2" t="s">
        <v>891</v>
      </c>
      <c r="D110" s="15">
        <v>50</v>
      </c>
    </row>
    <row r="111" spans="1:4" x14ac:dyDescent="0.2">
      <c r="A111" s="2" t="s">
        <v>892</v>
      </c>
      <c r="B111" s="13">
        <f ca="1">TODAY()-7568</f>
        <v>37068</v>
      </c>
      <c r="C111" s="2" t="s">
        <v>893</v>
      </c>
      <c r="D111" s="15">
        <v>130</v>
      </c>
    </row>
    <row r="112" spans="1:4" x14ac:dyDescent="0.2">
      <c r="A112" s="2" t="s">
        <v>894</v>
      </c>
      <c r="B112" s="13">
        <f ca="1">TODAY()-7702</f>
        <v>36934</v>
      </c>
      <c r="C112" s="2" t="s">
        <v>895</v>
      </c>
      <c r="D112" s="15">
        <v>189</v>
      </c>
    </row>
    <row r="113" spans="1:4" x14ac:dyDescent="0.2">
      <c r="A113" s="2" t="s">
        <v>896</v>
      </c>
      <c r="B113" s="13">
        <f ca="1">TODAY()-7688</f>
        <v>36948</v>
      </c>
      <c r="C113" s="2" t="s">
        <v>897</v>
      </c>
      <c r="D113" s="15">
        <v>171</v>
      </c>
    </row>
    <row r="114" spans="1:4" x14ac:dyDescent="0.2">
      <c r="A114" s="2" t="s">
        <v>898</v>
      </c>
      <c r="B114" s="13">
        <f ca="1">TODAY()-7739</f>
        <v>36897</v>
      </c>
      <c r="C114" s="2" t="s">
        <v>899</v>
      </c>
      <c r="D114" s="15">
        <v>106</v>
      </c>
    </row>
    <row r="115" spans="1:4" x14ac:dyDescent="0.2">
      <c r="A115" s="2" t="s">
        <v>900</v>
      </c>
      <c r="B115" s="13">
        <f ca="1">TODAY()-7627</f>
        <v>37009</v>
      </c>
      <c r="C115" s="2" t="s">
        <v>901</v>
      </c>
      <c r="D115" s="15">
        <v>167</v>
      </c>
    </row>
    <row r="116" spans="1:4" x14ac:dyDescent="0.2">
      <c r="A116" s="2" t="s">
        <v>902</v>
      </c>
      <c r="B116" s="13">
        <f ca="1">TODAY()-7989</f>
        <v>36647</v>
      </c>
      <c r="C116" s="2" t="s">
        <v>903</v>
      </c>
      <c r="D116" s="15">
        <v>182</v>
      </c>
    </row>
    <row r="117" spans="1:4" x14ac:dyDescent="0.2">
      <c r="A117" s="2" t="s">
        <v>904</v>
      </c>
      <c r="B117" s="13">
        <f ca="1">TODAY()-7884</f>
        <v>36752</v>
      </c>
      <c r="C117" s="2" t="s">
        <v>905</v>
      </c>
      <c r="D117" s="15">
        <v>145</v>
      </c>
    </row>
    <row r="118" spans="1:4" x14ac:dyDescent="0.2">
      <c r="A118" s="2" t="s">
        <v>788</v>
      </c>
      <c r="B118" s="13">
        <f ca="1">TODAY()-7526</f>
        <v>37110</v>
      </c>
      <c r="C118" s="2" t="s">
        <v>906</v>
      </c>
      <c r="D118" s="15">
        <v>82</v>
      </c>
    </row>
    <row r="119" spans="1:4" x14ac:dyDescent="0.2">
      <c r="A119" s="2" t="s">
        <v>907</v>
      </c>
      <c r="B119" s="13">
        <f ca="1">TODAY()-7604</f>
        <v>37032</v>
      </c>
      <c r="C119" s="2" t="s">
        <v>908</v>
      </c>
      <c r="D119" s="15">
        <v>84</v>
      </c>
    </row>
    <row r="120" spans="1:4" x14ac:dyDescent="0.2">
      <c r="A120" s="2" t="s">
        <v>909</v>
      </c>
      <c r="B120" s="13">
        <f ca="1">TODAY()-7914</f>
        <v>36722</v>
      </c>
      <c r="C120" s="2" t="s">
        <v>910</v>
      </c>
      <c r="D120" s="15">
        <v>88</v>
      </c>
    </row>
    <row r="121" spans="1:4" x14ac:dyDescent="0.2">
      <c r="A121" s="2" t="s">
        <v>911</v>
      </c>
      <c r="B121" s="13">
        <f ca="1">TODAY()-7704</f>
        <v>36932</v>
      </c>
      <c r="C121" s="2" t="s">
        <v>912</v>
      </c>
      <c r="D121" s="15">
        <v>66</v>
      </c>
    </row>
    <row r="122" spans="1:4" x14ac:dyDescent="0.2">
      <c r="A122" s="2" t="s">
        <v>913</v>
      </c>
      <c r="B122" s="13">
        <f ca="1">TODAY()-7410</f>
        <v>37226</v>
      </c>
      <c r="C122" s="2" t="s">
        <v>914</v>
      </c>
      <c r="D122" s="15">
        <v>162</v>
      </c>
    </row>
    <row r="123" spans="1:4" x14ac:dyDescent="0.2">
      <c r="A123" s="2" t="s">
        <v>915</v>
      </c>
      <c r="B123" s="13">
        <f ca="1">TODAY()-7965</f>
        <v>36671</v>
      </c>
      <c r="C123" s="2" t="s">
        <v>916</v>
      </c>
      <c r="D123" s="15">
        <v>179</v>
      </c>
    </row>
    <row r="124" spans="1:4" x14ac:dyDescent="0.2">
      <c r="A124" s="2" t="s">
        <v>917</v>
      </c>
      <c r="B124" s="13">
        <f ca="1">TODAY()-7773</f>
        <v>36863</v>
      </c>
      <c r="C124" s="2" t="s">
        <v>918</v>
      </c>
      <c r="D124" s="15">
        <v>62</v>
      </c>
    </row>
    <row r="125" spans="1:4" x14ac:dyDescent="0.2">
      <c r="A125" s="2" t="s">
        <v>919</v>
      </c>
      <c r="B125" s="13">
        <f ca="1">TODAY()-8072</f>
        <v>36564</v>
      </c>
      <c r="C125" s="2" t="s">
        <v>920</v>
      </c>
      <c r="D125" s="15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6838-0FC3-44A6-923D-395A5CCE75D1}">
  <dimension ref="A1:F125"/>
  <sheetViews>
    <sheetView tabSelected="1" topLeftCell="A119" workbookViewId="0">
      <selection activeCell="E124" sqref="E124"/>
    </sheetView>
  </sheetViews>
  <sheetFormatPr defaultRowHeight="12" x14ac:dyDescent="0.2"/>
  <cols>
    <col min="2" max="2" width="20.33203125" bestFit="1" customWidth="1"/>
    <col min="3" max="4" width="12.83203125" customWidth="1"/>
  </cols>
  <sheetData>
    <row r="1" spans="1:6" x14ac:dyDescent="0.2">
      <c r="A1" s="1" t="s">
        <v>0</v>
      </c>
      <c r="B1" s="1" t="s">
        <v>932</v>
      </c>
      <c r="C1" s="1" t="s">
        <v>934</v>
      </c>
      <c r="D1" s="1" t="s">
        <v>933</v>
      </c>
    </row>
    <row r="2" spans="1:6" x14ac:dyDescent="0.2">
      <c r="A2" s="2" t="s">
        <v>935</v>
      </c>
      <c r="B2" s="2" t="s">
        <v>680</v>
      </c>
      <c r="C2" s="16">
        <v>891000</v>
      </c>
      <c r="D2" s="13">
        <f ca="1">TODAY()-151</f>
        <v>44485</v>
      </c>
    </row>
    <row r="3" spans="1:6" x14ac:dyDescent="0.2">
      <c r="A3" s="2" t="s">
        <v>936</v>
      </c>
      <c r="B3" s="2" t="s">
        <v>682</v>
      </c>
      <c r="C3" s="16">
        <v>966000</v>
      </c>
      <c r="D3" s="13">
        <f ca="1">TODAY()+67</f>
        <v>44703</v>
      </c>
    </row>
    <row r="4" spans="1:6" x14ac:dyDescent="0.2">
      <c r="A4" s="2" t="s">
        <v>937</v>
      </c>
      <c r="B4" s="2" t="s">
        <v>684</v>
      </c>
      <c r="C4" s="16">
        <v>394000</v>
      </c>
      <c r="D4" s="13">
        <f ca="1">TODAY()-192</f>
        <v>44444</v>
      </c>
      <c r="F4" s="3" t="s">
        <v>1123</v>
      </c>
    </row>
    <row r="5" spans="1:6" x14ac:dyDescent="0.2">
      <c r="A5" s="2" t="s">
        <v>938</v>
      </c>
      <c r="B5" s="2" t="s">
        <v>686</v>
      </c>
      <c r="C5" s="16">
        <v>155000</v>
      </c>
      <c r="D5" s="13">
        <f ca="1">TODAY()+133</f>
        <v>44769</v>
      </c>
      <c r="F5" s="3" t="s">
        <v>1060</v>
      </c>
    </row>
    <row r="6" spans="1:6" x14ac:dyDescent="0.2">
      <c r="A6" s="2" t="s">
        <v>939</v>
      </c>
      <c r="B6" s="2" t="s">
        <v>688</v>
      </c>
      <c r="C6" s="16">
        <v>462000</v>
      </c>
      <c r="D6" s="13">
        <f ca="1">TODAY()+189</f>
        <v>44825</v>
      </c>
      <c r="F6" s="3" t="s">
        <v>1061</v>
      </c>
    </row>
    <row r="7" spans="1:6" x14ac:dyDescent="0.2">
      <c r="A7" s="2" t="s">
        <v>940</v>
      </c>
      <c r="B7" s="2" t="s">
        <v>690</v>
      </c>
      <c r="C7" s="16">
        <v>291000</v>
      </c>
      <c r="D7" s="13">
        <f ca="1">TODAY()-168</f>
        <v>44468</v>
      </c>
    </row>
    <row r="8" spans="1:6" x14ac:dyDescent="0.2">
      <c r="A8" s="2" t="s">
        <v>941</v>
      </c>
      <c r="B8" s="2" t="s">
        <v>692</v>
      </c>
      <c r="C8" s="16">
        <v>249000</v>
      </c>
      <c r="D8" s="13">
        <f ca="1">TODAY()-132</f>
        <v>44504</v>
      </c>
    </row>
    <row r="9" spans="1:6" x14ac:dyDescent="0.2">
      <c r="A9" s="2" t="s">
        <v>942</v>
      </c>
      <c r="B9" s="2" t="s">
        <v>694</v>
      </c>
      <c r="C9" s="16">
        <v>544000</v>
      </c>
      <c r="D9" s="13">
        <f ca="1">TODAY()-151</f>
        <v>44485</v>
      </c>
      <c r="F9" s="3" t="s">
        <v>1059</v>
      </c>
    </row>
    <row r="10" spans="1:6" x14ac:dyDescent="0.2">
      <c r="A10" s="2" t="s">
        <v>943</v>
      </c>
      <c r="B10" s="2" t="s">
        <v>696</v>
      </c>
      <c r="C10" s="16">
        <v>827000</v>
      </c>
      <c r="D10" s="13">
        <f ca="1">TODAY()+113</f>
        <v>44749</v>
      </c>
      <c r="F10" s="3" t="s">
        <v>1062</v>
      </c>
    </row>
    <row r="11" spans="1:6" x14ac:dyDescent="0.2">
      <c r="A11" s="2" t="s">
        <v>944</v>
      </c>
      <c r="B11" s="2" t="s">
        <v>698</v>
      </c>
      <c r="C11" s="16">
        <v>131000</v>
      </c>
      <c r="D11" s="13">
        <f ca="1">TODAY()-306</f>
        <v>44330</v>
      </c>
      <c r="F11" s="3" t="s">
        <v>1063</v>
      </c>
    </row>
    <row r="12" spans="1:6" x14ac:dyDescent="0.2">
      <c r="A12" s="2" t="s">
        <v>945</v>
      </c>
      <c r="B12" s="2" t="s">
        <v>700</v>
      </c>
      <c r="C12" s="16">
        <v>944000</v>
      </c>
      <c r="D12" s="13">
        <f ca="1">TODAY()+63</f>
        <v>44699</v>
      </c>
    </row>
    <row r="13" spans="1:6" x14ac:dyDescent="0.2">
      <c r="A13" s="2" t="s">
        <v>946</v>
      </c>
      <c r="B13" s="2" t="s">
        <v>702</v>
      </c>
      <c r="C13" s="16">
        <v>426000</v>
      </c>
      <c r="D13" s="13">
        <f ca="1">TODAY()-175</f>
        <v>44461</v>
      </c>
    </row>
    <row r="14" spans="1:6" x14ac:dyDescent="0.2">
      <c r="A14" s="2" t="s">
        <v>947</v>
      </c>
      <c r="B14" s="2" t="s">
        <v>704</v>
      </c>
      <c r="C14" s="16">
        <v>514000</v>
      </c>
      <c r="D14" s="13">
        <f ca="1">TODAY()+16</f>
        <v>44652</v>
      </c>
    </row>
    <row r="15" spans="1:6" x14ac:dyDescent="0.2">
      <c r="A15" s="2" t="s">
        <v>948</v>
      </c>
      <c r="B15" s="2" t="s">
        <v>706</v>
      </c>
      <c r="C15" s="16">
        <v>621000</v>
      </c>
      <c r="D15" s="13">
        <f ca="1">TODAY()-202</f>
        <v>44434</v>
      </c>
    </row>
    <row r="16" spans="1:6" x14ac:dyDescent="0.2">
      <c r="A16" s="2" t="s">
        <v>949</v>
      </c>
      <c r="B16" s="2" t="s">
        <v>708</v>
      </c>
      <c r="C16" s="16">
        <v>392000</v>
      </c>
      <c r="D16" s="13">
        <f ca="1">TODAY()-206</f>
        <v>44430</v>
      </c>
    </row>
    <row r="17" spans="1:4" x14ac:dyDescent="0.2">
      <c r="A17" s="2" t="s">
        <v>950</v>
      </c>
      <c r="B17" s="2" t="s">
        <v>710</v>
      </c>
      <c r="C17" s="16">
        <v>274000</v>
      </c>
      <c r="D17" s="13">
        <f ca="1">TODAY()-357</f>
        <v>44279</v>
      </c>
    </row>
    <row r="18" spans="1:4" x14ac:dyDescent="0.2">
      <c r="A18" s="2" t="s">
        <v>951</v>
      </c>
      <c r="B18" s="2" t="s">
        <v>712</v>
      </c>
      <c r="C18" s="16">
        <v>418000</v>
      </c>
      <c r="D18" s="13">
        <f ca="1">TODAY()+288</f>
        <v>44924</v>
      </c>
    </row>
    <row r="19" spans="1:4" x14ac:dyDescent="0.2">
      <c r="A19" s="2" t="s">
        <v>952</v>
      </c>
      <c r="B19" s="2" t="s">
        <v>714</v>
      </c>
      <c r="C19" s="16">
        <v>742000</v>
      </c>
      <c r="D19" s="13">
        <f ca="1">TODAY()-170</f>
        <v>44466</v>
      </c>
    </row>
    <row r="20" spans="1:4" x14ac:dyDescent="0.2">
      <c r="A20" s="2" t="s">
        <v>953</v>
      </c>
      <c r="B20" s="2" t="s">
        <v>716</v>
      </c>
      <c r="C20" s="16">
        <v>762000</v>
      </c>
      <c r="D20" s="13">
        <f ca="1">TODAY()+210</f>
        <v>44846</v>
      </c>
    </row>
    <row r="21" spans="1:4" x14ac:dyDescent="0.2">
      <c r="A21" s="2" t="s">
        <v>954</v>
      </c>
      <c r="B21" s="2" t="s">
        <v>718</v>
      </c>
      <c r="C21" s="16">
        <v>375000</v>
      </c>
      <c r="D21" s="13">
        <f ca="1">TODAY()-158</f>
        <v>44478</v>
      </c>
    </row>
    <row r="22" spans="1:4" x14ac:dyDescent="0.2">
      <c r="A22" s="2" t="s">
        <v>955</v>
      </c>
      <c r="B22" s="2" t="s">
        <v>720</v>
      </c>
      <c r="C22" s="16">
        <v>506000</v>
      </c>
      <c r="D22" s="13">
        <f ca="1">TODAY()-132</f>
        <v>44504</v>
      </c>
    </row>
    <row r="23" spans="1:4" x14ac:dyDescent="0.2">
      <c r="A23" s="2" t="s">
        <v>956</v>
      </c>
      <c r="B23" s="2" t="s">
        <v>722</v>
      </c>
      <c r="C23" s="16">
        <v>960000</v>
      </c>
      <c r="D23" s="13">
        <f ca="1">TODAY()+49</f>
        <v>44685</v>
      </c>
    </row>
    <row r="24" spans="1:4" x14ac:dyDescent="0.2">
      <c r="A24" s="2" t="s">
        <v>957</v>
      </c>
      <c r="B24" s="2" t="s">
        <v>692</v>
      </c>
      <c r="C24" s="16">
        <v>510000</v>
      </c>
      <c r="D24" s="13">
        <f ca="1">TODAY()-157</f>
        <v>44479</v>
      </c>
    </row>
    <row r="25" spans="1:4" x14ac:dyDescent="0.2">
      <c r="A25" s="2" t="s">
        <v>958</v>
      </c>
      <c r="B25" s="2" t="s">
        <v>725</v>
      </c>
      <c r="C25" s="16">
        <v>301000</v>
      </c>
      <c r="D25" s="13">
        <f ca="1">TODAY()-37</f>
        <v>44599</v>
      </c>
    </row>
    <row r="26" spans="1:4" x14ac:dyDescent="0.2">
      <c r="A26" s="2" t="s">
        <v>959</v>
      </c>
      <c r="B26" s="2" t="s">
        <v>727</v>
      </c>
      <c r="C26" s="16">
        <v>311000</v>
      </c>
      <c r="D26" s="13">
        <f ca="1">TODAY()+91</f>
        <v>44727</v>
      </c>
    </row>
    <row r="27" spans="1:4" x14ac:dyDescent="0.2">
      <c r="A27" s="2" t="s">
        <v>960</v>
      </c>
      <c r="B27" s="2" t="s">
        <v>729</v>
      </c>
      <c r="C27" s="16">
        <v>367000</v>
      </c>
      <c r="D27" s="13">
        <f ca="1">TODAY()+124</f>
        <v>44760</v>
      </c>
    </row>
    <row r="28" spans="1:4" x14ac:dyDescent="0.2">
      <c r="A28" s="2" t="s">
        <v>961</v>
      </c>
      <c r="B28" s="2" t="s">
        <v>731</v>
      </c>
      <c r="C28" s="16">
        <v>473000</v>
      </c>
      <c r="D28" s="13">
        <f ca="1">TODAY()-342</f>
        <v>44294</v>
      </c>
    </row>
    <row r="29" spans="1:4" x14ac:dyDescent="0.2">
      <c r="A29" s="2" t="s">
        <v>962</v>
      </c>
      <c r="B29" s="2" t="s">
        <v>733</v>
      </c>
      <c r="C29" s="16">
        <v>474000</v>
      </c>
      <c r="D29" s="13">
        <f ca="1">TODAY()+204</f>
        <v>44840</v>
      </c>
    </row>
    <row r="30" spans="1:4" x14ac:dyDescent="0.2">
      <c r="A30" s="2" t="s">
        <v>963</v>
      </c>
      <c r="B30" s="2" t="s">
        <v>735</v>
      </c>
      <c r="C30" s="16">
        <v>659000</v>
      </c>
      <c r="D30" s="13">
        <f ca="1">TODAY()+178</f>
        <v>44814</v>
      </c>
    </row>
    <row r="31" spans="1:4" x14ac:dyDescent="0.2">
      <c r="A31" s="2" t="s">
        <v>964</v>
      </c>
      <c r="B31" s="2" t="s">
        <v>737</v>
      </c>
      <c r="C31" s="16">
        <v>361000</v>
      </c>
      <c r="D31" s="13">
        <f ca="1">TODAY()+132</f>
        <v>44768</v>
      </c>
    </row>
    <row r="32" spans="1:4" x14ac:dyDescent="0.2">
      <c r="A32" s="2" t="s">
        <v>965</v>
      </c>
      <c r="B32" s="2" t="s">
        <v>739</v>
      </c>
      <c r="C32" s="16">
        <v>179000</v>
      </c>
      <c r="D32" s="13">
        <f ca="1">TODAY()-319</f>
        <v>44317</v>
      </c>
    </row>
    <row r="33" spans="1:4" x14ac:dyDescent="0.2">
      <c r="A33" s="2" t="s">
        <v>966</v>
      </c>
      <c r="B33" s="2" t="s">
        <v>741</v>
      </c>
      <c r="C33" s="16">
        <v>423000</v>
      </c>
      <c r="D33" s="13">
        <f ca="1">TODAY()+143</f>
        <v>44779</v>
      </c>
    </row>
    <row r="34" spans="1:4" x14ac:dyDescent="0.2">
      <c r="A34" s="2" t="s">
        <v>967</v>
      </c>
      <c r="B34" s="2" t="s">
        <v>743</v>
      </c>
      <c r="C34" s="16">
        <v>466000</v>
      </c>
      <c r="D34" s="13">
        <f ca="1">TODAY()-11</f>
        <v>44625</v>
      </c>
    </row>
    <row r="35" spans="1:4" x14ac:dyDescent="0.2">
      <c r="A35" s="2" t="s">
        <v>968</v>
      </c>
      <c r="B35" s="2" t="s">
        <v>745</v>
      </c>
      <c r="C35" s="16">
        <v>549000</v>
      </c>
      <c r="D35" s="13">
        <f ca="1">TODAY()+84</f>
        <v>44720</v>
      </c>
    </row>
    <row r="36" spans="1:4" x14ac:dyDescent="0.2">
      <c r="A36" s="2" t="s">
        <v>969</v>
      </c>
      <c r="B36" s="2" t="s">
        <v>747</v>
      </c>
      <c r="C36" s="16">
        <v>452000</v>
      </c>
      <c r="D36" s="13">
        <f ca="1">TODAY()+385</f>
        <v>45021</v>
      </c>
    </row>
    <row r="37" spans="1:4" x14ac:dyDescent="0.2">
      <c r="A37" s="2" t="s">
        <v>970</v>
      </c>
      <c r="B37" s="2" t="s">
        <v>749</v>
      </c>
      <c r="C37" s="16">
        <v>870000</v>
      </c>
      <c r="D37" s="13">
        <f ca="1">TODAY()+249</f>
        <v>44885</v>
      </c>
    </row>
    <row r="38" spans="1:4" x14ac:dyDescent="0.2">
      <c r="A38" s="2" t="s">
        <v>971</v>
      </c>
      <c r="B38" s="2" t="s">
        <v>751</v>
      </c>
      <c r="C38" s="16">
        <v>166000</v>
      </c>
      <c r="D38" s="13">
        <f ca="1">TODAY()-23</f>
        <v>44613</v>
      </c>
    </row>
    <row r="39" spans="1:4" x14ac:dyDescent="0.2">
      <c r="A39" s="2" t="s">
        <v>972</v>
      </c>
      <c r="B39" s="2" t="s">
        <v>753</v>
      </c>
      <c r="C39" s="16">
        <v>438000</v>
      </c>
      <c r="D39" s="13">
        <f ca="1">TODAY()-188</f>
        <v>44448</v>
      </c>
    </row>
    <row r="40" spans="1:4" x14ac:dyDescent="0.2">
      <c r="A40" s="2" t="s">
        <v>973</v>
      </c>
      <c r="B40" s="2" t="s">
        <v>755</v>
      </c>
      <c r="C40" s="16">
        <v>268000</v>
      </c>
      <c r="D40" s="13">
        <f ca="1">TODAY()-241</f>
        <v>44395</v>
      </c>
    </row>
    <row r="41" spans="1:4" x14ac:dyDescent="0.2">
      <c r="A41" s="2" t="s">
        <v>974</v>
      </c>
      <c r="B41" s="2" t="s">
        <v>757</v>
      </c>
      <c r="C41" s="16">
        <v>927000</v>
      </c>
      <c r="D41" s="13">
        <f ca="1">TODAY()+398</f>
        <v>45034</v>
      </c>
    </row>
    <row r="42" spans="1:4" x14ac:dyDescent="0.2">
      <c r="A42" s="2" t="s">
        <v>975</v>
      </c>
      <c r="B42" s="2" t="s">
        <v>759</v>
      </c>
      <c r="C42" s="16">
        <v>721000</v>
      </c>
      <c r="D42" s="13">
        <f ca="1">TODAY()-334</f>
        <v>44302</v>
      </c>
    </row>
    <row r="43" spans="1:4" x14ac:dyDescent="0.2">
      <c r="A43" s="2" t="s">
        <v>976</v>
      </c>
      <c r="B43" s="2" t="s">
        <v>761</v>
      </c>
      <c r="C43" s="16">
        <v>269000</v>
      </c>
      <c r="D43" s="13">
        <f ca="1">TODAY()+14</f>
        <v>44650</v>
      </c>
    </row>
    <row r="44" spans="1:4" x14ac:dyDescent="0.2">
      <c r="A44" s="2" t="s">
        <v>977</v>
      </c>
      <c r="B44" s="2" t="s">
        <v>763</v>
      </c>
      <c r="C44" s="16">
        <v>434000</v>
      </c>
      <c r="D44" s="13">
        <f ca="1">TODAY()+214</f>
        <v>44850</v>
      </c>
    </row>
    <row r="45" spans="1:4" x14ac:dyDescent="0.2">
      <c r="A45" s="2" t="s">
        <v>978</v>
      </c>
      <c r="B45" s="2" t="s">
        <v>765</v>
      </c>
      <c r="C45" s="16">
        <v>552000</v>
      </c>
      <c r="D45" s="13">
        <f ca="1">TODAY()+234</f>
        <v>44870</v>
      </c>
    </row>
    <row r="46" spans="1:4" x14ac:dyDescent="0.2">
      <c r="A46" s="2" t="s">
        <v>979</v>
      </c>
      <c r="B46" s="2" t="s">
        <v>767</v>
      </c>
      <c r="C46" s="16">
        <v>785000</v>
      </c>
      <c r="D46" s="13">
        <f ca="1">TODAY()+385</f>
        <v>45021</v>
      </c>
    </row>
    <row r="47" spans="1:4" x14ac:dyDescent="0.2">
      <c r="A47" s="2" t="s">
        <v>980</v>
      </c>
      <c r="B47" s="2" t="s">
        <v>769</v>
      </c>
      <c r="C47" s="16">
        <v>656000</v>
      </c>
      <c r="D47" s="13">
        <f ca="1">TODAY()-182</f>
        <v>44454</v>
      </c>
    </row>
    <row r="48" spans="1:4" x14ac:dyDescent="0.2">
      <c r="A48" s="2" t="s">
        <v>981</v>
      </c>
      <c r="B48" s="2" t="s">
        <v>771</v>
      </c>
      <c r="C48" s="16">
        <v>794000</v>
      </c>
      <c r="D48" s="13">
        <f ca="1">TODAY()+247</f>
        <v>44883</v>
      </c>
    </row>
    <row r="49" spans="1:4" x14ac:dyDescent="0.2">
      <c r="A49" s="2" t="s">
        <v>982</v>
      </c>
      <c r="B49" s="2" t="s">
        <v>773</v>
      </c>
      <c r="C49" s="16">
        <v>138000</v>
      </c>
      <c r="D49" s="13">
        <f ca="1">TODAY()+48</f>
        <v>44684</v>
      </c>
    </row>
    <row r="50" spans="1:4" x14ac:dyDescent="0.2">
      <c r="A50" s="2" t="s">
        <v>983</v>
      </c>
      <c r="B50" s="2" t="s">
        <v>775</v>
      </c>
      <c r="C50" s="16">
        <v>169000</v>
      </c>
      <c r="D50" s="13">
        <f ca="1">TODAY()-199</f>
        <v>44437</v>
      </c>
    </row>
    <row r="51" spans="1:4" x14ac:dyDescent="0.2">
      <c r="A51" s="2" t="s">
        <v>984</v>
      </c>
      <c r="B51" s="2" t="s">
        <v>777</v>
      </c>
      <c r="C51" s="16">
        <v>971000</v>
      </c>
      <c r="D51" s="13">
        <f ca="1">TODAY()+70</f>
        <v>44706</v>
      </c>
    </row>
    <row r="52" spans="1:4" x14ac:dyDescent="0.2">
      <c r="A52" s="2" t="s">
        <v>985</v>
      </c>
      <c r="B52" s="2" t="s">
        <v>779</v>
      </c>
      <c r="C52" s="16">
        <v>412000</v>
      </c>
      <c r="D52" s="13">
        <f ca="1">TODAY()+114</f>
        <v>44750</v>
      </c>
    </row>
    <row r="53" spans="1:4" x14ac:dyDescent="0.2">
      <c r="A53" s="2" t="s">
        <v>986</v>
      </c>
      <c r="B53" s="2" t="s">
        <v>716</v>
      </c>
      <c r="C53" s="16">
        <v>787000</v>
      </c>
      <c r="D53" s="13">
        <f ca="1">TODAY()+36</f>
        <v>44672</v>
      </c>
    </row>
    <row r="54" spans="1:4" x14ac:dyDescent="0.2">
      <c r="A54" s="2" t="s">
        <v>987</v>
      </c>
      <c r="B54" s="2" t="s">
        <v>782</v>
      </c>
      <c r="C54" s="16">
        <v>338000</v>
      </c>
      <c r="D54" s="13">
        <f ca="1">TODAY()-247</f>
        <v>44389</v>
      </c>
    </row>
    <row r="55" spans="1:4" x14ac:dyDescent="0.2">
      <c r="A55" s="2" t="s">
        <v>988</v>
      </c>
      <c r="B55" s="2" t="s">
        <v>784</v>
      </c>
      <c r="C55" s="16">
        <v>113000</v>
      </c>
      <c r="D55" s="13">
        <f ca="1">TODAY()-322</f>
        <v>44314</v>
      </c>
    </row>
    <row r="56" spans="1:4" x14ac:dyDescent="0.2">
      <c r="A56" s="2" t="s">
        <v>989</v>
      </c>
      <c r="B56" s="2" t="s">
        <v>786</v>
      </c>
      <c r="C56" s="16">
        <v>658000</v>
      </c>
      <c r="D56" s="13">
        <f ca="1">TODAY()+330</f>
        <v>44966</v>
      </c>
    </row>
    <row r="57" spans="1:4" x14ac:dyDescent="0.2">
      <c r="A57" s="2" t="s">
        <v>990</v>
      </c>
      <c r="B57" s="2" t="s">
        <v>788</v>
      </c>
      <c r="C57" s="16">
        <v>898000</v>
      </c>
      <c r="D57" s="13">
        <f ca="1">TODAY()+215</f>
        <v>44851</v>
      </c>
    </row>
    <row r="58" spans="1:4" x14ac:dyDescent="0.2">
      <c r="A58" s="2" t="s">
        <v>991</v>
      </c>
      <c r="B58" s="2" t="s">
        <v>790</v>
      </c>
      <c r="C58" s="16">
        <v>834000</v>
      </c>
      <c r="D58" s="13">
        <f ca="1">TODAY()+218</f>
        <v>44854</v>
      </c>
    </row>
    <row r="59" spans="1:4" x14ac:dyDescent="0.2">
      <c r="A59" s="2" t="s">
        <v>992</v>
      </c>
      <c r="B59" s="2" t="s">
        <v>792</v>
      </c>
      <c r="C59" s="16">
        <v>760000</v>
      </c>
      <c r="D59" s="13">
        <f ca="1">TODAY()+80</f>
        <v>44716</v>
      </c>
    </row>
    <row r="60" spans="1:4" x14ac:dyDescent="0.2">
      <c r="A60" s="2" t="s">
        <v>993</v>
      </c>
      <c r="B60" s="2" t="s">
        <v>794</v>
      </c>
      <c r="C60" s="16">
        <v>407000</v>
      </c>
      <c r="D60" s="13">
        <f ca="1">TODAY()-98</f>
        <v>44538</v>
      </c>
    </row>
    <row r="61" spans="1:4" x14ac:dyDescent="0.2">
      <c r="A61" s="2" t="s">
        <v>994</v>
      </c>
      <c r="B61" s="2" t="s">
        <v>796</v>
      </c>
      <c r="C61" s="16">
        <v>585000</v>
      </c>
      <c r="D61" s="13">
        <f ca="1">TODAY()-199</f>
        <v>44437</v>
      </c>
    </row>
    <row r="62" spans="1:4" x14ac:dyDescent="0.2">
      <c r="A62" s="2" t="s">
        <v>995</v>
      </c>
      <c r="B62" s="2" t="s">
        <v>798</v>
      </c>
      <c r="C62" s="16">
        <v>627000</v>
      </c>
      <c r="D62" s="13">
        <f ca="1">TODAY()+96</f>
        <v>44732</v>
      </c>
    </row>
    <row r="63" spans="1:4" x14ac:dyDescent="0.2">
      <c r="A63" s="2" t="s">
        <v>996</v>
      </c>
      <c r="B63" s="2" t="s">
        <v>800</v>
      </c>
      <c r="C63" s="16">
        <v>276000</v>
      </c>
      <c r="D63" s="13">
        <f ca="1">TODAY()-272</f>
        <v>44364</v>
      </c>
    </row>
    <row r="64" spans="1:4" x14ac:dyDescent="0.2">
      <c r="A64" s="2" t="s">
        <v>997</v>
      </c>
      <c r="B64" s="2" t="s">
        <v>802</v>
      </c>
      <c r="C64" s="16">
        <v>691000</v>
      </c>
      <c r="D64" s="13">
        <f ca="1">TODAY()+394</f>
        <v>45030</v>
      </c>
    </row>
    <row r="65" spans="1:4" x14ac:dyDescent="0.2">
      <c r="A65" s="2" t="s">
        <v>998</v>
      </c>
      <c r="B65" s="2" t="s">
        <v>804</v>
      </c>
      <c r="C65" s="16">
        <v>391000</v>
      </c>
      <c r="D65" s="13">
        <f ca="1">TODAY()-267</f>
        <v>44369</v>
      </c>
    </row>
    <row r="66" spans="1:4" x14ac:dyDescent="0.2">
      <c r="A66" s="2" t="s">
        <v>999</v>
      </c>
      <c r="B66" s="2" t="s">
        <v>806</v>
      </c>
      <c r="C66" s="16">
        <v>792000</v>
      </c>
      <c r="D66" s="13">
        <f ca="1">TODAY()-134</f>
        <v>44502</v>
      </c>
    </row>
    <row r="67" spans="1:4" x14ac:dyDescent="0.2">
      <c r="A67" s="2" t="s">
        <v>1000</v>
      </c>
      <c r="B67" s="2" t="s">
        <v>808</v>
      </c>
      <c r="C67" s="16">
        <v>660000</v>
      </c>
      <c r="D67" s="13">
        <f ca="1">TODAY()-319</f>
        <v>44317</v>
      </c>
    </row>
    <row r="68" spans="1:4" x14ac:dyDescent="0.2">
      <c r="A68" s="2" t="s">
        <v>1001</v>
      </c>
      <c r="B68" s="2" t="s">
        <v>810</v>
      </c>
      <c r="C68" s="16">
        <v>893000</v>
      </c>
      <c r="D68" s="13">
        <f ca="1">TODAY()+120</f>
        <v>44756</v>
      </c>
    </row>
    <row r="69" spans="1:4" x14ac:dyDescent="0.2">
      <c r="A69" s="2" t="s">
        <v>1002</v>
      </c>
      <c r="B69" s="2" t="s">
        <v>812</v>
      </c>
      <c r="C69" s="16">
        <v>870000</v>
      </c>
      <c r="D69" s="13">
        <f ca="1">TODAY()-300</f>
        <v>44336</v>
      </c>
    </row>
    <row r="70" spans="1:4" x14ac:dyDescent="0.2">
      <c r="A70" s="2" t="s">
        <v>1003</v>
      </c>
      <c r="B70" s="2" t="s">
        <v>814</v>
      </c>
      <c r="C70" s="16">
        <v>246000</v>
      </c>
      <c r="D70" s="13">
        <f ca="1">TODAY()-93</f>
        <v>44543</v>
      </c>
    </row>
    <row r="71" spans="1:4" x14ac:dyDescent="0.2">
      <c r="A71" s="2" t="s">
        <v>1004</v>
      </c>
      <c r="B71" s="2" t="s">
        <v>816</v>
      </c>
      <c r="C71" s="16">
        <v>829000</v>
      </c>
      <c r="D71" s="13">
        <f ca="1">TODAY()+2</f>
        <v>44638</v>
      </c>
    </row>
    <row r="72" spans="1:4" x14ac:dyDescent="0.2">
      <c r="A72" s="2" t="s">
        <v>1005</v>
      </c>
      <c r="B72" s="2" t="s">
        <v>818</v>
      </c>
      <c r="C72" s="16">
        <v>911000</v>
      </c>
      <c r="D72" s="13">
        <f ca="1">TODAY()-223</f>
        <v>44413</v>
      </c>
    </row>
    <row r="73" spans="1:4" x14ac:dyDescent="0.2">
      <c r="A73" s="2" t="s">
        <v>1006</v>
      </c>
      <c r="B73" s="2" t="s">
        <v>820</v>
      </c>
      <c r="C73" s="16">
        <v>807000</v>
      </c>
      <c r="D73" s="13">
        <f ca="1">TODAY()-304</f>
        <v>44332</v>
      </c>
    </row>
    <row r="74" spans="1:4" x14ac:dyDescent="0.2">
      <c r="A74" s="2" t="s">
        <v>1007</v>
      </c>
      <c r="B74" s="2" t="s">
        <v>822</v>
      </c>
      <c r="C74" s="16">
        <v>340000</v>
      </c>
      <c r="D74" s="13">
        <f ca="1">TODAY()-252</f>
        <v>44384</v>
      </c>
    </row>
    <row r="75" spans="1:4" x14ac:dyDescent="0.2">
      <c r="A75" s="2" t="s">
        <v>1008</v>
      </c>
      <c r="B75" s="2" t="s">
        <v>824</v>
      </c>
      <c r="C75" s="16">
        <v>593000</v>
      </c>
      <c r="D75" s="13">
        <f ca="1">TODAY()-331</f>
        <v>44305</v>
      </c>
    </row>
    <row r="76" spans="1:4" x14ac:dyDescent="0.2">
      <c r="A76" s="2" t="s">
        <v>1009</v>
      </c>
      <c r="B76" s="2" t="s">
        <v>826</v>
      </c>
      <c r="C76" s="16">
        <v>866000</v>
      </c>
      <c r="D76" s="13">
        <f ca="1">TODAY()-399</f>
        <v>44237</v>
      </c>
    </row>
    <row r="77" spans="1:4" x14ac:dyDescent="0.2">
      <c r="A77" s="2" t="s">
        <v>1010</v>
      </c>
      <c r="B77" s="2" t="s">
        <v>828</v>
      </c>
      <c r="C77" s="16">
        <v>271000</v>
      </c>
      <c r="D77" s="13">
        <f ca="1">TODAY()+221</f>
        <v>44857</v>
      </c>
    </row>
    <row r="78" spans="1:4" x14ac:dyDescent="0.2">
      <c r="A78" s="2" t="s">
        <v>1011</v>
      </c>
      <c r="B78" s="2" t="s">
        <v>830</v>
      </c>
      <c r="C78" s="16">
        <v>199000</v>
      </c>
      <c r="D78" s="13">
        <f ca="1">TODAY()-198</f>
        <v>44438</v>
      </c>
    </row>
    <row r="79" spans="1:4" x14ac:dyDescent="0.2">
      <c r="A79" s="2" t="s">
        <v>1012</v>
      </c>
      <c r="B79" s="2" t="s">
        <v>832</v>
      </c>
      <c r="C79" s="16">
        <v>347000</v>
      </c>
      <c r="D79" s="13">
        <f ca="1">TODAY()+231</f>
        <v>44867</v>
      </c>
    </row>
    <row r="80" spans="1:4" x14ac:dyDescent="0.2">
      <c r="A80" s="2" t="s">
        <v>1013</v>
      </c>
      <c r="B80" s="2" t="s">
        <v>834</v>
      </c>
      <c r="C80" s="16">
        <v>458000</v>
      </c>
      <c r="D80" s="13">
        <f ca="1">TODAY()+51</f>
        <v>44687</v>
      </c>
    </row>
    <row r="81" spans="1:4" x14ac:dyDescent="0.2">
      <c r="A81" s="2" t="s">
        <v>1014</v>
      </c>
      <c r="B81" s="2" t="s">
        <v>836</v>
      </c>
      <c r="C81" s="16">
        <v>176000</v>
      </c>
      <c r="D81" s="13">
        <f ca="1">TODAY()-285</f>
        <v>44351</v>
      </c>
    </row>
    <row r="82" spans="1:4" x14ac:dyDescent="0.2">
      <c r="A82" s="2" t="s">
        <v>1015</v>
      </c>
      <c r="B82" s="2" t="s">
        <v>838</v>
      </c>
      <c r="C82" s="16">
        <v>719000</v>
      </c>
      <c r="D82" s="13">
        <f ca="1">TODAY()-400</f>
        <v>44236</v>
      </c>
    </row>
    <row r="83" spans="1:4" x14ac:dyDescent="0.2">
      <c r="A83" s="2" t="s">
        <v>1016</v>
      </c>
      <c r="B83" s="2" t="s">
        <v>840</v>
      </c>
      <c r="C83" s="16">
        <v>279000</v>
      </c>
      <c r="D83" s="13">
        <f ca="1">TODAY()-73</f>
        <v>44563</v>
      </c>
    </row>
    <row r="84" spans="1:4" x14ac:dyDescent="0.2">
      <c r="A84" s="2" t="s">
        <v>1017</v>
      </c>
      <c r="B84" s="2" t="s">
        <v>838</v>
      </c>
      <c r="C84" s="16">
        <v>672000</v>
      </c>
      <c r="D84" s="13">
        <f ca="1">TODAY()+269</f>
        <v>44905</v>
      </c>
    </row>
    <row r="85" spans="1:4" x14ac:dyDescent="0.2">
      <c r="A85" s="2" t="s">
        <v>1018</v>
      </c>
      <c r="B85" s="2" t="s">
        <v>843</v>
      </c>
      <c r="C85" s="16">
        <v>401000</v>
      </c>
      <c r="D85" s="13">
        <f ca="1">TODAY()-263</f>
        <v>44373</v>
      </c>
    </row>
    <row r="86" spans="1:4" x14ac:dyDescent="0.2">
      <c r="A86" s="2" t="s">
        <v>1019</v>
      </c>
      <c r="B86" s="2" t="s">
        <v>777</v>
      </c>
      <c r="C86" s="16">
        <v>264000</v>
      </c>
      <c r="D86" s="13">
        <f ca="1">TODAY()-357</f>
        <v>44279</v>
      </c>
    </row>
    <row r="87" spans="1:4" x14ac:dyDescent="0.2">
      <c r="A87" s="2" t="s">
        <v>1020</v>
      </c>
      <c r="B87" s="2" t="s">
        <v>846</v>
      </c>
      <c r="C87" s="16">
        <v>257000</v>
      </c>
      <c r="D87" s="13">
        <f ca="1">TODAY()+370</f>
        <v>45006</v>
      </c>
    </row>
    <row r="88" spans="1:4" x14ac:dyDescent="0.2">
      <c r="A88" s="2" t="s">
        <v>1021</v>
      </c>
      <c r="B88" s="2" t="s">
        <v>848</v>
      </c>
      <c r="C88" s="16">
        <v>691000</v>
      </c>
      <c r="D88" s="13">
        <f ca="1">TODAY()+180</f>
        <v>44816</v>
      </c>
    </row>
    <row r="89" spans="1:4" x14ac:dyDescent="0.2">
      <c r="A89" s="2" t="s">
        <v>1022</v>
      </c>
      <c r="B89" s="2" t="s">
        <v>850</v>
      </c>
      <c r="C89" s="16">
        <v>826000</v>
      </c>
      <c r="D89" s="13">
        <f ca="1">TODAY()-377</f>
        <v>44259</v>
      </c>
    </row>
    <row r="90" spans="1:4" x14ac:dyDescent="0.2">
      <c r="A90" s="2" t="s">
        <v>1023</v>
      </c>
      <c r="B90" s="2" t="s">
        <v>852</v>
      </c>
      <c r="C90" s="16">
        <v>342000</v>
      </c>
      <c r="D90" s="13">
        <f ca="1">TODAY()+79</f>
        <v>44715</v>
      </c>
    </row>
    <row r="91" spans="1:4" x14ac:dyDescent="0.2">
      <c r="A91" s="2" t="s">
        <v>1024</v>
      </c>
      <c r="B91" s="2" t="s">
        <v>854</v>
      </c>
      <c r="C91" s="16">
        <v>780000</v>
      </c>
      <c r="D91" s="13">
        <f ca="1">TODAY()-8</f>
        <v>44628</v>
      </c>
    </row>
    <row r="92" spans="1:4" x14ac:dyDescent="0.2">
      <c r="A92" s="2" t="s">
        <v>1025</v>
      </c>
      <c r="B92" s="2" t="s">
        <v>856</v>
      </c>
      <c r="C92" s="16">
        <v>816000</v>
      </c>
      <c r="D92" s="13">
        <f ca="1">TODAY()+362</f>
        <v>44998</v>
      </c>
    </row>
    <row r="93" spans="1:4" x14ac:dyDescent="0.2">
      <c r="A93" s="2" t="s">
        <v>1026</v>
      </c>
      <c r="B93" s="2" t="s">
        <v>858</v>
      </c>
      <c r="C93" s="16">
        <v>994000</v>
      </c>
      <c r="D93" s="13">
        <f ca="1">TODAY()+96</f>
        <v>44732</v>
      </c>
    </row>
    <row r="94" spans="1:4" x14ac:dyDescent="0.2">
      <c r="A94" s="2" t="s">
        <v>1027</v>
      </c>
      <c r="B94" s="2" t="s">
        <v>860</v>
      </c>
      <c r="C94" s="16">
        <v>194000</v>
      </c>
      <c r="D94" s="13">
        <f ca="1">TODAY()+320</f>
        <v>44956</v>
      </c>
    </row>
    <row r="95" spans="1:4" x14ac:dyDescent="0.2">
      <c r="A95" s="2" t="s">
        <v>1028</v>
      </c>
      <c r="B95" s="2" t="s">
        <v>862</v>
      </c>
      <c r="C95" s="16">
        <v>609000</v>
      </c>
      <c r="D95" s="13">
        <f ca="1">TODAY()-380</f>
        <v>44256</v>
      </c>
    </row>
    <row r="96" spans="1:4" x14ac:dyDescent="0.2">
      <c r="A96" s="2" t="s">
        <v>1029</v>
      </c>
      <c r="B96" s="2" t="s">
        <v>864</v>
      </c>
      <c r="C96" s="16">
        <v>683000</v>
      </c>
      <c r="D96" s="13">
        <f ca="1">TODAY()-20</f>
        <v>44616</v>
      </c>
    </row>
    <row r="97" spans="1:4" x14ac:dyDescent="0.2">
      <c r="A97" s="2" t="s">
        <v>1030</v>
      </c>
      <c r="B97" s="2" t="s">
        <v>866</v>
      </c>
      <c r="C97" s="16">
        <v>988000</v>
      </c>
      <c r="D97" s="13">
        <f ca="1">TODAY()-278</f>
        <v>44358</v>
      </c>
    </row>
    <row r="98" spans="1:4" x14ac:dyDescent="0.2">
      <c r="A98" s="2" t="s">
        <v>1031</v>
      </c>
      <c r="B98" s="2" t="s">
        <v>868</v>
      </c>
      <c r="C98" s="16">
        <v>440000</v>
      </c>
      <c r="D98" s="13">
        <f ca="1">TODAY()-233</f>
        <v>44403</v>
      </c>
    </row>
    <row r="99" spans="1:4" x14ac:dyDescent="0.2">
      <c r="A99" s="2" t="s">
        <v>1032</v>
      </c>
      <c r="B99" s="2" t="s">
        <v>870</v>
      </c>
      <c r="C99" s="16">
        <v>283000</v>
      </c>
      <c r="D99" s="13">
        <f ca="1">TODAY()-320</f>
        <v>44316</v>
      </c>
    </row>
    <row r="100" spans="1:4" x14ac:dyDescent="0.2">
      <c r="A100" s="2" t="s">
        <v>1033</v>
      </c>
      <c r="B100" s="2" t="s">
        <v>830</v>
      </c>
      <c r="C100" s="16">
        <v>606000</v>
      </c>
      <c r="D100" s="13">
        <f ca="1">TODAY()-347</f>
        <v>44289</v>
      </c>
    </row>
    <row r="101" spans="1:4" x14ac:dyDescent="0.2">
      <c r="A101" s="2" t="s">
        <v>1034</v>
      </c>
      <c r="B101" s="2" t="s">
        <v>873</v>
      </c>
      <c r="C101" s="16">
        <v>102000</v>
      </c>
      <c r="D101" s="13">
        <f ca="1">TODAY()+33</f>
        <v>44669</v>
      </c>
    </row>
    <row r="102" spans="1:4" x14ac:dyDescent="0.2">
      <c r="A102" s="2" t="s">
        <v>1035</v>
      </c>
      <c r="B102" s="2" t="s">
        <v>875</v>
      </c>
      <c r="C102" s="16">
        <v>776000</v>
      </c>
      <c r="D102" s="13">
        <f ca="1">TODAY()+256</f>
        <v>44892</v>
      </c>
    </row>
    <row r="103" spans="1:4" x14ac:dyDescent="0.2">
      <c r="A103" s="2" t="s">
        <v>1036</v>
      </c>
      <c r="B103" s="2" t="s">
        <v>877</v>
      </c>
      <c r="C103" s="16">
        <v>881000</v>
      </c>
      <c r="D103" s="13">
        <f ca="1">TODAY()-157</f>
        <v>44479</v>
      </c>
    </row>
    <row r="104" spans="1:4" x14ac:dyDescent="0.2">
      <c r="A104" s="2" t="s">
        <v>1037</v>
      </c>
      <c r="B104" s="2" t="s">
        <v>879</v>
      </c>
      <c r="C104" s="16">
        <v>441000</v>
      </c>
      <c r="D104" s="13">
        <f ca="1">TODAY()+30</f>
        <v>44666</v>
      </c>
    </row>
    <row r="105" spans="1:4" x14ac:dyDescent="0.2">
      <c r="A105" s="2" t="s">
        <v>1038</v>
      </c>
      <c r="B105" s="2" t="s">
        <v>767</v>
      </c>
      <c r="C105" s="16">
        <v>847000</v>
      </c>
      <c r="D105" s="13">
        <f ca="1">TODAY()-350</f>
        <v>44286</v>
      </c>
    </row>
    <row r="106" spans="1:4" x14ac:dyDescent="0.2">
      <c r="A106" s="2" t="s">
        <v>1039</v>
      </c>
      <c r="B106" s="2" t="s">
        <v>882</v>
      </c>
      <c r="C106" s="16">
        <v>703000</v>
      </c>
      <c r="D106" s="13">
        <f ca="1">TODAY()-3</f>
        <v>44633</v>
      </c>
    </row>
    <row r="107" spans="1:4" x14ac:dyDescent="0.2">
      <c r="A107" s="2" t="s">
        <v>1040</v>
      </c>
      <c r="B107" s="2" t="s">
        <v>884</v>
      </c>
      <c r="C107" s="16">
        <v>698000</v>
      </c>
      <c r="D107" s="13">
        <f ca="1">TODAY()-29</f>
        <v>44607</v>
      </c>
    </row>
    <row r="108" spans="1:4" x14ac:dyDescent="0.2">
      <c r="A108" s="2" t="s">
        <v>1041</v>
      </c>
      <c r="B108" s="2" t="s">
        <v>886</v>
      </c>
      <c r="C108" s="16">
        <v>787000</v>
      </c>
      <c r="D108" s="13">
        <f ca="1">TODAY()+242</f>
        <v>44878</v>
      </c>
    </row>
    <row r="109" spans="1:4" x14ac:dyDescent="0.2">
      <c r="A109" s="2" t="s">
        <v>1042</v>
      </c>
      <c r="B109" s="2" t="s">
        <v>888</v>
      </c>
      <c r="C109" s="16">
        <v>121000</v>
      </c>
      <c r="D109" s="13">
        <f ca="1">TODAY()+93</f>
        <v>44729</v>
      </c>
    </row>
    <row r="110" spans="1:4" x14ac:dyDescent="0.2">
      <c r="A110" s="2" t="s">
        <v>1043</v>
      </c>
      <c r="B110" s="2" t="s">
        <v>890</v>
      </c>
      <c r="C110" s="16">
        <v>196000</v>
      </c>
      <c r="D110" s="13">
        <f ca="1">TODAY()+365</f>
        <v>45001</v>
      </c>
    </row>
    <row r="111" spans="1:4" x14ac:dyDescent="0.2">
      <c r="A111" s="2" t="s">
        <v>1044</v>
      </c>
      <c r="B111" s="2" t="s">
        <v>892</v>
      </c>
      <c r="C111" s="16">
        <v>978000</v>
      </c>
      <c r="D111" s="13">
        <f ca="1">TODAY()+170</f>
        <v>44806</v>
      </c>
    </row>
    <row r="112" spans="1:4" x14ac:dyDescent="0.2">
      <c r="A112" s="2" t="s">
        <v>1045</v>
      </c>
      <c r="B112" s="2" t="s">
        <v>894</v>
      </c>
      <c r="C112" s="16">
        <v>544000</v>
      </c>
      <c r="D112" s="13">
        <f ca="1">TODAY()+328</f>
        <v>44964</v>
      </c>
    </row>
    <row r="113" spans="1:4" x14ac:dyDescent="0.2">
      <c r="A113" s="2" t="s">
        <v>1046</v>
      </c>
      <c r="B113" s="2" t="s">
        <v>896</v>
      </c>
      <c r="C113" s="16">
        <v>155000</v>
      </c>
      <c r="D113" s="13">
        <f ca="1">TODAY()-390</f>
        <v>44246</v>
      </c>
    </row>
    <row r="114" spans="1:4" x14ac:dyDescent="0.2">
      <c r="A114" s="2" t="s">
        <v>1047</v>
      </c>
      <c r="B114" s="2" t="s">
        <v>898</v>
      </c>
      <c r="C114" s="16">
        <v>348000</v>
      </c>
      <c r="D114" s="13">
        <f ca="1">TODAY()+318</f>
        <v>44954</v>
      </c>
    </row>
    <row r="115" spans="1:4" x14ac:dyDescent="0.2">
      <c r="A115" s="2" t="s">
        <v>1048</v>
      </c>
      <c r="B115" s="2" t="s">
        <v>900</v>
      </c>
      <c r="C115" s="16">
        <v>467000</v>
      </c>
      <c r="D115" s="13">
        <f ca="1">TODAY()+215</f>
        <v>44851</v>
      </c>
    </row>
    <row r="116" spans="1:4" x14ac:dyDescent="0.2">
      <c r="A116" s="2" t="s">
        <v>1049</v>
      </c>
      <c r="B116" s="2" t="s">
        <v>902</v>
      </c>
      <c r="C116" s="16">
        <v>949000</v>
      </c>
      <c r="D116" s="13">
        <f ca="1">TODAY()+67</f>
        <v>44703</v>
      </c>
    </row>
    <row r="117" spans="1:4" x14ac:dyDescent="0.2">
      <c r="A117" s="2" t="s">
        <v>1050</v>
      </c>
      <c r="B117" s="2" t="s">
        <v>904</v>
      </c>
      <c r="C117" s="16">
        <v>486000</v>
      </c>
      <c r="D117" s="13">
        <f ca="1">TODAY()-165</f>
        <v>44471</v>
      </c>
    </row>
    <row r="118" spans="1:4" x14ac:dyDescent="0.2">
      <c r="A118" s="2" t="s">
        <v>1051</v>
      </c>
      <c r="B118" s="2" t="s">
        <v>788</v>
      </c>
      <c r="C118" s="16">
        <v>733000</v>
      </c>
      <c r="D118" s="13">
        <f ca="1">TODAY()+34</f>
        <v>44670</v>
      </c>
    </row>
    <row r="119" spans="1:4" x14ac:dyDescent="0.2">
      <c r="A119" s="2" t="s">
        <v>1052</v>
      </c>
      <c r="B119" s="2" t="s">
        <v>907</v>
      </c>
      <c r="C119" s="16">
        <v>752000</v>
      </c>
      <c r="D119" s="13">
        <f ca="1">TODAY()+78</f>
        <v>44714</v>
      </c>
    </row>
    <row r="120" spans="1:4" x14ac:dyDescent="0.2">
      <c r="A120" s="2" t="s">
        <v>1053</v>
      </c>
      <c r="B120" s="2" t="s">
        <v>909</v>
      </c>
      <c r="C120" s="16">
        <v>554000</v>
      </c>
      <c r="D120" s="13">
        <f ca="1">TODAY()-251</f>
        <v>44385</v>
      </c>
    </row>
    <row r="121" spans="1:4" x14ac:dyDescent="0.2">
      <c r="A121" s="2" t="s">
        <v>1054</v>
      </c>
      <c r="B121" s="2" t="s">
        <v>911</v>
      </c>
      <c r="C121" s="16">
        <v>139000</v>
      </c>
      <c r="D121" s="13">
        <f ca="1">TODAY()-390</f>
        <v>44246</v>
      </c>
    </row>
    <row r="122" spans="1:4" x14ac:dyDescent="0.2">
      <c r="A122" s="2" t="s">
        <v>1055</v>
      </c>
      <c r="B122" s="2" t="s">
        <v>913</v>
      </c>
      <c r="C122" s="16">
        <v>298000</v>
      </c>
      <c r="D122" s="13">
        <f ca="1">TODAY()-192</f>
        <v>44444</v>
      </c>
    </row>
    <row r="123" spans="1:4" x14ac:dyDescent="0.2">
      <c r="A123" s="2" t="s">
        <v>1056</v>
      </c>
      <c r="B123" s="2" t="s">
        <v>915</v>
      </c>
      <c r="C123" s="16">
        <v>733000</v>
      </c>
      <c r="D123" s="13">
        <f ca="1">TODAY()+59</f>
        <v>44695</v>
      </c>
    </row>
    <row r="124" spans="1:4" x14ac:dyDescent="0.2">
      <c r="A124" s="2" t="s">
        <v>1057</v>
      </c>
      <c r="B124" s="2" t="s">
        <v>917</v>
      </c>
      <c r="C124" s="16">
        <v>309000</v>
      </c>
      <c r="D124" s="13">
        <f ca="1">TODAY()-189</f>
        <v>44447</v>
      </c>
    </row>
    <row r="125" spans="1:4" x14ac:dyDescent="0.2">
      <c r="A125" s="2" t="s">
        <v>1058</v>
      </c>
      <c r="B125" s="2" t="s">
        <v>919</v>
      </c>
      <c r="C125" s="16">
        <v>816000</v>
      </c>
      <c r="D125" s="13">
        <f ca="1">TODAY()-394</f>
        <v>44242</v>
      </c>
    </row>
  </sheetData>
  <conditionalFormatting sqref="A2:D125">
    <cfRule type="expression" dxfId="0" priority="1">
      <formula>$D$2&lt;TODAY()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377D-E296-49E2-B776-298BEDC83937}">
  <dimension ref="A1:F267"/>
  <sheetViews>
    <sheetView workbookViewId="0">
      <selection activeCell="I49" sqref="I49"/>
    </sheetView>
  </sheetViews>
  <sheetFormatPr defaultRowHeight="12" x14ac:dyDescent="0.2"/>
  <cols>
    <col min="1" max="1" width="11.1640625" bestFit="1" customWidth="1"/>
    <col min="2" max="2" width="11.83203125" customWidth="1"/>
    <col min="3" max="3" width="16.83203125" customWidth="1"/>
    <col min="4" max="4" width="12.83203125" style="14" customWidth="1"/>
    <col min="5" max="5" width="10.83203125" bestFit="1" customWidth="1"/>
  </cols>
  <sheetData>
    <row r="1" spans="1:6" x14ac:dyDescent="0.2">
      <c r="A1" s="1" t="s">
        <v>1110</v>
      </c>
      <c r="B1" s="1" t="s">
        <v>1111</v>
      </c>
      <c r="C1" s="1" t="s">
        <v>1064</v>
      </c>
      <c r="D1" s="1" t="s">
        <v>933</v>
      </c>
    </row>
    <row r="2" spans="1:6" x14ac:dyDescent="0.2">
      <c r="A2" s="14" t="s">
        <v>1128</v>
      </c>
      <c r="B2" s="14" t="s">
        <v>1109</v>
      </c>
      <c r="C2" t="s">
        <v>1112</v>
      </c>
      <c r="D2" s="13">
        <f ca="1">TODAY()-141</f>
        <v>44495</v>
      </c>
      <c r="E2" s="17"/>
    </row>
    <row r="3" spans="1:6" x14ac:dyDescent="0.2">
      <c r="A3" s="14" t="s">
        <v>1129</v>
      </c>
      <c r="B3" s="14" t="s">
        <v>1071</v>
      </c>
      <c r="C3" t="s">
        <v>1113</v>
      </c>
      <c r="D3" s="13">
        <f ca="1">TODAY()-129</f>
        <v>44507</v>
      </c>
    </row>
    <row r="4" spans="1:6" x14ac:dyDescent="0.2">
      <c r="A4" s="14" t="s">
        <v>1130</v>
      </c>
      <c r="B4" s="14" t="s">
        <v>1098</v>
      </c>
      <c r="C4" t="s">
        <v>1113</v>
      </c>
      <c r="D4" s="13">
        <f ca="1">TODAY()-127</f>
        <v>44509</v>
      </c>
      <c r="F4" s="3" t="s">
        <v>1122</v>
      </c>
    </row>
    <row r="5" spans="1:6" x14ac:dyDescent="0.2">
      <c r="A5" s="14" t="s">
        <v>1131</v>
      </c>
      <c r="B5" s="14" t="s">
        <v>1101</v>
      </c>
      <c r="C5" t="s">
        <v>1114</v>
      </c>
      <c r="D5" s="13">
        <f ca="1">TODAY()-28</f>
        <v>44608</v>
      </c>
      <c r="F5" s="3" t="s">
        <v>1124</v>
      </c>
    </row>
    <row r="6" spans="1:6" x14ac:dyDescent="0.2">
      <c r="A6" s="14" t="s">
        <v>1132</v>
      </c>
      <c r="B6" s="14" t="s">
        <v>1106</v>
      </c>
      <c r="C6" t="s">
        <v>1115</v>
      </c>
      <c r="D6" s="13">
        <f ca="1">TODAY()-116</f>
        <v>44520</v>
      </c>
      <c r="F6" s="3" t="s">
        <v>1125</v>
      </c>
    </row>
    <row r="7" spans="1:6" x14ac:dyDescent="0.2">
      <c r="A7" s="14" t="s">
        <v>1133</v>
      </c>
      <c r="B7" s="14" t="s">
        <v>1091</v>
      </c>
      <c r="C7" t="s">
        <v>1116</v>
      </c>
      <c r="D7" s="13">
        <f ca="1">TODAY()+85</f>
        <v>44721</v>
      </c>
      <c r="F7" s="3" t="s">
        <v>1126</v>
      </c>
    </row>
    <row r="8" spans="1:6" x14ac:dyDescent="0.2">
      <c r="A8" s="14" t="s">
        <v>1134</v>
      </c>
      <c r="B8" s="14" t="s">
        <v>1072</v>
      </c>
      <c r="C8" t="s">
        <v>1113</v>
      </c>
      <c r="D8" s="13">
        <f ca="1">TODAY()-145</f>
        <v>44491</v>
      </c>
      <c r="F8" s="3" t="s">
        <v>1127</v>
      </c>
    </row>
    <row r="9" spans="1:6" x14ac:dyDescent="0.2">
      <c r="A9" s="14" t="s">
        <v>1135</v>
      </c>
      <c r="B9" s="14" t="s">
        <v>1098</v>
      </c>
      <c r="C9" t="s">
        <v>1115</v>
      </c>
      <c r="D9" s="13">
        <f ca="1">TODAY()+115</f>
        <v>44751</v>
      </c>
      <c r="F9" s="3"/>
    </row>
    <row r="10" spans="1:6" x14ac:dyDescent="0.2">
      <c r="A10" s="14" t="s">
        <v>1136</v>
      </c>
      <c r="B10" s="14" t="s">
        <v>1081</v>
      </c>
      <c r="C10" t="s">
        <v>1117</v>
      </c>
      <c r="D10" s="13">
        <f ca="1">TODAY()-90</f>
        <v>44546</v>
      </c>
    </row>
    <row r="11" spans="1:6" x14ac:dyDescent="0.2">
      <c r="A11" s="14" t="s">
        <v>1137</v>
      </c>
      <c r="B11" s="14" t="s">
        <v>1067</v>
      </c>
      <c r="C11" t="s">
        <v>1113</v>
      </c>
      <c r="D11" s="13">
        <f ca="1">TODAY()+105</f>
        <v>44741</v>
      </c>
    </row>
    <row r="12" spans="1:6" x14ac:dyDescent="0.2">
      <c r="A12" s="14" t="s">
        <v>1138</v>
      </c>
      <c r="B12" s="14" t="s">
        <v>1066</v>
      </c>
      <c r="C12" t="s">
        <v>1118</v>
      </c>
      <c r="D12" s="13">
        <f ca="1">TODAY()-135</f>
        <v>44501</v>
      </c>
    </row>
    <row r="13" spans="1:6" x14ac:dyDescent="0.2">
      <c r="A13" s="14" t="s">
        <v>1139</v>
      </c>
      <c r="B13" s="14" t="s">
        <v>1081</v>
      </c>
      <c r="C13" t="s">
        <v>1119</v>
      </c>
      <c r="D13" s="13">
        <f ca="1">TODAY()-9</f>
        <v>44627</v>
      </c>
    </row>
    <row r="14" spans="1:6" x14ac:dyDescent="0.2">
      <c r="A14" s="14" t="s">
        <v>1140</v>
      </c>
      <c r="B14" s="14" t="s">
        <v>1100</v>
      </c>
      <c r="C14" t="s">
        <v>1117</v>
      </c>
      <c r="D14" s="13">
        <f ca="1">TODAY()-32</f>
        <v>44604</v>
      </c>
    </row>
    <row r="15" spans="1:6" x14ac:dyDescent="0.2">
      <c r="A15" s="14" t="s">
        <v>1141</v>
      </c>
      <c r="B15" s="14" t="s">
        <v>1108</v>
      </c>
      <c r="C15" t="s">
        <v>1119</v>
      </c>
      <c r="D15" s="13">
        <f ca="1">TODAY()+42</f>
        <v>44678</v>
      </c>
    </row>
    <row r="16" spans="1:6" x14ac:dyDescent="0.2">
      <c r="A16" s="14" t="s">
        <v>1142</v>
      </c>
      <c r="B16" s="14" t="s">
        <v>1106</v>
      </c>
      <c r="C16" t="s">
        <v>1120</v>
      </c>
      <c r="D16" s="13">
        <f ca="1">TODAY()-45</f>
        <v>44591</v>
      </c>
    </row>
    <row r="17" spans="1:4" x14ac:dyDescent="0.2">
      <c r="A17" s="14" t="s">
        <v>1143</v>
      </c>
      <c r="B17" s="14" t="s">
        <v>1068</v>
      </c>
      <c r="C17" t="s">
        <v>1116</v>
      </c>
      <c r="D17" s="13">
        <f ca="1">TODAY()-74</f>
        <v>44562</v>
      </c>
    </row>
    <row r="18" spans="1:4" x14ac:dyDescent="0.2">
      <c r="A18" s="14" t="s">
        <v>1144</v>
      </c>
      <c r="B18" s="14" t="s">
        <v>1100</v>
      </c>
      <c r="C18" t="s">
        <v>1113</v>
      </c>
      <c r="D18" s="13">
        <f ca="1">TODAY()-9</f>
        <v>44627</v>
      </c>
    </row>
    <row r="19" spans="1:4" x14ac:dyDescent="0.2">
      <c r="A19" s="14" t="s">
        <v>1145</v>
      </c>
      <c r="B19" s="14" t="s">
        <v>1090</v>
      </c>
      <c r="C19" t="s">
        <v>1116</v>
      </c>
      <c r="D19" s="13">
        <f ca="1">TODAY()-94</f>
        <v>44542</v>
      </c>
    </row>
    <row r="20" spans="1:4" x14ac:dyDescent="0.2">
      <c r="A20" s="14" t="s">
        <v>1146</v>
      </c>
      <c r="B20" s="14" t="s">
        <v>1078</v>
      </c>
      <c r="C20" t="s">
        <v>1113</v>
      </c>
      <c r="D20" s="13">
        <f ca="1">TODAY()+5</f>
        <v>44641</v>
      </c>
    </row>
    <row r="21" spans="1:4" x14ac:dyDescent="0.2">
      <c r="A21" s="14" t="s">
        <v>1147</v>
      </c>
      <c r="B21" s="14" t="s">
        <v>1084</v>
      </c>
      <c r="C21" t="s">
        <v>1115</v>
      </c>
      <c r="D21" s="13">
        <f ca="1">TODAY()-17</f>
        <v>44619</v>
      </c>
    </row>
    <row r="22" spans="1:4" x14ac:dyDescent="0.2">
      <c r="A22" s="14" t="s">
        <v>1148</v>
      </c>
      <c r="B22" s="14" t="s">
        <v>1105</v>
      </c>
      <c r="C22" t="s">
        <v>1116</v>
      </c>
      <c r="D22" s="13">
        <f ca="1">TODAY()-74</f>
        <v>44562</v>
      </c>
    </row>
    <row r="23" spans="1:4" x14ac:dyDescent="0.2">
      <c r="A23" s="14" t="s">
        <v>1149</v>
      </c>
      <c r="B23" s="14" t="s">
        <v>1102</v>
      </c>
      <c r="C23" t="s">
        <v>1117</v>
      </c>
      <c r="D23" s="13">
        <f ca="1">TODAY()+71</f>
        <v>44707</v>
      </c>
    </row>
    <row r="24" spans="1:4" x14ac:dyDescent="0.2">
      <c r="A24" s="14" t="s">
        <v>1150</v>
      </c>
      <c r="B24" s="14" t="s">
        <v>1091</v>
      </c>
      <c r="C24" t="s">
        <v>1116</v>
      </c>
      <c r="D24" s="13">
        <f ca="1">TODAY()+47</f>
        <v>44683</v>
      </c>
    </row>
    <row r="25" spans="1:4" x14ac:dyDescent="0.2">
      <c r="A25" s="14" t="s">
        <v>1151</v>
      </c>
      <c r="B25" s="14" t="s">
        <v>1096</v>
      </c>
      <c r="C25" t="s">
        <v>1116</v>
      </c>
      <c r="D25" s="13">
        <f ca="1">TODAY()+49</f>
        <v>44685</v>
      </c>
    </row>
    <row r="26" spans="1:4" x14ac:dyDescent="0.2">
      <c r="A26" s="14" t="s">
        <v>1152</v>
      </c>
      <c r="B26" s="14" t="s">
        <v>1083</v>
      </c>
      <c r="C26" t="s">
        <v>1117</v>
      </c>
      <c r="D26" s="13">
        <f ca="1">TODAY()+129</f>
        <v>44765</v>
      </c>
    </row>
    <row r="27" spans="1:4" x14ac:dyDescent="0.2">
      <c r="A27" s="14" t="s">
        <v>1153</v>
      </c>
      <c r="B27" s="14" t="s">
        <v>1067</v>
      </c>
      <c r="C27" t="s">
        <v>1117</v>
      </c>
      <c r="D27" s="13">
        <f ca="1">TODAY()-8</f>
        <v>44628</v>
      </c>
    </row>
    <row r="28" spans="1:4" x14ac:dyDescent="0.2">
      <c r="A28" s="14" t="s">
        <v>1154</v>
      </c>
      <c r="B28" s="14" t="s">
        <v>1101</v>
      </c>
      <c r="C28" t="s">
        <v>1112</v>
      </c>
      <c r="D28" s="13">
        <f ca="1">TODAY()-114</f>
        <v>44522</v>
      </c>
    </row>
    <row r="29" spans="1:4" x14ac:dyDescent="0.2">
      <c r="A29" s="14" t="s">
        <v>1155</v>
      </c>
      <c r="B29" s="14" t="s">
        <v>1079</v>
      </c>
      <c r="C29" t="s">
        <v>1118</v>
      </c>
      <c r="D29" s="13">
        <f ca="1">TODAY()+71</f>
        <v>44707</v>
      </c>
    </row>
    <row r="30" spans="1:4" x14ac:dyDescent="0.2">
      <c r="A30" s="14" t="s">
        <v>1156</v>
      </c>
      <c r="B30" s="14" t="s">
        <v>1079</v>
      </c>
      <c r="C30" t="s">
        <v>1120</v>
      </c>
      <c r="D30" s="13">
        <f ca="1">TODAY()-146</f>
        <v>44490</v>
      </c>
    </row>
    <row r="31" spans="1:4" x14ac:dyDescent="0.2">
      <c r="A31" s="14" t="s">
        <v>1157</v>
      </c>
      <c r="B31" s="14" t="s">
        <v>1073</v>
      </c>
      <c r="C31" t="s">
        <v>1113</v>
      </c>
      <c r="D31" s="13">
        <f ca="1">TODAY()+23</f>
        <v>44659</v>
      </c>
    </row>
    <row r="32" spans="1:4" x14ac:dyDescent="0.2">
      <c r="A32" s="14" t="s">
        <v>1158</v>
      </c>
      <c r="B32" s="14" t="s">
        <v>1093</v>
      </c>
      <c r="C32" t="s">
        <v>1120</v>
      </c>
      <c r="D32" s="13">
        <f ca="1">TODAY()+6</f>
        <v>44642</v>
      </c>
    </row>
    <row r="33" spans="1:4" x14ac:dyDescent="0.2">
      <c r="A33" s="14" t="s">
        <v>1159</v>
      </c>
      <c r="B33" s="14" t="s">
        <v>1102</v>
      </c>
      <c r="C33" t="s">
        <v>1118</v>
      </c>
      <c r="D33" s="13">
        <f ca="1">TODAY()+51</f>
        <v>44687</v>
      </c>
    </row>
    <row r="34" spans="1:4" x14ac:dyDescent="0.2">
      <c r="A34" s="14" t="s">
        <v>1160</v>
      </c>
      <c r="B34" s="14" t="s">
        <v>1091</v>
      </c>
      <c r="C34" t="s">
        <v>1115</v>
      </c>
      <c r="D34" s="13">
        <f ca="1">TODAY()-92</f>
        <v>44544</v>
      </c>
    </row>
    <row r="35" spans="1:4" x14ac:dyDescent="0.2">
      <c r="A35" s="14" t="s">
        <v>1161</v>
      </c>
      <c r="B35" s="14" t="s">
        <v>1066</v>
      </c>
      <c r="C35" t="s">
        <v>1113</v>
      </c>
      <c r="D35" s="13">
        <f ca="1">TODAY()-141</f>
        <v>44495</v>
      </c>
    </row>
    <row r="36" spans="1:4" x14ac:dyDescent="0.2">
      <c r="A36" s="14" t="s">
        <v>1162</v>
      </c>
      <c r="B36" s="14" t="s">
        <v>1104</v>
      </c>
      <c r="C36" t="s">
        <v>1113</v>
      </c>
      <c r="D36" s="13">
        <f ca="1">TODAY()+39</f>
        <v>44675</v>
      </c>
    </row>
    <row r="37" spans="1:4" x14ac:dyDescent="0.2">
      <c r="A37" s="14" t="s">
        <v>1163</v>
      </c>
      <c r="B37" s="14" t="s">
        <v>1086</v>
      </c>
      <c r="C37" t="s">
        <v>1112</v>
      </c>
      <c r="D37" s="13">
        <f ca="1">TODAY()+83</f>
        <v>44719</v>
      </c>
    </row>
    <row r="38" spans="1:4" x14ac:dyDescent="0.2">
      <c r="A38" s="14" t="s">
        <v>1164</v>
      </c>
      <c r="B38" s="14" t="s">
        <v>1088</v>
      </c>
      <c r="C38" t="s">
        <v>1116</v>
      </c>
      <c r="D38" s="13">
        <f ca="1">TODAY()+94</f>
        <v>44730</v>
      </c>
    </row>
    <row r="39" spans="1:4" x14ac:dyDescent="0.2">
      <c r="A39" s="14" t="s">
        <v>1165</v>
      </c>
      <c r="B39" s="14" t="s">
        <v>1090</v>
      </c>
      <c r="C39" t="s">
        <v>1121</v>
      </c>
      <c r="D39" s="13">
        <f ca="1">TODAY()-48</f>
        <v>44588</v>
      </c>
    </row>
    <row r="40" spans="1:4" x14ac:dyDescent="0.2">
      <c r="A40" s="14" t="s">
        <v>1166</v>
      </c>
      <c r="B40" s="14" t="s">
        <v>1096</v>
      </c>
      <c r="C40" t="s">
        <v>1112</v>
      </c>
      <c r="D40" s="13">
        <f ca="1">TODAY()-48</f>
        <v>44588</v>
      </c>
    </row>
    <row r="41" spans="1:4" x14ac:dyDescent="0.2">
      <c r="A41" s="14" t="s">
        <v>1167</v>
      </c>
      <c r="B41" s="14" t="s">
        <v>1066</v>
      </c>
      <c r="C41" t="s">
        <v>1114</v>
      </c>
      <c r="D41" s="13">
        <f ca="1">TODAY()-11</f>
        <v>44625</v>
      </c>
    </row>
    <row r="42" spans="1:4" x14ac:dyDescent="0.2">
      <c r="A42" s="14" t="s">
        <v>1168</v>
      </c>
      <c r="B42" s="14" t="s">
        <v>1077</v>
      </c>
      <c r="C42" t="s">
        <v>1116</v>
      </c>
      <c r="D42" s="13">
        <f ca="1">TODAY()-46</f>
        <v>44590</v>
      </c>
    </row>
    <row r="43" spans="1:4" x14ac:dyDescent="0.2">
      <c r="A43" s="14" t="s">
        <v>1169</v>
      </c>
      <c r="B43" s="14" t="s">
        <v>1104</v>
      </c>
      <c r="C43" t="s">
        <v>1112</v>
      </c>
      <c r="D43" s="13">
        <f ca="1">TODAY()+72</f>
        <v>44708</v>
      </c>
    </row>
    <row r="44" spans="1:4" x14ac:dyDescent="0.2">
      <c r="A44" s="14" t="s">
        <v>1170</v>
      </c>
      <c r="B44" s="14" t="s">
        <v>1101</v>
      </c>
      <c r="C44" t="s">
        <v>1114</v>
      </c>
      <c r="D44" s="13">
        <f ca="1">TODAY()-73</f>
        <v>44563</v>
      </c>
    </row>
    <row r="45" spans="1:4" x14ac:dyDescent="0.2">
      <c r="A45" s="14" t="s">
        <v>1171</v>
      </c>
      <c r="B45" s="14" t="s">
        <v>1107</v>
      </c>
      <c r="C45" t="s">
        <v>1120</v>
      </c>
      <c r="D45" s="13">
        <f ca="1">TODAY()+52</f>
        <v>44688</v>
      </c>
    </row>
    <row r="46" spans="1:4" x14ac:dyDescent="0.2">
      <c r="A46" s="14" t="s">
        <v>1172</v>
      </c>
      <c r="B46" s="14" t="s">
        <v>1069</v>
      </c>
      <c r="C46" t="s">
        <v>1118</v>
      </c>
      <c r="D46" s="13">
        <f ca="1">TODAY()+70</f>
        <v>44706</v>
      </c>
    </row>
    <row r="47" spans="1:4" x14ac:dyDescent="0.2">
      <c r="A47" s="14" t="s">
        <v>1173</v>
      </c>
      <c r="B47" s="14" t="s">
        <v>1066</v>
      </c>
      <c r="C47" t="s">
        <v>1120</v>
      </c>
      <c r="D47" s="13">
        <f ca="1">TODAY()+33</f>
        <v>44669</v>
      </c>
    </row>
    <row r="48" spans="1:4" x14ac:dyDescent="0.2">
      <c r="A48" s="14" t="s">
        <v>1174</v>
      </c>
      <c r="B48" s="14" t="s">
        <v>1084</v>
      </c>
      <c r="C48" t="s">
        <v>1119</v>
      </c>
      <c r="D48" s="13">
        <f ca="1">TODAY()-8</f>
        <v>44628</v>
      </c>
    </row>
    <row r="49" spans="1:4" x14ac:dyDescent="0.2">
      <c r="A49" s="14" t="s">
        <v>1175</v>
      </c>
      <c r="B49" s="14" t="s">
        <v>1086</v>
      </c>
      <c r="C49" t="s">
        <v>1118</v>
      </c>
      <c r="D49" s="13">
        <f ca="1">TODAY()-132</f>
        <v>44504</v>
      </c>
    </row>
    <row r="50" spans="1:4" x14ac:dyDescent="0.2">
      <c r="A50" s="14" t="s">
        <v>1176</v>
      </c>
      <c r="B50" s="14" t="s">
        <v>1085</v>
      </c>
      <c r="C50" t="s">
        <v>1117</v>
      </c>
      <c r="D50" s="13">
        <f ca="1">TODAY()+25</f>
        <v>44661</v>
      </c>
    </row>
    <row r="51" spans="1:4" x14ac:dyDescent="0.2">
      <c r="A51" s="14" t="s">
        <v>1177</v>
      </c>
      <c r="B51" s="14" t="s">
        <v>1085</v>
      </c>
      <c r="C51" t="s">
        <v>1115</v>
      </c>
      <c r="D51" s="13">
        <f ca="1">TODAY()+102</f>
        <v>44738</v>
      </c>
    </row>
    <row r="52" spans="1:4" x14ac:dyDescent="0.2">
      <c r="A52" s="14" t="s">
        <v>1178</v>
      </c>
      <c r="B52" s="14" t="s">
        <v>1071</v>
      </c>
      <c r="C52" t="s">
        <v>1118</v>
      </c>
      <c r="D52" s="13">
        <f ca="1">TODAY()-1</f>
        <v>44635</v>
      </c>
    </row>
    <row r="53" spans="1:4" x14ac:dyDescent="0.2">
      <c r="A53" s="14" t="s">
        <v>1179</v>
      </c>
      <c r="B53" s="14" t="s">
        <v>1083</v>
      </c>
      <c r="C53" t="s">
        <v>1120</v>
      </c>
      <c r="D53" s="13">
        <f ca="1">TODAY()-139</f>
        <v>44497</v>
      </c>
    </row>
    <row r="54" spans="1:4" x14ac:dyDescent="0.2">
      <c r="A54" s="14" t="s">
        <v>1180</v>
      </c>
      <c r="B54" s="14" t="s">
        <v>1065</v>
      </c>
      <c r="C54" t="s">
        <v>1117</v>
      </c>
      <c r="D54" s="13">
        <f ca="1">TODAY()+123</f>
        <v>44759</v>
      </c>
    </row>
    <row r="55" spans="1:4" x14ac:dyDescent="0.2">
      <c r="A55" s="14" t="s">
        <v>1181</v>
      </c>
      <c r="B55" s="14" t="s">
        <v>1105</v>
      </c>
      <c r="C55" t="s">
        <v>1113</v>
      </c>
      <c r="D55" s="13">
        <f ca="1">TODAY()+11</f>
        <v>44647</v>
      </c>
    </row>
    <row r="56" spans="1:4" x14ac:dyDescent="0.2">
      <c r="A56" s="14" t="s">
        <v>1182</v>
      </c>
      <c r="B56" s="14" t="s">
        <v>1102</v>
      </c>
      <c r="C56" t="s">
        <v>1120</v>
      </c>
      <c r="D56" s="13">
        <f ca="1">TODAY()-23</f>
        <v>44613</v>
      </c>
    </row>
    <row r="57" spans="1:4" x14ac:dyDescent="0.2">
      <c r="A57" s="14" t="s">
        <v>1183</v>
      </c>
      <c r="B57" s="14" t="s">
        <v>1081</v>
      </c>
      <c r="C57" t="s">
        <v>1119</v>
      </c>
      <c r="D57" s="13">
        <f ca="1">TODAY()+57</f>
        <v>44693</v>
      </c>
    </row>
    <row r="58" spans="1:4" x14ac:dyDescent="0.2">
      <c r="A58" s="14" t="s">
        <v>1184</v>
      </c>
      <c r="B58" s="14" t="s">
        <v>1082</v>
      </c>
      <c r="C58" t="s">
        <v>1113</v>
      </c>
      <c r="D58" s="13">
        <f ca="1">TODAY()+59</f>
        <v>44695</v>
      </c>
    </row>
    <row r="59" spans="1:4" x14ac:dyDescent="0.2">
      <c r="A59" s="14" t="s">
        <v>1185</v>
      </c>
      <c r="B59" s="14" t="s">
        <v>1083</v>
      </c>
      <c r="C59" t="s">
        <v>1118</v>
      </c>
      <c r="D59" s="13">
        <f ca="1">TODAY()-5</f>
        <v>44631</v>
      </c>
    </row>
    <row r="60" spans="1:4" x14ac:dyDescent="0.2">
      <c r="A60" s="14" t="s">
        <v>1186</v>
      </c>
      <c r="B60" s="14" t="s">
        <v>1099</v>
      </c>
      <c r="C60" t="s">
        <v>1120</v>
      </c>
      <c r="D60" s="13">
        <f ca="1">TODAY()+8</f>
        <v>44644</v>
      </c>
    </row>
    <row r="61" spans="1:4" x14ac:dyDescent="0.2">
      <c r="A61" s="14" t="s">
        <v>1187</v>
      </c>
      <c r="B61" s="14" t="s">
        <v>1087</v>
      </c>
      <c r="C61" t="s">
        <v>1115</v>
      </c>
      <c r="D61" s="13">
        <f ca="1">TODAY()-41</f>
        <v>44595</v>
      </c>
    </row>
    <row r="62" spans="1:4" x14ac:dyDescent="0.2">
      <c r="A62" s="14" t="s">
        <v>1188</v>
      </c>
      <c r="B62" s="14" t="s">
        <v>1094</v>
      </c>
      <c r="C62" t="s">
        <v>1115</v>
      </c>
      <c r="D62" s="13">
        <f ca="1">TODAY()+134</f>
        <v>44770</v>
      </c>
    </row>
    <row r="63" spans="1:4" x14ac:dyDescent="0.2">
      <c r="A63" s="14" t="s">
        <v>1189</v>
      </c>
      <c r="B63" s="14" t="s">
        <v>1087</v>
      </c>
      <c r="C63" t="s">
        <v>1113</v>
      </c>
      <c r="D63" s="13">
        <f ca="1">TODAY()-99</f>
        <v>44537</v>
      </c>
    </row>
    <row r="64" spans="1:4" x14ac:dyDescent="0.2">
      <c r="A64" s="14" t="s">
        <v>1190</v>
      </c>
      <c r="B64" s="14" t="s">
        <v>1082</v>
      </c>
      <c r="C64" t="s">
        <v>1115</v>
      </c>
      <c r="D64" s="13">
        <f ca="1">TODAY()-61</f>
        <v>44575</v>
      </c>
    </row>
    <row r="65" spans="1:4" x14ac:dyDescent="0.2">
      <c r="A65" s="14" t="s">
        <v>1191</v>
      </c>
      <c r="B65" s="14" t="s">
        <v>1086</v>
      </c>
      <c r="C65" t="s">
        <v>1120</v>
      </c>
      <c r="D65" s="13">
        <f ca="1">TODAY()+71</f>
        <v>44707</v>
      </c>
    </row>
    <row r="66" spans="1:4" x14ac:dyDescent="0.2">
      <c r="A66" s="14" t="s">
        <v>1192</v>
      </c>
      <c r="B66" s="14" t="s">
        <v>1070</v>
      </c>
      <c r="C66" t="s">
        <v>1114</v>
      </c>
      <c r="D66" s="13">
        <f ca="1">TODAY()+94</f>
        <v>44730</v>
      </c>
    </row>
    <row r="67" spans="1:4" x14ac:dyDescent="0.2">
      <c r="A67" s="14" t="s">
        <v>1193</v>
      </c>
      <c r="B67" s="14" t="s">
        <v>1100</v>
      </c>
      <c r="C67" t="s">
        <v>1113</v>
      </c>
      <c r="D67" s="13">
        <f ca="1">TODAY()-55</f>
        <v>44581</v>
      </c>
    </row>
    <row r="68" spans="1:4" x14ac:dyDescent="0.2">
      <c r="A68" s="14" t="s">
        <v>1194</v>
      </c>
      <c r="B68" s="14" t="s">
        <v>1082</v>
      </c>
      <c r="C68" t="s">
        <v>1121</v>
      </c>
      <c r="D68" s="13">
        <f ca="1">TODAY()-120</f>
        <v>44516</v>
      </c>
    </row>
    <row r="69" spans="1:4" x14ac:dyDescent="0.2">
      <c r="A69" s="14" t="s">
        <v>1195</v>
      </c>
      <c r="B69" s="14" t="s">
        <v>1101</v>
      </c>
      <c r="C69" t="s">
        <v>1117</v>
      </c>
      <c r="D69" s="13">
        <f ca="1">TODAY()+102</f>
        <v>44738</v>
      </c>
    </row>
    <row r="70" spans="1:4" x14ac:dyDescent="0.2">
      <c r="A70" s="14" t="s">
        <v>1196</v>
      </c>
      <c r="B70" s="14" t="s">
        <v>1083</v>
      </c>
      <c r="C70" t="s">
        <v>1118</v>
      </c>
      <c r="D70" s="13">
        <f ca="1">TODAY()+143</f>
        <v>44779</v>
      </c>
    </row>
    <row r="71" spans="1:4" x14ac:dyDescent="0.2">
      <c r="A71" s="14" t="s">
        <v>1197</v>
      </c>
      <c r="B71" s="14" t="s">
        <v>1109</v>
      </c>
      <c r="C71" t="s">
        <v>1112</v>
      </c>
      <c r="D71" s="13">
        <f ca="1">TODAY()-35</f>
        <v>44601</v>
      </c>
    </row>
    <row r="72" spans="1:4" x14ac:dyDescent="0.2">
      <c r="A72" s="14" t="s">
        <v>1198</v>
      </c>
      <c r="B72" s="14" t="s">
        <v>1091</v>
      </c>
      <c r="C72" t="s">
        <v>1117</v>
      </c>
      <c r="D72" s="13">
        <f ca="1">TODAY()-144</f>
        <v>44492</v>
      </c>
    </row>
    <row r="73" spans="1:4" x14ac:dyDescent="0.2">
      <c r="A73" s="14" t="s">
        <v>1199</v>
      </c>
      <c r="B73" s="14" t="s">
        <v>1070</v>
      </c>
      <c r="C73" t="s">
        <v>1119</v>
      </c>
      <c r="D73" s="13">
        <f ca="1">TODAY()-59</f>
        <v>44577</v>
      </c>
    </row>
    <row r="74" spans="1:4" x14ac:dyDescent="0.2">
      <c r="A74" s="14" t="s">
        <v>1200</v>
      </c>
      <c r="B74" s="14" t="s">
        <v>1085</v>
      </c>
      <c r="C74" t="s">
        <v>1118</v>
      </c>
      <c r="D74" s="13">
        <f ca="1">TODAY()+94</f>
        <v>44730</v>
      </c>
    </row>
    <row r="75" spans="1:4" x14ac:dyDescent="0.2">
      <c r="A75" s="14" t="s">
        <v>1201</v>
      </c>
      <c r="B75" s="14" t="s">
        <v>1097</v>
      </c>
      <c r="C75" t="s">
        <v>1120</v>
      </c>
      <c r="D75" s="13">
        <f ca="1">TODAY()+20</f>
        <v>44656</v>
      </c>
    </row>
    <row r="76" spans="1:4" x14ac:dyDescent="0.2">
      <c r="A76" s="14" t="s">
        <v>1202</v>
      </c>
      <c r="B76" s="14" t="s">
        <v>1104</v>
      </c>
      <c r="C76" t="s">
        <v>1114</v>
      </c>
      <c r="D76" s="13">
        <f ca="1">TODAY()-103</f>
        <v>44533</v>
      </c>
    </row>
    <row r="77" spans="1:4" x14ac:dyDescent="0.2">
      <c r="A77" s="14" t="s">
        <v>1203</v>
      </c>
      <c r="B77" s="14" t="s">
        <v>1074</v>
      </c>
      <c r="C77" t="s">
        <v>1119</v>
      </c>
      <c r="D77" s="13">
        <f ca="1">TODAY()-41</f>
        <v>44595</v>
      </c>
    </row>
    <row r="78" spans="1:4" x14ac:dyDescent="0.2">
      <c r="A78" s="14" t="s">
        <v>1204</v>
      </c>
      <c r="B78" s="14" t="s">
        <v>1072</v>
      </c>
      <c r="C78" t="s">
        <v>1114</v>
      </c>
      <c r="D78" s="13">
        <f ca="1">TODAY()+149</f>
        <v>44785</v>
      </c>
    </row>
    <row r="79" spans="1:4" x14ac:dyDescent="0.2">
      <c r="A79" s="14" t="s">
        <v>1205</v>
      </c>
      <c r="B79" s="14" t="s">
        <v>1104</v>
      </c>
      <c r="C79" t="s">
        <v>1112</v>
      </c>
      <c r="D79" s="13">
        <f ca="1">TODAY()+27</f>
        <v>44663</v>
      </c>
    </row>
    <row r="80" spans="1:4" x14ac:dyDescent="0.2">
      <c r="A80" s="14" t="s">
        <v>1206</v>
      </c>
      <c r="B80" s="14" t="s">
        <v>1101</v>
      </c>
      <c r="C80" t="s">
        <v>1120</v>
      </c>
      <c r="D80" s="13">
        <f ca="1">TODAY()-62</f>
        <v>44574</v>
      </c>
    </row>
    <row r="81" spans="1:4" x14ac:dyDescent="0.2">
      <c r="A81" s="14" t="s">
        <v>1207</v>
      </c>
      <c r="B81" s="14" t="s">
        <v>1094</v>
      </c>
      <c r="C81" t="s">
        <v>1114</v>
      </c>
      <c r="D81" s="13">
        <f ca="1">TODAY()+45</f>
        <v>44681</v>
      </c>
    </row>
    <row r="82" spans="1:4" x14ac:dyDescent="0.2">
      <c r="A82" s="14" t="s">
        <v>1208</v>
      </c>
      <c r="B82" s="14" t="s">
        <v>1102</v>
      </c>
      <c r="C82" t="s">
        <v>1115</v>
      </c>
      <c r="D82" s="13">
        <f ca="1">TODAY()+15</f>
        <v>44651</v>
      </c>
    </row>
    <row r="83" spans="1:4" x14ac:dyDescent="0.2">
      <c r="A83" s="14" t="s">
        <v>1209</v>
      </c>
      <c r="B83" s="14" t="s">
        <v>1098</v>
      </c>
      <c r="C83" t="s">
        <v>1114</v>
      </c>
      <c r="D83" s="13">
        <f ca="1">TODAY()+19</f>
        <v>44655</v>
      </c>
    </row>
    <row r="84" spans="1:4" x14ac:dyDescent="0.2">
      <c r="A84" s="14" t="s">
        <v>1210</v>
      </c>
      <c r="B84" s="14" t="s">
        <v>1078</v>
      </c>
      <c r="C84" t="s">
        <v>1115</v>
      </c>
      <c r="D84" s="13">
        <f ca="1">TODAY()-17</f>
        <v>44619</v>
      </c>
    </row>
    <row r="85" spans="1:4" x14ac:dyDescent="0.2">
      <c r="A85" s="14" t="s">
        <v>1211</v>
      </c>
      <c r="B85" s="14" t="s">
        <v>1101</v>
      </c>
      <c r="C85" t="s">
        <v>1120</v>
      </c>
      <c r="D85" s="13">
        <f ca="1">TODAY()-130</f>
        <v>44506</v>
      </c>
    </row>
    <row r="86" spans="1:4" x14ac:dyDescent="0.2">
      <c r="A86" s="14" t="s">
        <v>1212</v>
      </c>
      <c r="B86" s="14" t="s">
        <v>1097</v>
      </c>
      <c r="C86" t="s">
        <v>1116</v>
      </c>
      <c r="D86" s="13">
        <f ca="1">TODAY()+105</f>
        <v>44741</v>
      </c>
    </row>
    <row r="87" spans="1:4" x14ac:dyDescent="0.2">
      <c r="A87" s="14" t="s">
        <v>1213</v>
      </c>
      <c r="B87" s="14" t="s">
        <v>1093</v>
      </c>
      <c r="C87" t="s">
        <v>1112</v>
      </c>
      <c r="D87" s="13">
        <f ca="1">TODAY()+4</f>
        <v>44640</v>
      </c>
    </row>
    <row r="88" spans="1:4" x14ac:dyDescent="0.2">
      <c r="A88" s="14" t="s">
        <v>1214</v>
      </c>
      <c r="B88" s="14" t="s">
        <v>1074</v>
      </c>
      <c r="C88" t="s">
        <v>1119</v>
      </c>
      <c r="D88" s="13">
        <f ca="1">TODAY()-35</f>
        <v>44601</v>
      </c>
    </row>
    <row r="89" spans="1:4" x14ac:dyDescent="0.2">
      <c r="A89" s="14" t="s">
        <v>1215</v>
      </c>
      <c r="B89" s="14" t="s">
        <v>1083</v>
      </c>
      <c r="C89" t="s">
        <v>1116</v>
      </c>
      <c r="D89" s="13">
        <f ca="1">TODAY()+99</f>
        <v>44735</v>
      </c>
    </row>
    <row r="90" spans="1:4" x14ac:dyDescent="0.2">
      <c r="A90" s="14" t="s">
        <v>1216</v>
      </c>
      <c r="B90" s="14" t="s">
        <v>1069</v>
      </c>
      <c r="C90" t="s">
        <v>1120</v>
      </c>
      <c r="D90" s="13">
        <f ca="1">TODAY()+59</f>
        <v>44695</v>
      </c>
    </row>
    <row r="91" spans="1:4" x14ac:dyDescent="0.2">
      <c r="A91" s="14" t="s">
        <v>1217</v>
      </c>
      <c r="B91" s="14" t="s">
        <v>1071</v>
      </c>
      <c r="C91" t="s">
        <v>1115</v>
      </c>
      <c r="D91" s="13">
        <f ca="1">TODAY()-45</f>
        <v>44591</v>
      </c>
    </row>
    <row r="92" spans="1:4" x14ac:dyDescent="0.2">
      <c r="A92" s="14" t="s">
        <v>1218</v>
      </c>
      <c r="B92" s="14" t="s">
        <v>1081</v>
      </c>
      <c r="C92" t="s">
        <v>1120</v>
      </c>
      <c r="D92" s="13">
        <f ca="1">TODAY()+89</f>
        <v>44725</v>
      </c>
    </row>
    <row r="93" spans="1:4" x14ac:dyDescent="0.2">
      <c r="A93" s="14" t="s">
        <v>1219</v>
      </c>
      <c r="B93" s="14" t="s">
        <v>1104</v>
      </c>
      <c r="C93" t="s">
        <v>1120</v>
      </c>
      <c r="D93" s="13">
        <f ca="1">TODAY()-54</f>
        <v>44582</v>
      </c>
    </row>
    <row r="94" spans="1:4" x14ac:dyDescent="0.2">
      <c r="A94" s="14" t="s">
        <v>1220</v>
      </c>
      <c r="B94" s="14" t="s">
        <v>1087</v>
      </c>
      <c r="C94" t="s">
        <v>1114</v>
      </c>
      <c r="D94" s="13">
        <f ca="1">TODAY()-28</f>
        <v>44608</v>
      </c>
    </row>
    <row r="95" spans="1:4" x14ac:dyDescent="0.2">
      <c r="A95" s="14" t="s">
        <v>1221</v>
      </c>
      <c r="B95" s="14" t="s">
        <v>1077</v>
      </c>
      <c r="C95" t="s">
        <v>1119</v>
      </c>
      <c r="D95" s="13">
        <f ca="1">TODAY()-127</f>
        <v>44509</v>
      </c>
    </row>
    <row r="96" spans="1:4" x14ac:dyDescent="0.2">
      <c r="A96" s="14" t="s">
        <v>1222</v>
      </c>
      <c r="B96" s="14" t="s">
        <v>1091</v>
      </c>
      <c r="C96" t="s">
        <v>1121</v>
      </c>
      <c r="D96" s="13">
        <f ca="1">TODAY()-49</f>
        <v>44587</v>
      </c>
    </row>
    <row r="97" spans="1:4" x14ac:dyDescent="0.2">
      <c r="A97" s="14" t="s">
        <v>1223</v>
      </c>
      <c r="B97" s="14" t="s">
        <v>1087</v>
      </c>
      <c r="C97" t="s">
        <v>1116</v>
      </c>
      <c r="D97" s="13">
        <f ca="1">TODAY()+94</f>
        <v>44730</v>
      </c>
    </row>
    <row r="98" spans="1:4" x14ac:dyDescent="0.2">
      <c r="A98" s="14" t="s">
        <v>1224</v>
      </c>
      <c r="B98" s="14" t="s">
        <v>1078</v>
      </c>
      <c r="C98" t="s">
        <v>1120</v>
      </c>
      <c r="D98" s="13">
        <f ca="1">TODAY()+76</f>
        <v>44712</v>
      </c>
    </row>
    <row r="99" spans="1:4" x14ac:dyDescent="0.2">
      <c r="A99" s="14" t="s">
        <v>1225</v>
      </c>
      <c r="B99" s="14" t="s">
        <v>1102</v>
      </c>
      <c r="C99" t="s">
        <v>1117</v>
      </c>
      <c r="D99" s="13">
        <f ca="1">TODAY()+83</f>
        <v>44719</v>
      </c>
    </row>
    <row r="100" spans="1:4" x14ac:dyDescent="0.2">
      <c r="A100" s="14" t="s">
        <v>1226</v>
      </c>
      <c r="B100" s="14" t="s">
        <v>1107</v>
      </c>
      <c r="C100" t="s">
        <v>1116</v>
      </c>
      <c r="D100" s="13">
        <f ca="1">TODAY()+35</f>
        <v>44671</v>
      </c>
    </row>
    <row r="101" spans="1:4" x14ac:dyDescent="0.2">
      <c r="A101" s="14" t="s">
        <v>1227</v>
      </c>
      <c r="B101" s="14" t="s">
        <v>1094</v>
      </c>
      <c r="C101" t="s">
        <v>1113</v>
      </c>
      <c r="D101" s="13">
        <f ca="1">TODAY()-107</f>
        <v>44529</v>
      </c>
    </row>
    <row r="102" spans="1:4" x14ac:dyDescent="0.2">
      <c r="A102" s="14" t="s">
        <v>1228</v>
      </c>
      <c r="B102" s="14" t="s">
        <v>1102</v>
      </c>
      <c r="C102" t="s">
        <v>1119</v>
      </c>
      <c r="D102" s="13">
        <f ca="1">TODAY()-27</f>
        <v>44609</v>
      </c>
    </row>
    <row r="103" spans="1:4" x14ac:dyDescent="0.2">
      <c r="A103" s="14" t="s">
        <v>1229</v>
      </c>
      <c r="B103" s="14" t="s">
        <v>1097</v>
      </c>
      <c r="C103" t="s">
        <v>1116</v>
      </c>
      <c r="D103" s="13">
        <f ca="1">TODAY()-51</f>
        <v>44585</v>
      </c>
    </row>
    <row r="104" spans="1:4" x14ac:dyDescent="0.2">
      <c r="A104" s="14" t="s">
        <v>1230</v>
      </c>
      <c r="B104" s="14" t="s">
        <v>1099</v>
      </c>
      <c r="C104" t="s">
        <v>1120</v>
      </c>
      <c r="D104" s="13">
        <f ca="1">TODAY()-84</f>
        <v>44552</v>
      </c>
    </row>
    <row r="105" spans="1:4" x14ac:dyDescent="0.2">
      <c r="A105" s="14" t="s">
        <v>1231</v>
      </c>
      <c r="B105" s="14" t="s">
        <v>1075</v>
      </c>
      <c r="C105" t="s">
        <v>1117</v>
      </c>
      <c r="D105" s="13">
        <f ca="1">TODAY()-56</f>
        <v>44580</v>
      </c>
    </row>
    <row r="106" spans="1:4" x14ac:dyDescent="0.2">
      <c r="A106" s="14" t="s">
        <v>1232</v>
      </c>
      <c r="B106" s="14" t="s">
        <v>1083</v>
      </c>
      <c r="C106" t="s">
        <v>1116</v>
      </c>
      <c r="D106" s="13">
        <f ca="1">TODAY()-125</f>
        <v>44511</v>
      </c>
    </row>
    <row r="107" spans="1:4" x14ac:dyDescent="0.2">
      <c r="A107" s="14" t="s">
        <v>1233</v>
      </c>
      <c r="B107" s="14" t="s">
        <v>1076</v>
      </c>
      <c r="C107" t="s">
        <v>1116</v>
      </c>
      <c r="D107" s="13">
        <f ca="1">TODAY()-101</f>
        <v>44535</v>
      </c>
    </row>
    <row r="108" spans="1:4" x14ac:dyDescent="0.2">
      <c r="A108" s="14" t="s">
        <v>1234</v>
      </c>
      <c r="B108" s="14" t="s">
        <v>1107</v>
      </c>
      <c r="C108" t="s">
        <v>1117</v>
      </c>
      <c r="D108" s="13">
        <f ca="1">TODAY()+10</f>
        <v>44646</v>
      </c>
    </row>
    <row r="109" spans="1:4" x14ac:dyDescent="0.2">
      <c r="A109" s="14" t="s">
        <v>1235</v>
      </c>
      <c r="B109" s="14" t="s">
        <v>1105</v>
      </c>
      <c r="C109" t="s">
        <v>1120</v>
      </c>
      <c r="D109" s="13">
        <f ca="1">TODAY()-2</f>
        <v>44634</v>
      </c>
    </row>
    <row r="110" spans="1:4" x14ac:dyDescent="0.2">
      <c r="A110" s="14" t="s">
        <v>1236</v>
      </c>
      <c r="B110" s="14" t="s">
        <v>1102</v>
      </c>
      <c r="C110" t="s">
        <v>1114</v>
      </c>
      <c r="D110" s="13">
        <f ca="1">TODAY()-124</f>
        <v>44512</v>
      </c>
    </row>
    <row r="111" spans="1:4" x14ac:dyDescent="0.2">
      <c r="A111" s="14" t="s">
        <v>1237</v>
      </c>
      <c r="B111" s="14" t="s">
        <v>1106</v>
      </c>
      <c r="C111" t="s">
        <v>1121</v>
      </c>
      <c r="D111" s="13">
        <f ca="1">TODAY()-74</f>
        <v>44562</v>
      </c>
    </row>
    <row r="112" spans="1:4" x14ac:dyDescent="0.2">
      <c r="A112" s="14" t="s">
        <v>1238</v>
      </c>
      <c r="B112" s="14" t="s">
        <v>1089</v>
      </c>
      <c r="C112" t="s">
        <v>1117</v>
      </c>
      <c r="D112" s="13">
        <f ca="1">TODAY()+20</f>
        <v>44656</v>
      </c>
    </row>
    <row r="113" spans="1:4" x14ac:dyDescent="0.2">
      <c r="A113" s="14" t="s">
        <v>1239</v>
      </c>
      <c r="B113" s="14" t="s">
        <v>1083</v>
      </c>
      <c r="C113" t="s">
        <v>1112</v>
      </c>
      <c r="D113" s="13">
        <f ca="1">TODAY()-150</f>
        <v>44486</v>
      </c>
    </row>
    <row r="114" spans="1:4" x14ac:dyDescent="0.2">
      <c r="A114" s="14" t="s">
        <v>1240</v>
      </c>
      <c r="B114" s="14" t="s">
        <v>1107</v>
      </c>
      <c r="C114" t="s">
        <v>1121</v>
      </c>
      <c r="D114" s="13">
        <f ca="1">TODAY()+50</f>
        <v>44686</v>
      </c>
    </row>
    <row r="115" spans="1:4" x14ac:dyDescent="0.2">
      <c r="A115" s="14" t="s">
        <v>1241</v>
      </c>
      <c r="B115" s="14" t="s">
        <v>1090</v>
      </c>
      <c r="C115" t="s">
        <v>1113</v>
      </c>
      <c r="D115" s="13">
        <f ca="1">TODAY()-53</f>
        <v>44583</v>
      </c>
    </row>
    <row r="116" spans="1:4" x14ac:dyDescent="0.2">
      <c r="A116" s="14" t="s">
        <v>1242</v>
      </c>
      <c r="B116" s="14" t="s">
        <v>1076</v>
      </c>
      <c r="C116" t="s">
        <v>1116</v>
      </c>
      <c r="D116" s="13">
        <f ca="1">TODAY()-104</f>
        <v>44532</v>
      </c>
    </row>
    <row r="117" spans="1:4" x14ac:dyDescent="0.2">
      <c r="A117" s="14" t="s">
        <v>1243</v>
      </c>
      <c r="B117" s="14" t="s">
        <v>1097</v>
      </c>
      <c r="C117" t="s">
        <v>1121</v>
      </c>
      <c r="D117" s="13">
        <f ca="1">TODAY()-39</f>
        <v>44597</v>
      </c>
    </row>
    <row r="118" spans="1:4" x14ac:dyDescent="0.2">
      <c r="A118" s="14" t="s">
        <v>1244</v>
      </c>
      <c r="B118" s="14" t="s">
        <v>1071</v>
      </c>
      <c r="C118" t="s">
        <v>1120</v>
      </c>
      <c r="D118" s="13">
        <f ca="1">TODAY()+91</f>
        <v>44727</v>
      </c>
    </row>
    <row r="119" spans="1:4" x14ac:dyDescent="0.2">
      <c r="A119" s="14" t="s">
        <v>1245</v>
      </c>
      <c r="B119" s="14" t="s">
        <v>1087</v>
      </c>
      <c r="C119" t="s">
        <v>1115</v>
      </c>
      <c r="D119" s="13">
        <f ca="1">TODAY()-98</f>
        <v>44538</v>
      </c>
    </row>
    <row r="120" spans="1:4" x14ac:dyDescent="0.2">
      <c r="A120" s="14" t="s">
        <v>1246</v>
      </c>
      <c r="B120" s="14" t="s">
        <v>1098</v>
      </c>
      <c r="C120" t="s">
        <v>1121</v>
      </c>
      <c r="D120" s="13">
        <f ca="1">TODAY()-70</f>
        <v>44566</v>
      </c>
    </row>
    <row r="121" spans="1:4" x14ac:dyDescent="0.2">
      <c r="A121" s="14" t="s">
        <v>1247</v>
      </c>
      <c r="B121" s="14" t="s">
        <v>1100</v>
      </c>
      <c r="C121" t="s">
        <v>1115</v>
      </c>
      <c r="D121" s="13">
        <f ca="1">TODAY()-113</f>
        <v>44523</v>
      </c>
    </row>
    <row r="122" spans="1:4" x14ac:dyDescent="0.2">
      <c r="A122" s="14" t="s">
        <v>1248</v>
      </c>
      <c r="B122" s="14" t="s">
        <v>1089</v>
      </c>
      <c r="C122" t="s">
        <v>1115</v>
      </c>
      <c r="D122" s="13">
        <f ca="1">TODAY()+4</f>
        <v>44640</v>
      </c>
    </row>
    <row r="123" spans="1:4" x14ac:dyDescent="0.2">
      <c r="A123" s="14" t="s">
        <v>1249</v>
      </c>
      <c r="B123" s="14" t="s">
        <v>1073</v>
      </c>
      <c r="C123" t="s">
        <v>1113</v>
      </c>
      <c r="D123" s="13">
        <f ca="1">TODAY()+28</f>
        <v>44664</v>
      </c>
    </row>
    <row r="124" spans="1:4" x14ac:dyDescent="0.2">
      <c r="A124" s="14" t="s">
        <v>1250</v>
      </c>
      <c r="B124" s="14" t="s">
        <v>1086</v>
      </c>
      <c r="C124" t="s">
        <v>1116</v>
      </c>
      <c r="D124" s="13">
        <f ca="1">TODAY()+127</f>
        <v>44763</v>
      </c>
    </row>
    <row r="125" spans="1:4" x14ac:dyDescent="0.2">
      <c r="A125" s="14" t="s">
        <v>1251</v>
      </c>
      <c r="B125" s="14" t="s">
        <v>1076</v>
      </c>
      <c r="C125" t="s">
        <v>1118</v>
      </c>
      <c r="D125" s="13">
        <f ca="1">TODAY()+16</f>
        <v>44652</v>
      </c>
    </row>
    <row r="126" spans="1:4" x14ac:dyDescent="0.2">
      <c r="A126" s="14" t="s">
        <v>1252</v>
      </c>
      <c r="B126" s="14" t="s">
        <v>1108</v>
      </c>
      <c r="C126" t="s">
        <v>1113</v>
      </c>
      <c r="D126" s="13">
        <f ca="1">TODAY()-133</f>
        <v>44503</v>
      </c>
    </row>
    <row r="127" spans="1:4" x14ac:dyDescent="0.2">
      <c r="A127" s="14" t="s">
        <v>1253</v>
      </c>
      <c r="B127" s="14" t="s">
        <v>1107</v>
      </c>
      <c r="C127" t="s">
        <v>1116</v>
      </c>
      <c r="D127" s="13">
        <f ca="1">TODAY()-104</f>
        <v>44532</v>
      </c>
    </row>
    <row r="128" spans="1:4" x14ac:dyDescent="0.2">
      <c r="A128" s="14" t="s">
        <v>1254</v>
      </c>
      <c r="B128" s="14" t="s">
        <v>1070</v>
      </c>
      <c r="C128" t="s">
        <v>1120</v>
      </c>
      <c r="D128" s="13">
        <f ca="1">TODAY()-100</f>
        <v>44536</v>
      </c>
    </row>
    <row r="129" spans="1:4" x14ac:dyDescent="0.2">
      <c r="A129" s="14" t="s">
        <v>1255</v>
      </c>
      <c r="B129" s="14" t="s">
        <v>1082</v>
      </c>
      <c r="C129" t="s">
        <v>1121</v>
      </c>
      <c r="D129" s="13">
        <f ca="1">TODAY()+129</f>
        <v>44765</v>
      </c>
    </row>
    <row r="130" spans="1:4" x14ac:dyDescent="0.2">
      <c r="A130" s="14" t="s">
        <v>1256</v>
      </c>
      <c r="B130" s="14" t="s">
        <v>1072</v>
      </c>
      <c r="C130" t="s">
        <v>1115</v>
      </c>
      <c r="D130" s="13">
        <f ca="1">TODAY()+94</f>
        <v>44730</v>
      </c>
    </row>
    <row r="131" spans="1:4" x14ac:dyDescent="0.2">
      <c r="A131" s="14" t="s">
        <v>1257</v>
      </c>
      <c r="B131" s="14" t="s">
        <v>1095</v>
      </c>
      <c r="C131" t="s">
        <v>1116</v>
      </c>
      <c r="D131" s="13">
        <f ca="1">TODAY()-24</f>
        <v>44612</v>
      </c>
    </row>
    <row r="132" spans="1:4" x14ac:dyDescent="0.2">
      <c r="A132" s="14" t="s">
        <v>1258</v>
      </c>
      <c r="B132" s="14" t="s">
        <v>1069</v>
      </c>
      <c r="C132" t="s">
        <v>1112</v>
      </c>
      <c r="D132" s="13">
        <f ca="1">TODAY()+69</f>
        <v>44705</v>
      </c>
    </row>
    <row r="133" spans="1:4" x14ac:dyDescent="0.2">
      <c r="A133" s="14" t="s">
        <v>1259</v>
      </c>
      <c r="B133" s="14" t="s">
        <v>1095</v>
      </c>
      <c r="C133" t="s">
        <v>1121</v>
      </c>
      <c r="D133" s="13">
        <f ca="1">TODAY()+148</f>
        <v>44784</v>
      </c>
    </row>
    <row r="134" spans="1:4" x14ac:dyDescent="0.2">
      <c r="A134" s="14" t="s">
        <v>1260</v>
      </c>
      <c r="B134" s="14" t="s">
        <v>1080</v>
      </c>
      <c r="C134" t="s">
        <v>1113</v>
      </c>
      <c r="D134" s="13">
        <f ca="1">TODAY()-143</f>
        <v>44493</v>
      </c>
    </row>
    <row r="135" spans="1:4" x14ac:dyDescent="0.2">
      <c r="A135" s="14" t="s">
        <v>1261</v>
      </c>
      <c r="B135" s="14" t="s">
        <v>1070</v>
      </c>
      <c r="C135" t="s">
        <v>1114</v>
      </c>
      <c r="D135" s="13">
        <f ca="1">TODAY()+47</f>
        <v>44683</v>
      </c>
    </row>
    <row r="136" spans="1:4" x14ac:dyDescent="0.2">
      <c r="A136" s="14" t="s">
        <v>1262</v>
      </c>
      <c r="B136" s="14" t="s">
        <v>1068</v>
      </c>
      <c r="C136" t="s">
        <v>1117</v>
      </c>
      <c r="D136" s="13">
        <f ca="1">TODAY()+18</f>
        <v>44654</v>
      </c>
    </row>
    <row r="137" spans="1:4" x14ac:dyDescent="0.2">
      <c r="A137" s="14" t="s">
        <v>1263</v>
      </c>
      <c r="B137" s="14" t="s">
        <v>1071</v>
      </c>
      <c r="C137" t="s">
        <v>1112</v>
      </c>
      <c r="D137" s="13">
        <f ca="1">TODAY()+71</f>
        <v>44707</v>
      </c>
    </row>
    <row r="138" spans="1:4" x14ac:dyDescent="0.2">
      <c r="A138" s="14" t="s">
        <v>1264</v>
      </c>
      <c r="B138" s="14" t="s">
        <v>1109</v>
      </c>
      <c r="C138" t="s">
        <v>1119</v>
      </c>
      <c r="D138" s="13">
        <f ca="1">TODAY()+59</f>
        <v>44695</v>
      </c>
    </row>
    <row r="139" spans="1:4" x14ac:dyDescent="0.2">
      <c r="A139" s="14" t="s">
        <v>1265</v>
      </c>
      <c r="B139" s="14" t="s">
        <v>1109</v>
      </c>
      <c r="C139" t="s">
        <v>1117</v>
      </c>
      <c r="D139" s="13">
        <f ca="1">TODAY()-6</f>
        <v>44630</v>
      </c>
    </row>
    <row r="140" spans="1:4" x14ac:dyDescent="0.2">
      <c r="A140" s="14" t="s">
        <v>1266</v>
      </c>
      <c r="B140" s="14" t="s">
        <v>1086</v>
      </c>
      <c r="C140" t="s">
        <v>1121</v>
      </c>
      <c r="D140" s="13">
        <f ca="1">TODAY()+8</f>
        <v>44644</v>
      </c>
    </row>
    <row r="141" spans="1:4" x14ac:dyDescent="0.2">
      <c r="A141" s="14" t="s">
        <v>1267</v>
      </c>
      <c r="B141" s="14" t="s">
        <v>1095</v>
      </c>
      <c r="C141" t="s">
        <v>1119</v>
      </c>
      <c r="D141" s="13">
        <f ca="1">TODAY()-77</f>
        <v>44559</v>
      </c>
    </row>
    <row r="142" spans="1:4" x14ac:dyDescent="0.2">
      <c r="A142" s="14" t="s">
        <v>1268</v>
      </c>
      <c r="B142" s="14" t="s">
        <v>1087</v>
      </c>
      <c r="C142" t="s">
        <v>1112</v>
      </c>
      <c r="D142" s="13">
        <f ca="1">TODAY()-112</f>
        <v>44524</v>
      </c>
    </row>
    <row r="143" spans="1:4" x14ac:dyDescent="0.2">
      <c r="A143" s="14" t="s">
        <v>1269</v>
      </c>
      <c r="B143" s="14" t="s">
        <v>1109</v>
      </c>
      <c r="C143" t="s">
        <v>1116</v>
      </c>
      <c r="D143" s="13">
        <f ca="1">TODAY()+84</f>
        <v>44720</v>
      </c>
    </row>
    <row r="144" spans="1:4" x14ac:dyDescent="0.2">
      <c r="A144" s="14" t="s">
        <v>1270</v>
      </c>
      <c r="B144" s="14" t="s">
        <v>1091</v>
      </c>
      <c r="C144" t="s">
        <v>1120</v>
      </c>
      <c r="D144" s="13">
        <f ca="1">TODAY()-73</f>
        <v>44563</v>
      </c>
    </row>
    <row r="145" spans="1:4" x14ac:dyDescent="0.2">
      <c r="A145" s="14" t="s">
        <v>1271</v>
      </c>
      <c r="B145" s="14" t="s">
        <v>1108</v>
      </c>
      <c r="C145" t="s">
        <v>1118</v>
      </c>
      <c r="D145" s="13">
        <f ca="1">TODAY()-8</f>
        <v>44628</v>
      </c>
    </row>
    <row r="146" spans="1:4" x14ac:dyDescent="0.2">
      <c r="A146" s="14" t="s">
        <v>1272</v>
      </c>
      <c r="B146" s="14" t="s">
        <v>1088</v>
      </c>
      <c r="C146" t="s">
        <v>1118</v>
      </c>
      <c r="D146" s="13">
        <f ca="1">TODAY()-64</f>
        <v>44572</v>
      </c>
    </row>
    <row r="147" spans="1:4" x14ac:dyDescent="0.2">
      <c r="A147" s="14" t="s">
        <v>1273</v>
      </c>
      <c r="B147" s="14" t="s">
        <v>1071</v>
      </c>
      <c r="C147" t="s">
        <v>1114</v>
      </c>
      <c r="D147" s="13">
        <f ca="1">TODAY()+76</f>
        <v>44712</v>
      </c>
    </row>
    <row r="148" spans="1:4" x14ac:dyDescent="0.2">
      <c r="A148" s="14" t="s">
        <v>1274</v>
      </c>
      <c r="B148" s="14" t="s">
        <v>1084</v>
      </c>
      <c r="C148" t="s">
        <v>1115</v>
      </c>
      <c r="D148" s="13">
        <f ca="1">TODAY()-77</f>
        <v>44559</v>
      </c>
    </row>
    <row r="149" spans="1:4" x14ac:dyDescent="0.2">
      <c r="A149" s="14" t="s">
        <v>1275</v>
      </c>
      <c r="B149" s="14" t="s">
        <v>1075</v>
      </c>
      <c r="C149" t="s">
        <v>1114</v>
      </c>
      <c r="D149" s="13">
        <f ca="1">TODAY()-75</f>
        <v>44561</v>
      </c>
    </row>
    <row r="150" spans="1:4" x14ac:dyDescent="0.2">
      <c r="A150" s="14" t="s">
        <v>1276</v>
      </c>
      <c r="B150" s="14" t="s">
        <v>1088</v>
      </c>
      <c r="C150" t="s">
        <v>1120</v>
      </c>
      <c r="D150" s="13">
        <f ca="1">TODAY()-84</f>
        <v>44552</v>
      </c>
    </row>
    <row r="151" spans="1:4" x14ac:dyDescent="0.2">
      <c r="A151" s="14" t="s">
        <v>1277</v>
      </c>
      <c r="B151" s="14" t="s">
        <v>1095</v>
      </c>
      <c r="C151" t="s">
        <v>1114</v>
      </c>
      <c r="D151" s="13">
        <f ca="1">TODAY()+43</f>
        <v>44679</v>
      </c>
    </row>
    <row r="152" spans="1:4" x14ac:dyDescent="0.2">
      <c r="A152" s="14" t="s">
        <v>1278</v>
      </c>
      <c r="B152" s="14" t="s">
        <v>1068</v>
      </c>
      <c r="C152" t="s">
        <v>1117</v>
      </c>
      <c r="D152" s="13">
        <f ca="1">TODAY()-56</f>
        <v>44580</v>
      </c>
    </row>
    <row r="153" spans="1:4" x14ac:dyDescent="0.2">
      <c r="A153" s="14" t="s">
        <v>1279</v>
      </c>
      <c r="B153" s="14" t="s">
        <v>1099</v>
      </c>
      <c r="C153" t="s">
        <v>1114</v>
      </c>
      <c r="D153" s="13">
        <f ca="1">TODAY()+79</f>
        <v>44715</v>
      </c>
    </row>
    <row r="154" spans="1:4" x14ac:dyDescent="0.2">
      <c r="A154" s="14" t="s">
        <v>1280</v>
      </c>
      <c r="B154" s="14" t="s">
        <v>1109</v>
      </c>
      <c r="C154" t="s">
        <v>1112</v>
      </c>
      <c r="D154" s="13">
        <f ca="1">TODAY()-72</f>
        <v>44564</v>
      </c>
    </row>
    <row r="155" spans="1:4" x14ac:dyDescent="0.2">
      <c r="A155" s="14" t="s">
        <v>1281</v>
      </c>
      <c r="B155" s="14" t="s">
        <v>1076</v>
      </c>
      <c r="C155" t="s">
        <v>1115</v>
      </c>
      <c r="D155" s="13">
        <f ca="1">TODAY()-94</f>
        <v>44542</v>
      </c>
    </row>
    <row r="156" spans="1:4" x14ac:dyDescent="0.2">
      <c r="A156" s="14" t="s">
        <v>1282</v>
      </c>
      <c r="B156" s="14" t="s">
        <v>1078</v>
      </c>
      <c r="C156" t="s">
        <v>1119</v>
      </c>
      <c r="D156" s="13">
        <f ca="1">TODAY()-9</f>
        <v>44627</v>
      </c>
    </row>
    <row r="157" spans="1:4" x14ac:dyDescent="0.2">
      <c r="A157" s="14" t="s">
        <v>1283</v>
      </c>
      <c r="B157" s="14" t="s">
        <v>1096</v>
      </c>
      <c r="C157" t="s">
        <v>1118</v>
      </c>
      <c r="D157" s="13">
        <f ca="1">TODAY()-129</f>
        <v>44507</v>
      </c>
    </row>
    <row r="158" spans="1:4" x14ac:dyDescent="0.2">
      <c r="A158" s="14" t="s">
        <v>1284</v>
      </c>
      <c r="B158" s="14" t="s">
        <v>1083</v>
      </c>
      <c r="C158" t="s">
        <v>1113</v>
      </c>
      <c r="D158" s="13">
        <f ca="1">TODAY()-139</f>
        <v>44497</v>
      </c>
    </row>
    <row r="159" spans="1:4" x14ac:dyDescent="0.2">
      <c r="A159" s="14" t="s">
        <v>1285</v>
      </c>
      <c r="B159" s="14" t="s">
        <v>1066</v>
      </c>
      <c r="C159" t="s">
        <v>1119</v>
      </c>
      <c r="D159" s="13">
        <f ca="1">TODAY()-129</f>
        <v>44507</v>
      </c>
    </row>
    <row r="160" spans="1:4" x14ac:dyDescent="0.2">
      <c r="A160" s="14" t="s">
        <v>1286</v>
      </c>
      <c r="B160" s="14" t="s">
        <v>1108</v>
      </c>
      <c r="C160" t="s">
        <v>1116</v>
      </c>
      <c r="D160" s="13">
        <f ca="1">TODAY()+147</f>
        <v>44783</v>
      </c>
    </row>
    <row r="161" spans="1:4" x14ac:dyDescent="0.2">
      <c r="A161" s="14" t="s">
        <v>1287</v>
      </c>
      <c r="B161" s="14" t="s">
        <v>1070</v>
      </c>
      <c r="C161" t="s">
        <v>1113</v>
      </c>
      <c r="D161" s="13">
        <f ca="1">TODAY()-126</f>
        <v>44510</v>
      </c>
    </row>
    <row r="162" spans="1:4" x14ac:dyDescent="0.2">
      <c r="A162" s="14" t="s">
        <v>1288</v>
      </c>
      <c r="B162" s="14" t="s">
        <v>1098</v>
      </c>
      <c r="C162" t="s">
        <v>1119</v>
      </c>
      <c r="D162" s="13">
        <f ca="1">TODAY()-34</f>
        <v>44602</v>
      </c>
    </row>
    <row r="163" spans="1:4" x14ac:dyDescent="0.2">
      <c r="A163" s="14" t="s">
        <v>1289</v>
      </c>
      <c r="B163" s="14" t="s">
        <v>1096</v>
      </c>
      <c r="C163" t="s">
        <v>1112</v>
      </c>
      <c r="D163" s="13">
        <f ca="1">TODAY()-11</f>
        <v>44625</v>
      </c>
    </row>
    <row r="164" spans="1:4" x14ac:dyDescent="0.2">
      <c r="A164" s="14" t="s">
        <v>1290</v>
      </c>
      <c r="B164" s="14" t="s">
        <v>1096</v>
      </c>
      <c r="C164" t="s">
        <v>1116</v>
      </c>
      <c r="D164" s="13">
        <f ca="1">TODAY()+149</f>
        <v>44785</v>
      </c>
    </row>
    <row r="165" spans="1:4" x14ac:dyDescent="0.2">
      <c r="A165" s="14" t="s">
        <v>1291</v>
      </c>
      <c r="B165" s="14" t="s">
        <v>1086</v>
      </c>
      <c r="C165" t="s">
        <v>1112</v>
      </c>
      <c r="D165" s="13">
        <f ca="1">TODAY()-114</f>
        <v>44522</v>
      </c>
    </row>
    <row r="166" spans="1:4" x14ac:dyDescent="0.2">
      <c r="A166" s="14" t="s">
        <v>1292</v>
      </c>
      <c r="B166" s="14" t="s">
        <v>1089</v>
      </c>
      <c r="C166" t="s">
        <v>1113</v>
      </c>
      <c r="D166" s="13">
        <f ca="1">TODAY()-23</f>
        <v>44613</v>
      </c>
    </row>
    <row r="167" spans="1:4" x14ac:dyDescent="0.2">
      <c r="A167" s="14" t="s">
        <v>1293</v>
      </c>
      <c r="B167" s="14" t="s">
        <v>1079</v>
      </c>
      <c r="C167" t="s">
        <v>1120</v>
      </c>
      <c r="D167" s="13">
        <f ca="1">TODAY()-72</f>
        <v>44564</v>
      </c>
    </row>
    <row r="168" spans="1:4" x14ac:dyDescent="0.2">
      <c r="A168" s="14" t="s">
        <v>1294</v>
      </c>
      <c r="B168" s="14" t="s">
        <v>1082</v>
      </c>
      <c r="C168" t="s">
        <v>1112</v>
      </c>
      <c r="D168" s="13">
        <f ca="1">TODAY()-150</f>
        <v>44486</v>
      </c>
    </row>
    <row r="169" spans="1:4" x14ac:dyDescent="0.2">
      <c r="A169" s="14" t="s">
        <v>1295</v>
      </c>
      <c r="B169" s="14" t="s">
        <v>1087</v>
      </c>
      <c r="C169" t="s">
        <v>1115</v>
      </c>
      <c r="D169" s="13">
        <f ca="1">TODAY()+39</f>
        <v>44675</v>
      </c>
    </row>
    <row r="170" spans="1:4" x14ac:dyDescent="0.2">
      <c r="A170" s="14" t="s">
        <v>1296</v>
      </c>
      <c r="B170" s="14" t="s">
        <v>1078</v>
      </c>
      <c r="C170" t="s">
        <v>1115</v>
      </c>
      <c r="D170" s="13">
        <f ca="1">TODAY()-7</f>
        <v>44629</v>
      </c>
    </row>
    <row r="171" spans="1:4" x14ac:dyDescent="0.2">
      <c r="A171" s="14" t="s">
        <v>1297</v>
      </c>
      <c r="B171" s="14" t="s">
        <v>1089</v>
      </c>
      <c r="C171" t="s">
        <v>1121</v>
      </c>
      <c r="D171" s="13">
        <f ca="1">TODAY()-149</f>
        <v>44487</v>
      </c>
    </row>
    <row r="172" spans="1:4" x14ac:dyDescent="0.2">
      <c r="A172" s="14" t="s">
        <v>1298</v>
      </c>
      <c r="B172" s="14" t="s">
        <v>1095</v>
      </c>
      <c r="C172" t="s">
        <v>1117</v>
      </c>
      <c r="D172" s="13">
        <f ca="1">TODAY()+41</f>
        <v>44677</v>
      </c>
    </row>
    <row r="173" spans="1:4" x14ac:dyDescent="0.2">
      <c r="A173" s="14" t="s">
        <v>1299</v>
      </c>
      <c r="B173" s="14" t="s">
        <v>1078</v>
      </c>
      <c r="C173" t="s">
        <v>1113</v>
      </c>
      <c r="D173" s="13">
        <f ca="1">TODAY()+3</f>
        <v>44639</v>
      </c>
    </row>
    <row r="174" spans="1:4" x14ac:dyDescent="0.2">
      <c r="A174" s="14" t="s">
        <v>1300</v>
      </c>
      <c r="B174" s="14" t="s">
        <v>1090</v>
      </c>
      <c r="C174" t="s">
        <v>1112</v>
      </c>
      <c r="D174" s="13">
        <f ca="1">TODAY()-74</f>
        <v>44562</v>
      </c>
    </row>
    <row r="175" spans="1:4" x14ac:dyDescent="0.2">
      <c r="A175" s="14" t="s">
        <v>1301</v>
      </c>
      <c r="B175" s="14" t="s">
        <v>1067</v>
      </c>
      <c r="C175" t="s">
        <v>1116</v>
      </c>
      <c r="D175" s="13">
        <f ca="1">TODAY()-53</f>
        <v>44583</v>
      </c>
    </row>
    <row r="176" spans="1:4" x14ac:dyDescent="0.2">
      <c r="A176" s="14" t="s">
        <v>1302</v>
      </c>
      <c r="B176" s="14" t="s">
        <v>1093</v>
      </c>
      <c r="C176" t="s">
        <v>1118</v>
      </c>
      <c r="D176" s="13">
        <f ca="1">TODAY()-17</f>
        <v>44619</v>
      </c>
    </row>
    <row r="177" spans="1:4" x14ac:dyDescent="0.2">
      <c r="A177" s="14" t="s">
        <v>1303</v>
      </c>
      <c r="B177" s="14" t="s">
        <v>1104</v>
      </c>
      <c r="C177" t="s">
        <v>1118</v>
      </c>
      <c r="D177" s="13">
        <f ca="1">TODAY()-149</f>
        <v>44487</v>
      </c>
    </row>
    <row r="178" spans="1:4" x14ac:dyDescent="0.2">
      <c r="A178" s="14" t="s">
        <v>1304</v>
      </c>
      <c r="B178" s="14" t="s">
        <v>1103</v>
      </c>
      <c r="C178" t="s">
        <v>1115</v>
      </c>
      <c r="D178" s="13">
        <f ca="1">TODAY()-56</f>
        <v>44580</v>
      </c>
    </row>
    <row r="179" spans="1:4" x14ac:dyDescent="0.2">
      <c r="A179" s="14" t="s">
        <v>1305</v>
      </c>
      <c r="B179" s="14" t="s">
        <v>1103</v>
      </c>
      <c r="C179" t="s">
        <v>1116</v>
      </c>
      <c r="D179" s="13">
        <f ca="1">TODAY()+97</f>
        <v>44733</v>
      </c>
    </row>
    <row r="180" spans="1:4" x14ac:dyDescent="0.2">
      <c r="A180" s="14" t="s">
        <v>1306</v>
      </c>
      <c r="B180" s="14" t="s">
        <v>1082</v>
      </c>
      <c r="C180" t="s">
        <v>1121</v>
      </c>
      <c r="D180" s="13">
        <f ca="1">TODAY()+140</f>
        <v>44776</v>
      </c>
    </row>
    <row r="181" spans="1:4" x14ac:dyDescent="0.2">
      <c r="A181" s="14" t="s">
        <v>1307</v>
      </c>
      <c r="B181" s="14" t="s">
        <v>1081</v>
      </c>
      <c r="C181" t="s">
        <v>1112</v>
      </c>
      <c r="D181" s="13">
        <f ca="1">TODAY()+5</f>
        <v>44641</v>
      </c>
    </row>
    <row r="182" spans="1:4" x14ac:dyDescent="0.2">
      <c r="A182" s="14" t="s">
        <v>1308</v>
      </c>
      <c r="B182" s="14" t="s">
        <v>1089</v>
      </c>
      <c r="C182" t="s">
        <v>1116</v>
      </c>
      <c r="D182" s="13">
        <f ca="1">TODAY()-132</f>
        <v>44504</v>
      </c>
    </row>
    <row r="183" spans="1:4" x14ac:dyDescent="0.2">
      <c r="A183" s="14" t="s">
        <v>1309</v>
      </c>
      <c r="B183" s="14" t="s">
        <v>1086</v>
      </c>
      <c r="C183" t="s">
        <v>1121</v>
      </c>
      <c r="D183" s="13">
        <f ca="1">TODAY()+6</f>
        <v>44642</v>
      </c>
    </row>
    <row r="184" spans="1:4" x14ac:dyDescent="0.2">
      <c r="A184" s="14" t="s">
        <v>1310</v>
      </c>
      <c r="B184" s="14" t="s">
        <v>1081</v>
      </c>
      <c r="C184" t="s">
        <v>1116</v>
      </c>
      <c r="D184" s="13">
        <f ca="1">TODAY()-54</f>
        <v>44582</v>
      </c>
    </row>
    <row r="185" spans="1:4" x14ac:dyDescent="0.2">
      <c r="A185" s="14" t="s">
        <v>1311</v>
      </c>
      <c r="B185" s="14" t="s">
        <v>1090</v>
      </c>
      <c r="C185" t="s">
        <v>1121</v>
      </c>
      <c r="D185" s="13">
        <f ca="1">TODAY()-1</f>
        <v>44635</v>
      </c>
    </row>
    <row r="186" spans="1:4" x14ac:dyDescent="0.2">
      <c r="A186" s="14" t="s">
        <v>1312</v>
      </c>
      <c r="B186" s="14" t="s">
        <v>1066</v>
      </c>
      <c r="C186" t="s">
        <v>1112</v>
      </c>
      <c r="D186" s="13">
        <f ca="1">TODAY()+118</f>
        <v>44754</v>
      </c>
    </row>
    <row r="187" spans="1:4" x14ac:dyDescent="0.2">
      <c r="A187" s="14" t="s">
        <v>1313</v>
      </c>
      <c r="B187" s="14" t="s">
        <v>1082</v>
      </c>
      <c r="C187" t="s">
        <v>1118</v>
      </c>
      <c r="D187" s="13">
        <f ca="1">TODAY()-87</f>
        <v>44549</v>
      </c>
    </row>
    <row r="188" spans="1:4" x14ac:dyDescent="0.2">
      <c r="A188" s="14" t="s">
        <v>1314</v>
      </c>
      <c r="B188" s="14" t="s">
        <v>1094</v>
      </c>
      <c r="C188" t="s">
        <v>1120</v>
      </c>
      <c r="D188" s="13">
        <f ca="1">TODAY()+49</f>
        <v>44685</v>
      </c>
    </row>
    <row r="189" spans="1:4" x14ac:dyDescent="0.2">
      <c r="A189" s="14" t="s">
        <v>1315</v>
      </c>
      <c r="B189" s="14" t="s">
        <v>1076</v>
      </c>
      <c r="C189" t="s">
        <v>1121</v>
      </c>
      <c r="D189" s="13">
        <f ca="1">TODAY()+103</f>
        <v>44739</v>
      </c>
    </row>
    <row r="190" spans="1:4" x14ac:dyDescent="0.2">
      <c r="A190" s="14" t="s">
        <v>1316</v>
      </c>
      <c r="B190" s="14" t="s">
        <v>1074</v>
      </c>
      <c r="C190" t="s">
        <v>1120</v>
      </c>
      <c r="D190" s="13">
        <f ca="1">TODAY()-0</f>
        <v>44636</v>
      </c>
    </row>
    <row r="191" spans="1:4" x14ac:dyDescent="0.2">
      <c r="A191" s="14" t="s">
        <v>1317</v>
      </c>
      <c r="B191" s="14" t="s">
        <v>1077</v>
      </c>
      <c r="C191" t="s">
        <v>1118</v>
      </c>
      <c r="D191" s="13">
        <f ca="1">TODAY()-85</f>
        <v>44551</v>
      </c>
    </row>
    <row r="192" spans="1:4" x14ac:dyDescent="0.2">
      <c r="A192" s="14" t="s">
        <v>1318</v>
      </c>
      <c r="B192" s="14" t="s">
        <v>1087</v>
      </c>
      <c r="C192" t="s">
        <v>1119</v>
      </c>
      <c r="D192" s="13">
        <f ca="1">TODAY()-7</f>
        <v>44629</v>
      </c>
    </row>
    <row r="193" spans="1:4" x14ac:dyDescent="0.2">
      <c r="A193" s="14" t="s">
        <v>1319</v>
      </c>
      <c r="B193" s="14" t="s">
        <v>1078</v>
      </c>
      <c r="C193" t="s">
        <v>1120</v>
      </c>
      <c r="D193" s="13">
        <f ca="1">TODAY()+112</f>
        <v>44748</v>
      </c>
    </row>
    <row r="194" spans="1:4" x14ac:dyDescent="0.2">
      <c r="A194" s="14" t="s">
        <v>1320</v>
      </c>
      <c r="B194" s="14" t="s">
        <v>1088</v>
      </c>
      <c r="C194" t="s">
        <v>1113</v>
      </c>
      <c r="D194" s="13">
        <f ca="1">TODAY()-91</f>
        <v>44545</v>
      </c>
    </row>
    <row r="195" spans="1:4" x14ac:dyDescent="0.2">
      <c r="A195" s="14" t="s">
        <v>1321</v>
      </c>
      <c r="B195" s="14" t="s">
        <v>1075</v>
      </c>
      <c r="C195" t="s">
        <v>1119</v>
      </c>
      <c r="D195" s="13">
        <f ca="1">TODAY()-34</f>
        <v>44602</v>
      </c>
    </row>
    <row r="196" spans="1:4" x14ac:dyDescent="0.2">
      <c r="A196" s="14" t="s">
        <v>1322</v>
      </c>
      <c r="B196" s="14" t="s">
        <v>1076</v>
      </c>
      <c r="C196" t="s">
        <v>1112</v>
      </c>
      <c r="D196" s="13">
        <f ca="1">TODAY()-32</f>
        <v>44604</v>
      </c>
    </row>
    <row r="197" spans="1:4" x14ac:dyDescent="0.2">
      <c r="A197" s="14" t="s">
        <v>1323</v>
      </c>
      <c r="B197" s="14" t="s">
        <v>1102</v>
      </c>
      <c r="C197" t="s">
        <v>1121</v>
      </c>
      <c r="D197" s="13">
        <f ca="1">TODAY()+38</f>
        <v>44674</v>
      </c>
    </row>
    <row r="198" spans="1:4" x14ac:dyDescent="0.2">
      <c r="A198" s="14" t="s">
        <v>1324</v>
      </c>
      <c r="B198" s="14" t="s">
        <v>1096</v>
      </c>
      <c r="C198" t="s">
        <v>1117</v>
      </c>
      <c r="D198" s="13">
        <f ca="1">TODAY()-111</f>
        <v>44525</v>
      </c>
    </row>
    <row r="199" spans="1:4" x14ac:dyDescent="0.2">
      <c r="A199" s="14" t="s">
        <v>1325</v>
      </c>
      <c r="B199" s="14" t="s">
        <v>1072</v>
      </c>
      <c r="C199" t="s">
        <v>1113</v>
      </c>
      <c r="D199" s="13">
        <f ca="1">TODAY()-107</f>
        <v>44529</v>
      </c>
    </row>
    <row r="200" spans="1:4" x14ac:dyDescent="0.2">
      <c r="A200" s="14" t="s">
        <v>1326</v>
      </c>
      <c r="B200" s="14" t="s">
        <v>1084</v>
      </c>
      <c r="C200" t="s">
        <v>1114</v>
      </c>
      <c r="D200" s="13">
        <f ca="1">TODAY()-57</f>
        <v>44579</v>
      </c>
    </row>
    <row r="201" spans="1:4" x14ac:dyDescent="0.2">
      <c r="A201" s="14" t="s">
        <v>1327</v>
      </c>
      <c r="B201" s="14" t="s">
        <v>1099</v>
      </c>
      <c r="C201" t="s">
        <v>1118</v>
      </c>
      <c r="D201" s="13">
        <f ca="1">TODAY()-127</f>
        <v>44509</v>
      </c>
    </row>
    <row r="202" spans="1:4" x14ac:dyDescent="0.2">
      <c r="A202" s="14" t="s">
        <v>1328</v>
      </c>
      <c r="B202" s="14" t="s">
        <v>1094</v>
      </c>
      <c r="C202" t="s">
        <v>1115</v>
      </c>
      <c r="D202" s="13">
        <f ca="1">TODAY()-55</f>
        <v>44581</v>
      </c>
    </row>
    <row r="203" spans="1:4" x14ac:dyDescent="0.2">
      <c r="A203" s="14" t="s">
        <v>1329</v>
      </c>
      <c r="B203" s="14" t="s">
        <v>1088</v>
      </c>
      <c r="C203" t="s">
        <v>1112</v>
      </c>
      <c r="D203" s="13">
        <f ca="1">TODAY()-46</f>
        <v>44590</v>
      </c>
    </row>
    <row r="204" spans="1:4" x14ac:dyDescent="0.2">
      <c r="A204" s="14" t="s">
        <v>1330</v>
      </c>
      <c r="B204" s="14" t="s">
        <v>1075</v>
      </c>
      <c r="C204" t="s">
        <v>1117</v>
      </c>
      <c r="D204" s="13">
        <f ca="1">TODAY()-47</f>
        <v>44589</v>
      </c>
    </row>
    <row r="205" spans="1:4" x14ac:dyDescent="0.2">
      <c r="A205" s="14" t="s">
        <v>1331</v>
      </c>
      <c r="B205" s="14" t="s">
        <v>1100</v>
      </c>
      <c r="C205" t="s">
        <v>1115</v>
      </c>
      <c r="D205" s="13">
        <f ca="1">TODAY()-30</f>
        <v>44606</v>
      </c>
    </row>
    <row r="206" spans="1:4" x14ac:dyDescent="0.2">
      <c r="A206" s="14" t="s">
        <v>1332</v>
      </c>
      <c r="B206" s="14" t="s">
        <v>1073</v>
      </c>
      <c r="C206" t="s">
        <v>1114</v>
      </c>
      <c r="D206" s="13">
        <f ca="1">TODAY()+146</f>
        <v>44782</v>
      </c>
    </row>
    <row r="207" spans="1:4" x14ac:dyDescent="0.2">
      <c r="A207" s="14" t="s">
        <v>1333</v>
      </c>
      <c r="B207" s="14" t="s">
        <v>1079</v>
      </c>
      <c r="C207" t="s">
        <v>1115</v>
      </c>
      <c r="D207" s="13">
        <f ca="1">TODAY()+16</f>
        <v>44652</v>
      </c>
    </row>
    <row r="208" spans="1:4" x14ac:dyDescent="0.2">
      <c r="A208" s="14" t="s">
        <v>1334</v>
      </c>
      <c r="B208" s="14" t="s">
        <v>1093</v>
      </c>
      <c r="C208" t="s">
        <v>1112</v>
      </c>
      <c r="D208" s="13">
        <f ca="1">TODAY()-127</f>
        <v>44509</v>
      </c>
    </row>
    <row r="209" spans="1:4" x14ac:dyDescent="0.2">
      <c r="A209" s="14" t="s">
        <v>1335</v>
      </c>
      <c r="B209" s="14" t="s">
        <v>1066</v>
      </c>
      <c r="C209" t="s">
        <v>1120</v>
      </c>
      <c r="D209" s="13">
        <f ca="1">TODAY()+56</f>
        <v>44692</v>
      </c>
    </row>
    <row r="210" spans="1:4" x14ac:dyDescent="0.2">
      <c r="A210" s="14" t="s">
        <v>1336</v>
      </c>
      <c r="B210" s="14" t="s">
        <v>1081</v>
      </c>
      <c r="C210" t="s">
        <v>1114</v>
      </c>
      <c r="D210" s="13">
        <f ca="1">TODAY()+32</f>
        <v>44668</v>
      </c>
    </row>
    <row r="211" spans="1:4" x14ac:dyDescent="0.2">
      <c r="A211" s="14" t="s">
        <v>1337</v>
      </c>
      <c r="B211" s="14" t="s">
        <v>1086</v>
      </c>
      <c r="C211" t="s">
        <v>1118</v>
      </c>
      <c r="D211" s="13">
        <f ca="1">TODAY()+73</f>
        <v>44709</v>
      </c>
    </row>
    <row r="212" spans="1:4" x14ac:dyDescent="0.2">
      <c r="A212" s="14" t="s">
        <v>1338</v>
      </c>
      <c r="B212" s="14" t="s">
        <v>1095</v>
      </c>
      <c r="C212" t="s">
        <v>1121</v>
      </c>
      <c r="D212" s="13">
        <f ca="1">TODAY()-22</f>
        <v>44614</v>
      </c>
    </row>
    <row r="213" spans="1:4" x14ac:dyDescent="0.2">
      <c r="A213" s="14" t="s">
        <v>1339</v>
      </c>
      <c r="B213" s="14" t="s">
        <v>1104</v>
      </c>
      <c r="C213" t="s">
        <v>1119</v>
      </c>
      <c r="D213" s="13">
        <f ca="1">TODAY()+39</f>
        <v>44675</v>
      </c>
    </row>
    <row r="214" spans="1:4" x14ac:dyDescent="0.2">
      <c r="A214" s="14" t="s">
        <v>1340</v>
      </c>
      <c r="B214" s="14" t="s">
        <v>1092</v>
      </c>
      <c r="C214" t="s">
        <v>1117</v>
      </c>
      <c r="D214" s="13">
        <f ca="1">TODAY()-22</f>
        <v>44614</v>
      </c>
    </row>
    <row r="215" spans="1:4" x14ac:dyDescent="0.2">
      <c r="A215" s="14" t="s">
        <v>1341</v>
      </c>
      <c r="B215" s="14" t="s">
        <v>1087</v>
      </c>
      <c r="C215" t="s">
        <v>1121</v>
      </c>
      <c r="D215" s="13">
        <f ca="1">TODAY()-106</f>
        <v>44530</v>
      </c>
    </row>
    <row r="216" spans="1:4" x14ac:dyDescent="0.2">
      <c r="A216" s="14" t="s">
        <v>1342</v>
      </c>
      <c r="B216" s="14" t="s">
        <v>1080</v>
      </c>
      <c r="C216" t="s">
        <v>1113</v>
      </c>
      <c r="D216" s="13">
        <f ca="1">TODAY()+85</f>
        <v>44721</v>
      </c>
    </row>
    <row r="217" spans="1:4" x14ac:dyDescent="0.2">
      <c r="A217" s="14" t="s">
        <v>1343</v>
      </c>
      <c r="B217" s="14" t="s">
        <v>1087</v>
      </c>
      <c r="C217" t="s">
        <v>1112</v>
      </c>
      <c r="D217" s="13">
        <f ca="1">TODAY()-57</f>
        <v>44579</v>
      </c>
    </row>
    <row r="218" spans="1:4" x14ac:dyDescent="0.2">
      <c r="A218" s="14" t="s">
        <v>1344</v>
      </c>
      <c r="B218" s="14" t="s">
        <v>1090</v>
      </c>
      <c r="C218" t="s">
        <v>1115</v>
      </c>
      <c r="D218" s="13">
        <f ca="1">TODAY()+67</f>
        <v>44703</v>
      </c>
    </row>
    <row r="219" spans="1:4" x14ac:dyDescent="0.2">
      <c r="A219" s="14" t="s">
        <v>1345</v>
      </c>
      <c r="B219" s="14" t="s">
        <v>1093</v>
      </c>
      <c r="C219" t="s">
        <v>1119</v>
      </c>
      <c r="D219" s="13">
        <f ca="1">TODAY()+52</f>
        <v>44688</v>
      </c>
    </row>
    <row r="220" spans="1:4" x14ac:dyDescent="0.2">
      <c r="A220" s="14" t="s">
        <v>1346</v>
      </c>
      <c r="B220" s="14" t="s">
        <v>1083</v>
      </c>
      <c r="C220" t="s">
        <v>1116</v>
      </c>
      <c r="D220" s="13">
        <f ca="1">TODAY()-94</f>
        <v>44542</v>
      </c>
    </row>
    <row r="221" spans="1:4" x14ac:dyDescent="0.2">
      <c r="A221" s="14" t="s">
        <v>1347</v>
      </c>
      <c r="B221" s="14" t="s">
        <v>1095</v>
      </c>
      <c r="C221" t="s">
        <v>1119</v>
      </c>
      <c r="D221" s="13">
        <f ca="1">TODAY()-125</f>
        <v>44511</v>
      </c>
    </row>
    <row r="222" spans="1:4" x14ac:dyDescent="0.2">
      <c r="A222" s="14" t="s">
        <v>1348</v>
      </c>
      <c r="B222" s="14" t="s">
        <v>1069</v>
      </c>
      <c r="C222" t="s">
        <v>1112</v>
      </c>
      <c r="D222" s="13">
        <f ca="1">TODAY()-75</f>
        <v>44561</v>
      </c>
    </row>
    <row r="223" spans="1:4" x14ac:dyDescent="0.2">
      <c r="A223" s="14" t="s">
        <v>1349</v>
      </c>
      <c r="B223" s="14" t="s">
        <v>1082</v>
      </c>
      <c r="C223" t="s">
        <v>1120</v>
      </c>
      <c r="D223" s="13">
        <f ca="1">TODAY()-5</f>
        <v>44631</v>
      </c>
    </row>
    <row r="224" spans="1:4" x14ac:dyDescent="0.2">
      <c r="A224" s="14" t="s">
        <v>1350</v>
      </c>
      <c r="B224" s="14" t="s">
        <v>1087</v>
      </c>
      <c r="C224" t="s">
        <v>1115</v>
      </c>
      <c r="D224" s="13">
        <f ca="1">TODAY()-38</f>
        <v>44598</v>
      </c>
    </row>
    <row r="225" spans="1:4" x14ac:dyDescent="0.2">
      <c r="A225" s="14" t="s">
        <v>1351</v>
      </c>
      <c r="B225" s="14" t="s">
        <v>1108</v>
      </c>
      <c r="C225" t="s">
        <v>1117</v>
      </c>
      <c r="D225" s="13">
        <f ca="1">TODAY()-131</f>
        <v>44505</v>
      </c>
    </row>
    <row r="226" spans="1:4" x14ac:dyDescent="0.2">
      <c r="A226" s="14" t="s">
        <v>1352</v>
      </c>
      <c r="B226" s="14" t="s">
        <v>1094</v>
      </c>
      <c r="C226" t="s">
        <v>1116</v>
      </c>
      <c r="D226" s="13">
        <f ca="1">TODAY()+132</f>
        <v>44768</v>
      </c>
    </row>
    <row r="227" spans="1:4" x14ac:dyDescent="0.2">
      <c r="A227" s="14" t="s">
        <v>1353</v>
      </c>
      <c r="B227" s="14" t="s">
        <v>1069</v>
      </c>
      <c r="C227" t="s">
        <v>1115</v>
      </c>
      <c r="D227" s="13">
        <f ca="1">TODAY()-22</f>
        <v>44614</v>
      </c>
    </row>
    <row r="228" spans="1:4" x14ac:dyDescent="0.2">
      <c r="A228" s="14" t="s">
        <v>1354</v>
      </c>
      <c r="B228" s="14" t="s">
        <v>1079</v>
      </c>
      <c r="C228" t="s">
        <v>1118</v>
      </c>
      <c r="D228" s="13">
        <f ca="1">TODAY()+99</f>
        <v>44735</v>
      </c>
    </row>
    <row r="229" spans="1:4" x14ac:dyDescent="0.2">
      <c r="A229" s="14" t="s">
        <v>1355</v>
      </c>
      <c r="B229" s="14" t="s">
        <v>1066</v>
      </c>
      <c r="C229" t="s">
        <v>1117</v>
      </c>
      <c r="D229" s="13">
        <f ca="1">TODAY()-12</f>
        <v>44624</v>
      </c>
    </row>
    <row r="230" spans="1:4" x14ac:dyDescent="0.2">
      <c r="A230" s="14" t="s">
        <v>1356</v>
      </c>
      <c r="B230" s="14" t="s">
        <v>1098</v>
      </c>
      <c r="C230" t="s">
        <v>1115</v>
      </c>
      <c r="D230" s="13">
        <f ca="1">TODAY()+115</f>
        <v>44751</v>
      </c>
    </row>
    <row r="231" spans="1:4" x14ac:dyDescent="0.2">
      <c r="A231" s="14" t="s">
        <v>1357</v>
      </c>
      <c r="B231" s="14" t="s">
        <v>1067</v>
      </c>
      <c r="C231" t="s">
        <v>1115</v>
      </c>
      <c r="D231" s="13">
        <f ca="1">TODAY()+17</f>
        <v>44653</v>
      </c>
    </row>
    <row r="232" spans="1:4" x14ac:dyDescent="0.2">
      <c r="A232" s="14" t="s">
        <v>1358</v>
      </c>
      <c r="B232" s="14" t="s">
        <v>1094</v>
      </c>
      <c r="C232" t="s">
        <v>1112</v>
      </c>
      <c r="D232" s="13">
        <f ca="1">TODAY()-132</f>
        <v>44504</v>
      </c>
    </row>
    <row r="233" spans="1:4" x14ac:dyDescent="0.2">
      <c r="A233" s="14" t="s">
        <v>1359</v>
      </c>
      <c r="B233" s="14" t="s">
        <v>1074</v>
      </c>
      <c r="C233" t="s">
        <v>1118</v>
      </c>
      <c r="D233" s="13">
        <f ca="1">TODAY()+113</f>
        <v>44749</v>
      </c>
    </row>
    <row r="234" spans="1:4" x14ac:dyDescent="0.2">
      <c r="A234" s="14" t="s">
        <v>1360</v>
      </c>
      <c r="B234" s="14" t="s">
        <v>1089</v>
      </c>
      <c r="C234" t="s">
        <v>1115</v>
      </c>
      <c r="D234" s="13">
        <f ca="1">TODAY()-81</f>
        <v>44555</v>
      </c>
    </row>
    <row r="235" spans="1:4" x14ac:dyDescent="0.2">
      <c r="A235" s="14" t="s">
        <v>1361</v>
      </c>
      <c r="B235" s="14" t="s">
        <v>1098</v>
      </c>
      <c r="C235" t="s">
        <v>1117</v>
      </c>
      <c r="D235" s="13">
        <f ca="1">TODAY()+111</f>
        <v>44747</v>
      </c>
    </row>
    <row r="236" spans="1:4" x14ac:dyDescent="0.2">
      <c r="A236" s="14" t="s">
        <v>1362</v>
      </c>
      <c r="B236" s="14" t="s">
        <v>1093</v>
      </c>
      <c r="C236" t="s">
        <v>1119</v>
      </c>
      <c r="D236" s="13">
        <f ca="1">TODAY()+132</f>
        <v>44768</v>
      </c>
    </row>
    <row r="237" spans="1:4" x14ac:dyDescent="0.2">
      <c r="A237" s="14" t="s">
        <v>1363</v>
      </c>
      <c r="B237" s="14" t="s">
        <v>1093</v>
      </c>
      <c r="C237" t="s">
        <v>1119</v>
      </c>
      <c r="D237" s="13">
        <f ca="1">TODAY()+79</f>
        <v>44715</v>
      </c>
    </row>
    <row r="238" spans="1:4" x14ac:dyDescent="0.2">
      <c r="A238" s="14" t="s">
        <v>1364</v>
      </c>
      <c r="B238" s="14" t="s">
        <v>1107</v>
      </c>
      <c r="C238" t="s">
        <v>1117</v>
      </c>
      <c r="D238" s="13">
        <f ca="1">TODAY()+146</f>
        <v>44782</v>
      </c>
    </row>
    <row r="239" spans="1:4" x14ac:dyDescent="0.2">
      <c r="A239" s="14" t="s">
        <v>1365</v>
      </c>
      <c r="B239" s="14" t="s">
        <v>1068</v>
      </c>
      <c r="C239" t="s">
        <v>1112</v>
      </c>
      <c r="D239" s="13">
        <f ca="1">TODAY()+52</f>
        <v>44688</v>
      </c>
    </row>
    <row r="240" spans="1:4" x14ac:dyDescent="0.2">
      <c r="A240" s="14" t="s">
        <v>1366</v>
      </c>
      <c r="B240" s="14" t="s">
        <v>1106</v>
      </c>
      <c r="C240" t="s">
        <v>1115</v>
      </c>
      <c r="D240" s="13">
        <f ca="1">TODAY()+122</f>
        <v>44758</v>
      </c>
    </row>
    <row r="241" spans="1:4" x14ac:dyDescent="0.2">
      <c r="A241" s="14" t="s">
        <v>1367</v>
      </c>
      <c r="B241" s="14" t="s">
        <v>1070</v>
      </c>
      <c r="C241" t="s">
        <v>1113</v>
      </c>
      <c r="D241" s="13">
        <f ca="1">TODAY()-42</f>
        <v>44594</v>
      </c>
    </row>
    <row r="242" spans="1:4" x14ac:dyDescent="0.2">
      <c r="A242" s="14" t="s">
        <v>1368</v>
      </c>
      <c r="B242" s="14" t="s">
        <v>1080</v>
      </c>
      <c r="C242" t="s">
        <v>1114</v>
      </c>
      <c r="D242" s="13">
        <f ca="1">TODAY()+141</f>
        <v>44777</v>
      </c>
    </row>
    <row r="243" spans="1:4" x14ac:dyDescent="0.2">
      <c r="A243" s="14" t="s">
        <v>1369</v>
      </c>
      <c r="B243" s="14" t="s">
        <v>1109</v>
      </c>
      <c r="C243" t="s">
        <v>1121</v>
      </c>
      <c r="D243" s="13">
        <f ca="1">TODAY()-55</f>
        <v>44581</v>
      </c>
    </row>
    <row r="244" spans="1:4" x14ac:dyDescent="0.2">
      <c r="A244" s="14" t="s">
        <v>1370</v>
      </c>
      <c r="B244" s="14" t="s">
        <v>1083</v>
      </c>
      <c r="C244" t="s">
        <v>1113</v>
      </c>
      <c r="D244" s="13">
        <f ca="1">TODAY()-25</f>
        <v>44611</v>
      </c>
    </row>
    <row r="245" spans="1:4" x14ac:dyDescent="0.2">
      <c r="A245" s="14" t="s">
        <v>1371</v>
      </c>
      <c r="B245" s="14" t="s">
        <v>1095</v>
      </c>
      <c r="C245" t="s">
        <v>1113</v>
      </c>
      <c r="D245" s="13">
        <f ca="1">TODAY()+103</f>
        <v>44739</v>
      </c>
    </row>
    <row r="246" spans="1:4" x14ac:dyDescent="0.2">
      <c r="A246" s="14" t="s">
        <v>1372</v>
      </c>
      <c r="B246" s="14" t="s">
        <v>1077</v>
      </c>
      <c r="C246" t="s">
        <v>1118</v>
      </c>
      <c r="D246" s="13">
        <f ca="1">TODAY()-20</f>
        <v>44616</v>
      </c>
    </row>
    <row r="247" spans="1:4" x14ac:dyDescent="0.2">
      <c r="A247" s="14" t="s">
        <v>1373</v>
      </c>
      <c r="B247" s="14" t="s">
        <v>1087</v>
      </c>
      <c r="C247" t="s">
        <v>1113</v>
      </c>
      <c r="D247" s="13">
        <f ca="1">TODAY()-82</f>
        <v>44554</v>
      </c>
    </row>
    <row r="248" spans="1:4" x14ac:dyDescent="0.2">
      <c r="A248" s="14" t="s">
        <v>1374</v>
      </c>
      <c r="B248" s="14" t="s">
        <v>1096</v>
      </c>
      <c r="C248" t="s">
        <v>1119</v>
      </c>
      <c r="D248" s="13">
        <f ca="1">TODAY()-101</f>
        <v>44535</v>
      </c>
    </row>
    <row r="249" spans="1:4" x14ac:dyDescent="0.2">
      <c r="A249" s="14" t="s">
        <v>1375</v>
      </c>
      <c r="B249" s="14" t="s">
        <v>1094</v>
      </c>
      <c r="C249" t="s">
        <v>1121</v>
      </c>
      <c r="D249" s="13">
        <f ca="1">TODAY()-1</f>
        <v>44635</v>
      </c>
    </row>
    <row r="250" spans="1:4" x14ac:dyDescent="0.2">
      <c r="A250" s="14" t="s">
        <v>1376</v>
      </c>
      <c r="B250" s="14" t="s">
        <v>1106</v>
      </c>
      <c r="C250" t="s">
        <v>1121</v>
      </c>
      <c r="D250" s="13">
        <f ca="1">TODAY()+113</f>
        <v>44749</v>
      </c>
    </row>
    <row r="251" spans="1:4" x14ac:dyDescent="0.2">
      <c r="A251" s="14" t="s">
        <v>1377</v>
      </c>
      <c r="B251" s="14" t="s">
        <v>1107</v>
      </c>
      <c r="C251" t="s">
        <v>1120</v>
      </c>
      <c r="D251" s="13">
        <f ca="1">TODAY()+102</f>
        <v>44738</v>
      </c>
    </row>
    <row r="252" spans="1:4" x14ac:dyDescent="0.2">
      <c r="A252" s="14" t="s">
        <v>1378</v>
      </c>
      <c r="B252" s="14" t="s">
        <v>1069</v>
      </c>
      <c r="C252" t="s">
        <v>1112</v>
      </c>
      <c r="D252" s="13">
        <f ca="1">TODAY()-37</f>
        <v>44599</v>
      </c>
    </row>
    <row r="253" spans="1:4" x14ac:dyDescent="0.2">
      <c r="A253" s="14" t="s">
        <v>1379</v>
      </c>
      <c r="B253" s="14" t="s">
        <v>1075</v>
      </c>
      <c r="C253" t="s">
        <v>1119</v>
      </c>
      <c r="D253" s="13">
        <f ca="1">TODAY()-92</f>
        <v>44544</v>
      </c>
    </row>
    <row r="254" spans="1:4" x14ac:dyDescent="0.2">
      <c r="A254" s="14" t="s">
        <v>1380</v>
      </c>
      <c r="B254" s="14" t="s">
        <v>1103</v>
      </c>
      <c r="C254" t="s">
        <v>1119</v>
      </c>
      <c r="D254" s="13">
        <f ca="1">TODAY()-28</f>
        <v>44608</v>
      </c>
    </row>
    <row r="255" spans="1:4" x14ac:dyDescent="0.2">
      <c r="A255" s="14" t="s">
        <v>1381</v>
      </c>
      <c r="B255" s="14" t="s">
        <v>1109</v>
      </c>
      <c r="C255" t="s">
        <v>1119</v>
      </c>
      <c r="D255" s="13">
        <f ca="1">TODAY()-132</f>
        <v>44504</v>
      </c>
    </row>
    <row r="256" spans="1:4" x14ac:dyDescent="0.2">
      <c r="A256" s="14" t="s">
        <v>1382</v>
      </c>
      <c r="B256" s="14" t="s">
        <v>1087</v>
      </c>
      <c r="C256" t="s">
        <v>1113</v>
      </c>
      <c r="D256" s="13">
        <f ca="1">TODAY()-88</f>
        <v>44548</v>
      </c>
    </row>
    <row r="257" spans="1:4" x14ac:dyDescent="0.2">
      <c r="A257" s="14" t="s">
        <v>1383</v>
      </c>
      <c r="B257" s="14" t="s">
        <v>1077</v>
      </c>
      <c r="C257" t="s">
        <v>1115</v>
      </c>
      <c r="D257" s="13">
        <f ca="1">TODAY()-65</f>
        <v>44571</v>
      </c>
    </row>
    <row r="258" spans="1:4" x14ac:dyDescent="0.2">
      <c r="A258" s="14" t="s">
        <v>1384</v>
      </c>
      <c r="B258" s="14" t="s">
        <v>1107</v>
      </c>
      <c r="C258" t="s">
        <v>1115</v>
      </c>
      <c r="D258" s="13">
        <f ca="1">TODAY()-23</f>
        <v>44613</v>
      </c>
    </row>
    <row r="259" spans="1:4" x14ac:dyDescent="0.2">
      <c r="A259" s="14" t="s">
        <v>1385</v>
      </c>
      <c r="B259" s="14" t="s">
        <v>1065</v>
      </c>
      <c r="C259" t="s">
        <v>1115</v>
      </c>
      <c r="D259" s="13">
        <f ca="1">TODAY()-39</f>
        <v>44597</v>
      </c>
    </row>
    <row r="260" spans="1:4" x14ac:dyDescent="0.2">
      <c r="A260" s="14" t="s">
        <v>1386</v>
      </c>
      <c r="B260" s="14" t="s">
        <v>1096</v>
      </c>
      <c r="C260" t="s">
        <v>1118</v>
      </c>
      <c r="D260" s="13">
        <f ca="1">TODAY()-37</f>
        <v>44599</v>
      </c>
    </row>
    <row r="261" spans="1:4" x14ac:dyDescent="0.2">
      <c r="A261" s="14" t="s">
        <v>1387</v>
      </c>
      <c r="B261" s="14" t="s">
        <v>1094</v>
      </c>
      <c r="C261" t="s">
        <v>1117</v>
      </c>
      <c r="D261" s="13">
        <f ca="1">TODAY()+20</f>
        <v>44656</v>
      </c>
    </row>
    <row r="262" spans="1:4" x14ac:dyDescent="0.2">
      <c r="A262" s="14" t="s">
        <v>1388</v>
      </c>
      <c r="B262" s="14" t="s">
        <v>1085</v>
      </c>
      <c r="C262" t="s">
        <v>1114</v>
      </c>
      <c r="D262" s="13">
        <f ca="1">TODAY()-4</f>
        <v>44632</v>
      </c>
    </row>
    <row r="263" spans="1:4" x14ac:dyDescent="0.2">
      <c r="A263" s="14" t="s">
        <v>1389</v>
      </c>
      <c r="B263" s="14" t="s">
        <v>1097</v>
      </c>
      <c r="C263" t="s">
        <v>1117</v>
      </c>
      <c r="D263" s="13">
        <f ca="1">TODAY()-107</f>
        <v>44529</v>
      </c>
    </row>
    <row r="264" spans="1:4" x14ac:dyDescent="0.2">
      <c r="A264" s="14" t="s">
        <v>1390</v>
      </c>
      <c r="B264" s="14" t="s">
        <v>1086</v>
      </c>
      <c r="C264" t="s">
        <v>1119</v>
      </c>
      <c r="D264" s="13">
        <f ca="1">TODAY()-70</f>
        <v>44566</v>
      </c>
    </row>
    <row r="265" spans="1:4" x14ac:dyDescent="0.2">
      <c r="A265" s="14" t="s">
        <v>1391</v>
      </c>
      <c r="B265" s="14" t="s">
        <v>1076</v>
      </c>
      <c r="C265" t="s">
        <v>1115</v>
      </c>
      <c r="D265" s="13">
        <f ca="1">TODAY()+133</f>
        <v>44769</v>
      </c>
    </row>
    <row r="266" spans="1:4" x14ac:dyDescent="0.2">
      <c r="A266" s="14" t="s">
        <v>1392</v>
      </c>
      <c r="B266" s="14" t="s">
        <v>1081</v>
      </c>
      <c r="C266" t="s">
        <v>1120</v>
      </c>
      <c r="D266" s="13">
        <f ca="1">TODAY()-69</f>
        <v>44567</v>
      </c>
    </row>
    <row r="267" spans="1:4" x14ac:dyDescent="0.2">
      <c r="A267" s="14" t="s">
        <v>1393</v>
      </c>
      <c r="B267" s="14" t="s">
        <v>1104</v>
      </c>
      <c r="C267" t="s">
        <v>1115</v>
      </c>
      <c r="D267" s="13">
        <f ca="1">TODAY()+81</f>
        <v>44717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5AC9A-AE6C-426F-AB53-BB214DED91C1}">
  <dimension ref="A1:G501"/>
  <sheetViews>
    <sheetView workbookViewId="0">
      <selection activeCell="J8" sqref="J8"/>
    </sheetView>
  </sheetViews>
  <sheetFormatPr defaultRowHeight="12" x14ac:dyDescent="0.2"/>
  <cols>
    <col min="1" max="1" width="13.6640625" customWidth="1"/>
    <col min="2" max="2" width="20.33203125" bestFit="1" customWidth="1"/>
    <col min="3" max="5" width="11.83203125" customWidth="1"/>
  </cols>
  <sheetData>
    <row r="1" spans="1:7" x14ac:dyDescent="0.2">
      <c r="A1" s="22" t="s">
        <v>634</v>
      </c>
      <c r="B1" s="23" t="s">
        <v>224</v>
      </c>
      <c r="C1" s="24" t="s">
        <v>1394</v>
      </c>
      <c r="D1" s="24" t="s">
        <v>1397</v>
      </c>
      <c r="E1" s="24" t="s">
        <v>226</v>
      </c>
    </row>
    <row r="2" spans="1:7" x14ac:dyDescent="0.2">
      <c r="A2" s="5">
        <v>54380044</v>
      </c>
      <c r="B2" t="s">
        <v>294</v>
      </c>
      <c r="C2" s="18">
        <f ca="1">TODAY()-260</f>
        <v>44376</v>
      </c>
      <c r="D2" s="19">
        <v>1</v>
      </c>
      <c r="E2" s="20">
        <v>6511600</v>
      </c>
    </row>
    <row r="3" spans="1:7" x14ac:dyDescent="0.2">
      <c r="A3" s="5">
        <v>98597711</v>
      </c>
      <c r="B3" t="s">
        <v>360</v>
      </c>
      <c r="C3" s="18">
        <f ca="1">TODAY()-260</f>
        <v>44376</v>
      </c>
      <c r="D3" s="19">
        <v>1</v>
      </c>
      <c r="E3" s="20">
        <v>193800</v>
      </c>
      <c r="G3" s="3" t="s">
        <v>1395</v>
      </c>
    </row>
    <row r="4" spans="1:7" x14ac:dyDescent="0.2">
      <c r="A4" s="5">
        <v>92320257</v>
      </c>
      <c r="B4" t="s">
        <v>527</v>
      </c>
      <c r="C4" s="18">
        <f ca="1">TODAY()-260</f>
        <v>44376</v>
      </c>
      <c r="D4" s="19">
        <v>1</v>
      </c>
      <c r="E4" s="20">
        <v>8732400</v>
      </c>
      <c r="G4" s="3" t="s">
        <v>1396</v>
      </c>
    </row>
    <row r="5" spans="1:7" x14ac:dyDescent="0.2">
      <c r="A5" s="5">
        <v>34061779</v>
      </c>
      <c r="B5" t="s">
        <v>589</v>
      </c>
      <c r="C5" s="18">
        <f ca="1">TODAY()-260</f>
        <v>44376</v>
      </c>
      <c r="D5" s="19">
        <v>1</v>
      </c>
      <c r="E5" s="20">
        <v>1106100</v>
      </c>
      <c r="G5" s="3" t="s">
        <v>1398</v>
      </c>
    </row>
    <row r="6" spans="1:7" x14ac:dyDescent="0.2">
      <c r="A6" s="5">
        <v>38906965</v>
      </c>
      <c r="B6" t="s">
        <v>530</v>
      </c>
      <c r="C6" s="18">
        <f ca="1">TODAY()-260</f>
        <v>44376</v>
      </c>
      <c r="D6" s="19">
        <v>1</v>
      </c>
      <c r="E6" s="20">
        <v>12200</v>
      </c>
      <c r="G6" s="3" t="s">
        <v>1403</v>
      </c>
    </row>
    <row r="7" spans="1:7" x14ac:dyDescent="0.2">
      <c r="A7" s="5">
        <v>49401672</v>
      </c>
      <c r="B7" t="s">
        <v>287</v>
      </c>
      <c r="C7" s="18">
        <f ca="1">TODAY()-259</f>
        <v>44377</v>
      </c>
      <c r="D7" s="19">
        <v>1</v>
      </c>
      <c r="E7" s="20">
        <v>4430700</v>
      </c>
      <c r="G7" s="3" t="s">
        <v>1404</v>
      </c>
    </row>
    <row r="8" spans="1:7" x14ac:dyDescent="0.2">
      <c r="A8" s="5">
        <v>48952443</v>
      </c>
      <c r="B8" t="s">
        <v>439</v>
      </c>
      <c r="C8" s="18">
        <f ca="1">TODAY()-258</f>
        <v>44378</v>
      </c>
      <c r="D8" s="19">
        <v>1</v>
      </c>
      <c r="E8" s="20">
        <v>79400</v>
      </c>
      <c r="G8" s="3" t="s">
        <v>1405</v>
      </c>
    </row>
    <row r="9" spans="1:7" x14ac:dyDescent="0.2">
      <c r="A9" s="5">
        <v>55611854</v>
      </c>
      <c r="B9" t="s">
        <v>433</v>
      </c>
      <c r="C9" s="18">
        <f ca="1">TODAY()-258</f>
        <v>44378</v>
      </c>
      <c r="D9" s="19">
        <v>1</v>
      </c>
      <c r="E9" s="20">
        <v>62800</v>
      </c>
    </row>
    <row r="10" spans="1:7" x14ac:dyDescent="0.2">
      <c r="A10" s="5">
        <v>42535077</v>
      </c>
      <c r="B10" t="s">
        <v>357</v>
      </c>
      <c r="C10" s="18">
        <f ca="1">TODAY()-258</f>
        <v>44378</v>
      </c>
      <c r="D10" s="19">
        <v>1</v>
      </c>
      <c r="E10" s="20">
        <v>5905600</v>
      </c>
      <c r="G10" s="8" t="s">
        <v>1399</v>
      </c>
    </row>
    <row r="11" spans="1:7" x14ac:dyDescent="0.2">
      <c r="A11" s="5">
        <v>38906965</v>
      </c>
      <c r="B11" t="s">
        <v>530</v>
      </c>
      <c r="C11" s="18">
        <f ca="1">TODAY()-258</f>
        <v>44378</v>
      </c>
      <c r="D11" s="19">
        <v>2</v>
      </c>
      <c r="E11" s="20">
        <v>10300</v>
      </c>
      <c r="G11" s="8" t="s">
        <v>1400</v>
      </c>
    </row>
    <row r="12" spans="1:7" x14ac:dyDescent="0.2">
      <c r="A12" s="5">
        <v>78374480</v>
      </c>
      <c r="B12" t="s">
        <v>331</v>
      </c>
      <c r="C12" s="18">
        <f ca="1">TODAY()-258</f>
        <v>44378</v>
      </c>
      <c r="D12" s="19">
        <v>1</v>
      </c>
      <c r="E12" s="20">
        <v>5155100</v>
      </c>
      <c r="G12" s="8" t="s">
        <v>1401</v>
      </c>
    </row>
    <row r="13" spans="1:7" x14ac:dyDescent="0.2">
      <c r="A13" s="5">
        <v>47805922</v>
      </c>
      <c r="B13" t="s">
        <v>566</v>
      </c>
      <c r="C13" s="18">
        <f t="shared" ref="C13:C18" ca="1" si="0">TODAY()-257</f>
        <v>44379</v>
      </c>
      <c r="D13" s="19">
        <v>1</v>
      </c>
      <c r="E13" s="20">
        <v>93700</v>
      </c>
      <c r="G13" s="8" t="s">
        <v>1402</v>
      </c>
    </row>
    <row r="14" spans="1:7" x14ac:dyDescent="0.2">
      <c r="A14" s="5">
        <v>48952443</v>
      </c>
      <c r="B14" t="s">
        <v>439</v>
      </c>
      <c r="C14" s="18">
        <f t="shared" ca="1" si="0"/>
        <v>44379</v>
      </c>
      <c r="D14" s="19">
        <v>2</v>
      </c>
      <c r="E14" s="20">
        <v>59900</v>
      </c>
    </row>
    <row r="15" spans="1:7" x14ac:dyDescent="0.2">
      <c r="A15" s="5">
        <v>54380044</v>
      </c>
      <c r="B15" t="s">
        <v>294</v>
      </c>
      <c r="C15" s="18">
        <f t="shared" ca="1" si="0"/>
        <v>44379</v>
      </c>
      <c r="D15" s="19">
        <v>2</v>
      </c>
      <c r="E15" s="20">
        <v>6573000</v>
      </c>
      <c r="G15" s="8" t="s">
        <v>1406</v>
      </c>
    </row>
    <row r="16" spans="1:7" x14ac:dyDescent="0.2">
      <c r="A16" s="5">
        <v>97700070</v>
      </c>
      <c r="B16" t="s">
        <v>338</v>
      </c>
      <c r="C16" s="18">
        <f t="shared" ca="1" si="0"/>
        <v>44379</v>
      </c>
      <c r="D16" s="19">
        <v>1</v>
      </c>
      <c r="E16" s="20">
        <v>6141900</v>
      </c>
      <c r="G16" s="8" t="s">
        <v>1407</v>
      </c>
    </row>
    <row r="17" spans="1:5" x14ac:dyDescent="0.2">
      <c r="A17" s="5">
        <v>92320257</v>
      </c>
      <c r="B17" t="s">
        <v>527</v>
      </c>
      <c r="C17" s="18">
        <f t="shared" ca="1" si="0"/>
        <v>44379</v>
      </c>
      <c r="D17" s="19">
        <v>2</v>
      </c>
      <c r="E17" s="20">
        <v>8024300</v>
      </c>
    </row>
    <row r="18" spans="1:5" x14ac:dyDescent="0.2">
      <c r="A18" s="5">
        <v>95360283</v>
      </c>
      <c r="B18" t="s">
        <v>556</v>
      </c>
      <c r="C18" s="18">
        <f t="shared" ca="1" si="0"/>
        <v>44379</v>
      </c>
      <c r="D18" s="19">
        <v>1</v>
      </c>
      <c r="E18" s="20">
        <v>32800</v>
      </c>
    </row>
    <row r="19" spans="1:5" x14ac:dyDescent="0.2">
      <c r="A19" s="5">
        <v>75057713</v>
      </c>
      <c r="B19" t="s">
        <v>594</v>
      </c>
      <c r="C19" s="18">
        <f ca="1">TODAY()-256</f>
        <v>44380</v>
      </c>
      <c r="D19" s="19">
        <v>1</v>
      </c>
      <c r="E19" s="20">
        <v>90300</v>
      </c>
    </row>
    <row r="20" spans="1:5" x14ac:dyDescent="0.2">
      <c r="A20" s="5">
        <v>56383353</v>
      </c>
      <c r="B20" t="s">
        <v>367</v>
      </c>
      <c r="C20" s="18">
        <f ca="1">TODAY()-255</f>
        <v>44381</v>
      </c>
      <c r="D20" s="19">
        <v>1</v>
      </c>
      <c r="E20" s="20">
        <v>76900</v>
      </c>
    </row>
    <row r="21" spans="1:5" x14ac:dyDescent="0.2">
      <c r="A21" s="5">
        <v>44982022</v>
      </c>
      <c r="B21" t="s">
        <v>581</v>
      </c>
      <c r="C21" s="18">
        <f ca="1">TODAY()-255</f>
        <v>44381</v>
      </c>
      <c r="D21" s="19">
        <v>1</v>
      </c>
      <c r="E21" s="20">
        <v>97300</v>
      </c>
    </row>
    <row r="22" spans="1:5" x14ac:dyDescent="0.2">
      <c r="A22" s="5">
        <v>63528015</v>
      </c>
      <c r="B22" t="s">
        <v>382</v>
      </c>
      <c r="C22" s="18">
        <f ca="1">TODAY()-254</f>
        <v>44382</v>
      </c>
      <c r="D22" s="19">
        <v>1</v>
      </c>
      <c r="E22" s="20">
        <v>21500</v>
      </c>
    </row>
    <row r="23" spans="1:5" x14ac:dyDescent="0.2">
      <c r="A23" s="5">
        <v>80104779</v>
      </c>
      <c r="B23" t="s">
        <v>568</v>
      </c>
      <c r="C23" s="18">
        <f ca="1">TODAY()-253</f>
        <v>44383</v>
      </c>
      <c r="D23" s="19">
        <v>1</v>
      </c>
      <c r="E23" s="20">
        <v>1036500</v>
      </c>
    </row>
    <row r="24" spans="1:5" x14ac:dyDescent="0.2">
      <c r="A24" s="5">
        <v>77134361</v>
      </c>
      <c r="B24" t="s">
        <v>596</v>
      </c>
      <c r="C24" s="18">
        <f ca="1">TODAY()-252</f>
        <v>44384</v>
      </c>
      <c r="D24" s="19">
        <v>1</v>
      </c>
      <c r="E24" s="20">
        <v>60900</v>
      </c>
    </row>
    <row r="25" spans="1:5" x14ac:dyDescent="0.2">
      <c r="A25" s="5">
        <v>55611854</v>
      </c>
      <c r="B25" t="s">
        <v>433</v>
      </c>
      <c r="C25" s="18">
        <f ca="1">TODAY()-252</f>
        <v>44384</v>
      </c>
      <c r="D25" s="19">
        <v>2</v>
      </c>
      <c r="E25" s="20">
        <v>71400</v>
      </c>
    </row>
    <row r="26" spans="1:5" x14ac:dyDescent="0.2">
      <c r="A26" s="5">
        <v>47564315</v>
      </c>
      <c r="B26" t="s">
        <v>396</v>
      </c>
      <c r="C26" s="18">
        <f ca="1">TODAY()-252</f>
        <v>44384</v>
      </c>
      <c r="D26" s="19">
        <v>1</v>
      </c>
      <c r="E26" s="20">
        <v>9114600</v>
      </c>
    </row>
    <row r="27" spans="1:5" x14ac:dyDescent="0.2">
      <c r="A27" s="5">
        <v>72848119</v>
      </c>
      <c r="B27" t="s">
        <v>451</v>
      </c>
      <c r="C27" s="18">
        <f ca="1">TODAY()-252</f>
        <v>44384</v>
      </c>
      <c r="D27" s="19">
        <v>1</v>
      </c>
      <c r="E27" s="20">
        <v>68200</v>
      </c>
    </row>
    <row r="28" spans="1:5" x14ac:dyDescent="0.2">
      <c r="A28" s="5">
        <v>72006643</v>
      </c>
      <c r="B28" t="s">
        <v>495</v>
      </c>
      <c r="C28" s="18">
        <f ca="1">TODAY()-252</f>
        <v>44384</v>
      </c>
      <c r="D28" s="19">
        <v>1</v>
      </c>
      <c r="E28" s="20">
        <v>196200</v>
      </c>
    </row>
    <row r="29" spans="1:5" x14ac:dyDescent="0.2">
      <c r="A29" s="5">
        <v>78944070</v>
      </c>
      <c r="B29" t="s">
        <v>540</v>
      </c>
      <c r="C29" s="18">
        <f ca="1">TODAY()-251</f>
        <v>44385</v>
      </c>
      <c r="D29" s="19">
        <v>1</v>
      </c>
      <c r="E29" s="20">
        <v>49200</v>
      </c>
    </row>
    <row r="30" spans="1:5" x14ac:dyDescent="0.2">
      <c r="A30" s="5">
        <v>97352928</v>
      </c>
      <c r="B30" t="s">
        <v>456</v>
      </c>
      <c r="C30" s="18">
        <f ca="1">TODAY()-250</f>
        <v>44386</v>
      </c>
      <c r="D30" s="19">
        <v>1</v>
      </c>
      <c r="E30" s="20">
        <v>7289100</v>
      </c>
    </row>
    <row r="31" spans="1:5" x14ac:dyDescent="0.2">
      <c r="A31" s="5">
        <v>81269643</v>
      </c>
      <c r="B31" t="s">
        <v>630</v>
      </c>
      <c r="C31" s="18">
        <f ca="1">TODAY()-249</f>
        <v>44387</v>
      </c>
      <c r="D31" s="19">
        <v>1</v>
      </c>
      <c r="E31" s="20">
        <v>2438300</v>
      </c>
    </row>
    <row r="32" spans="1:5" x14ac:dyDescent="0.2">
      <c r="A32" s="5">
        <v>35504210</v>
      </c>
      <c r="B32" t="s">
        <v>424</v>
      </c>
      <c r="C32" s="18">
        <f ca="1">TODAY()-248</f>
        <v>44388</v>
      </c>
      <c r="D32" s="19">
        <v>1</v>
      </c>
      <c r="E32" s="20">
        <v>59700</v>
      </c>
    </row>
    <row r="33" spans="1:5" x14ac:dyDescent="0.2">
      <c r="A33" s="5">
        <v>58333032</v>
      </c>
      <c r="B33" t="s">
        <v>562</v>
      </c>
      <c r="C33" s="18">
        <f ca="1">TODAY()-248</f>
        <v>44388</v>
      </c>
      <c r="D33" s="19">
        <v>1</v>
      </c>
      <c r="E33" s="20">
        <v>23400</v>
      </c>
    </row>
    <row r="34" spans="1:5" x14ac:dyDescent="0.2">
      <c r="A34" s="5">
        <v>35504210</v>
      </c>
      <c r="B34" t="s">
        <v>424</v>
      </c>
      <c r="C34" s="18">
        <f ca="1">TODAY()-248</f>
        <v>44388</v>
      </c>
      <c r="D34" s="19">
        <v>2</v>
      </c>
      <c r="E34" s="20">
        <v>45200</v>
      </c>
    </row>
    <row r="35" spans="1:5" x14ac:dyDescent="0.2">
      <c r="A35" s="5">
        <v>43324700</v>
      </c>
      <c r="B35" t="s">
        <v>404</v>
      </c>
      <c r="C35" s="18">
        <f ca="1">TODAY()-247</f>
        <v>44389</v>
      </c>
      <c r="D35" s="19">
        <v>1</v>
      </c>
      <c r="E35" s="20">
        <v>788700</v>
      </c>
    </row>
    <row r="36" spans="1:5" x14ac:dyDescent="0.2">
      <c r="A36" s="5">
        <v>92019613</v>
      </c>
      <c r="B36" t="s">
        <v>368</v>
      </c>
      <c r="C36" s="18">
        <f ca="1">TODAY()-246</f>
        <v>44390</v>
      </c>
      <c r="D36" s="19">
        <v>1</v>
      </c>
      <c r="E36" s="20">
        <v>33600</v>
      </c>
    </row>
    <row r="37" spans="1:5" x14ac:dyDescent="0.2">
      <c r="A37" s="5">
        <v>47564315</v>
      </c>
      <c r="B37" t="s">
        <v>396</v>
      </c>
      <c r="C37" s="18">
        <f ca="1">TODAY()-245</f>
        <v>44391</v>
      </c>
      <c r="D37" s="19">
        <v>2</v>
      </c>
      <c r="E37" s="20">
        <v>9031700</v>
      </c>
    </row>
    <row r="38" spans="1:5" x14ac:dyDescent="0.2">
      <c r="A38" s="5">
        <v>34061779</v>
      </c>
      <c r="B38" t="s">
        <v>589</v>
      </c>
      <c r="C38" s="18">
        <f ca="1">TODAY()-244</f>
        <v>44392</v>
      </c>
      <c r="D38" s="19">
        <v>2</v>
      </c>
      <c r="E38" s="20">
        <v>1474800</v>
      </c>
    </row>
    <row r="39" spans="1:5" x14ac:dyDescent="0.2">
      <c r="A39" s="5">
        <v>81269643</v>
      </c>
      <c r="B39" t="s">
        <v>630</v>
      </c>
      <c r="C39" s="18">
        <f ca="1">TODAY()-243</f>
        <v>44393</v>
      </c>
      <c r="D39" s="19">
        <v>2</v>
      </c>
      <c r="E39" s="20">
        <v>2662000</v>
      </c>
    </row>
    <row r="40" spans="1:5" x14ac:dyDescent="0.2">
      <c r="A40" s="5">
        <v>41312447</v>
      </c>
      <c r="B40" t="s">
        <v>271</v>
      </c>
      <c r="C40" s="18">
        <f ca="1">TODAY()-242</f>
        <v>44394</v>
      </c>
      <c r="D40" s="19">
        <v>1</v>
      </c>
      <c r="E40" s="20">
        <v>265200</v>
      </c>
    </row>
    <row r="41" spans="1:5" x14ac:dyDescent="0.2">
      <c r="A41" s="5">
        <v>68215900</v>
      </c>
      <c r="B41" t="s">
        <v>444</v>
      </c>
      <c r="C41" s="18">
        <f ca="1">TODAY()-241</f>
        <v>44395</v>
      </c>
      <c r="D41" s="19">
        <v>1</v>
      </c>
      <c r="E41" s="20">
        <v>8766700</v>
      </c>
    </row>
    <row r="42" spans="1:5" x14ac:dyDescent="0.2">
      <c r="A42" s="5">
        <v>56383353</v>
      </c>
      <c r="B42" t="s">
        <v>367</v>
      </c>
      <c r="C42" s="18">
        <f ca="1">TODAY()-240</f>
        <v>44396</v>
      </c>
      <c r="D42" s="19">
        <v>2</v>
      </c>
      <c r="E42" s="20">
        <v>91300</v>
      </c>
    </row>
    <row r="43" spans="1:5" x14ac:dyDescent="0.2">
      <c r="A43" s="5">
        <v>95360283</v>
      </c>
      <c r="B43" t="s">
        <v>556</v>
      </c>
      <c r="C43" s="18">
        <f ca="1">TODAY()-240</f>
        <v>44396</v>
      </c>
      <c r="D43" s="19">
        <v>2</v>
      </c>
      <c r="E43" s="20">
        <v>41900</v>
      </c>
    </row>
    <row r="44" spans="1:5" x14ac:dyDescent="0.2">
      <c r="A44" s="5">
        <v>47564315</v>
      </c>
      <c r="B44" t="s">
        <v>396</v>
      </c>
      <c r="C44" s="18">
        <f ca="1">TODAY()-240</f>
        <v>44396</v>
      </c>
      <c r="D44" s="19">
        <v>3</v>
      </c>
      <c r="E44" s="20">
        <v>8534600</v>
      </c>
    </row>
    <row r="45" spans="1:5" x14ac:dyDescent="0.2">
      <c r="A45" s="5">
        <v>72848119</v>
      </c>
      <c r="B45" t="s">
        <v>451</v>
      </c>
      <c r="C45" s="18">
        <f ca="1">TODAY()-239</f>
        <v>44397</v>
      </c>
      <c r="D45" s="19">
        <v>2</v>
      </c>
      <c r="E45" s="20">
        <v>61600</v>
      </c>
    </row>
    <row r="46" spans="1:5" x14ac:dyDescent="0.2">
      <c r="A46" s="5">
        <v>60521821</v>
      </c>
      <c r="B46" t="s">
        <v>445</v>
      </c>
      <c r="C46" s="18">
        <f ca="1">TODAY()-238</f>
        <v>44398</v>
      </c>
      <c r="D46" s="19">
        <v>1</v>
      </c>
      <c r="E46" s="20">
        <v>5136500</v>
      </c>
    </row>
    <row r="47" spans="1:5" x14ac:dyDescent="0.2">
      <c r="A47" s="5">
        <v>75489043</v>
      </c>
      <c r="B47" t="s">
        <v>558</v>
      </c>
      <c r="C47" s="18">
        <f ca="1">TODAY()-237</f>
        <v>44399</v>
      </c>
      <c r="D47" s="19">
        <v>1</v>
      </c>
      <c r="E47" s="20">
        <v>354200</v>
      </c>
    </row>
    <row r="48" spans="1:5" x14ac:dyDescent="0.2">
      <c r="A48" s="5">
        <v>92019613</v>
      </c>
      <c r="B48" t="s">
        <v>368</v>
      </c>
      <c r="C48" s="18">
        <f ca="1">TODAY()-237</f>
        <v>44399</v>
      </c>
      <c r="D48" s="19">
        <v>2</v>
      </c>
      <c r="E48" s="20">
        <v>38300</v>
      </c>
    </row>
    <row r="49" spans="1:5" x14ac:dyDescent="0.2">
      <c r="A49" s="5">
        <v>68215900</v>
      </c>
      <c r="B49" t="s">
        <v>444</v>
      </c>
      <c r="C49" s="18">
        <f ca="1">TODAY()-236</f>
        <v>44400</v>
      </c>
      <c r="D49" s="19">
        <v>2</v>
      </c>
      <c r="E49" s="20">
        <v>7735400</v>
      </c>
    </row>
    <row r="50" spans="1:5" x14ac:dyDescent="0.2">
      <c r="A50" s="5">
        <v>98597711</v>
      </c>
      <c r="B50" t="s">
        <v>360</v>
      </c>
      <c r="C50" s="18">
        <f ca="1">TODAY()-236</f>
        <v>44400</v>
      </c>
      <c r="D50" s="19">
        <v>2</v>
      </c>
      <c r="E50" s="20">
        <v>225400</v>
      </c>
    </row>
    <row r="51" spans="1:5" x14ac:dyDescent="0.2">
      <c r="A51" s="5">
        <v>57425327</v>
      </c>
      <c r="B51" t="s">
        <v>603</v>
      </c>
      <c r="C51" s="18">
        <f ca="1">TODAY()-235</f>
        <v>44401</v>
      </c>
      <c r="D51" s="19">
        <v>1</v>
      </c>
      <c r="E51" s="20">
        <v>17300</v>
      </c>
    </row>
    <row r="52" spans="1:5" x14ac:dyDescent="0.2">
      <c r="A52" s="5">
        <v>97700070</v>
      </c>
      <c r="B52" t="s">
        <v>338</v>
      </c>
      <c r="C52" s="18">
        <f ca="1">TODAY()-234</f>
        <v>44402</v>
      </c>
      <c r="D52" s="19">
        <v>2</v>
      </c>
      <c r="E52" s="20">
        <v>6917100</v>
      </c>
    </row>
    <row r="53" spans="1:5" x14ac:dyDescent="0.2">
      <c r="A53" s="5">
        <v>80104779</v>
      </c>
      <c r="B53" t="s">
        <v>568</v>
      </c>
      <c r="C53" s="18">
        <f ca="1">TODAY()-233</f>
        <v>44403</v>
      </c>
      <c r="D53" s="19">
        <v>2</v>
      </c>
      <c r="E53" s="20">
        <v>717600</v>
      </c>
    </row>
    <row r="54" spans="1:5" x14ac:dyDescent="0.2">
      <c r="A54" s="5">
        <v>41312447</v>
      </c>
      <c r="B54" t="s">
        <v>271</v>
      </c>
      <c r="C54" s="18">
        <f ca="1">TODAY()-232</f>
        <v>44404</v>
      </c>
      <c r="D54" s="19">
        <v>2</v>
      </c>
      <c r="E54" s="20">
        <v>226700</v>
      </c>
    </row>
    <row r="55" spans="1:5" x14ac:dyDescent="0.2">
      <c r="A55" s="5">
        <v>43863800</v>
      </c>
      <c r="B55" t="s">
        <v>504</v>
      </c>
      <c r="C55" s="18">
        <f ca="1">TODAY()-232</f>
        <v>44404</v>
      </c>
      <c r="D55" s="19">
        <v>1</v>
      </c>
      <c r="E55" s="20">
        <v>4091000</v>
      </c>
    </row>
    <row r="56" spans="1:5" x14ac:dyDescent="0.2">
      <c r="A56" s="5">
        <v>35504210</v>
      </c>
      <c r="B56" t="s">
        <v>424</v>
      </c>
      <c r="C56" s="18">
        <f ca="1">TODAY()-231</f>
        <v>44405</v>
      </c>
      <c r="D56" s="19">
        <v>3</v>
      </c>
      <c r="E56" s="20">
        <v>44100</v>
      </c>
    </row>
    <row r="57" spans="1:5" x14ac:dyDescent="0.2">
      <c r="A57" s="5">
        <v>79476220</v>
      </c>
      <c r="B57" t="s">
        <v>548</v>
      </c>
      <c r="C57" s="18">
        <f ca="1">TODAY()-231</f>
        <v>44405</v>
      </c>
      <c r="D57" s="19">
        <v>1</v>
      </c>
      <c r="E57" s="20">
        <v>2610800</v>
      </c>
    </row>
    <row r="58" spans="1:5" x14ac:dyDescent="0.2">
      <c r="A58" s="5">
        <v>43863800</v>
      </c>
      <c r="B58" t="s">
        <v>504</v>
      </c>
      <c r="C58" s="18">
        <f ca="1">TODAY()-230</f>
        <v>44406</v>
      </c>
      <c r="D58" s="19">
        <v>2</v>
      </c>
      <c r="E58" s="20">
        <v>5288300</v>
      </c>
    </row>
    <row r="59" spans="1:5" x14ac:dyDescent="0.2">
      <c r="A59" s="5">
        <v>98597711</v>
      </c>
      <c r="B59" t="s">
        <v>360</v>
      </c>
      <c r="C59" s="18">
        <f ca="1">TODAY()-230</f>
        <v>44406</v>
      </c>
      <c r="D59" s="19">
        <v>3</v>
      </c>
      <c r="E59" s="20">
        <v>179100</v>
      </c>
    </row>
    <row r="60" spans="1:5" x14ac:dyDescent="0.2">
      <c r="A60" s="5">
        <v>47805922</v>
      </c>
      <c r="B60" t="s">
        <v>566</v>
      </c>
      <c r="C60" s="18">
        <f ca="1">TODAY()-230</f>
        <v>44406</v>
      </c>
      <c r="D60" s="19">
        <v>2</v>
      </c>
      <c r="E60" s="20">
        <v>79700</v>
      </c>
    </row>
    <row r="61" spans="1:5" x14ac:dyDescent="0.2">
      <c r="A61" s="5">
        <v>92320257</v>
      </c>
      <c r="B61" t="s">
        <v>527</v>
      </c>
      <c r="C61" s="18">
        <f ca="1">TODAY()-229</f>
        <v>44407</v>
      </c>
      <c r="D61" s="19">
        <v>3</v>
      </c>
      <c r="E61" s="20">
        <v>7316300</v>
      </c>
    </row>
    <row r="62" spans="1:5" x14ac:dyDescent="0.2">
      <c r="A62" s="5">
        <v>60521821</v>
      </c>
      <c r="B62" t="s">
        <v>445</v>
      </c>
      <c r="C62" s="18">
        <f ca="1">TODAY()-229</f>
        <v>44407</v>
      </c>
      <c r="D62" s="19">
        <v>2</v>
      </c>
      <c r="E62" s="20">
        <v>6081100</v>
      </c>
    </row>
    <row r="63" spans="1:5" x14ac:dyDescent="0.2">
      <c r="A63" s="5">
        <v>54380044</v>
      </c>
      <c r="B63" t="s">
        <v>294</v>
      </c>
      <c r="C63" s="18">
        <f ca="1">TODAY()-228</f>
        <v>44408</v>
      </c>
      <c r="D63" s="19">
        <v>3</v>
      </c>
      <c r="E63" s="20">
        <v>7187300</v>
      </c>
    </row>
    <row r="64" spans="1:5" x14ac:dyDescent="0.2">
      <c r="A64" s="5">
        <v>59948756</v>
      </c>
      <c r="B64" t="s">
        <v>469</v>
      </c>
      <c r="C64" s="18">
        <f ca="1">TODAY()-228</f>
        <v>44408</v>
      </c>
      <c r="D64" s="19">
        <v>1</v>
      </c>
      <c r="E64" s="20">
        <v>29000</v>
      </c>
    </row>
    <row r="65" spans="1:5" x14ac:dyDescent="0.2">
      <c r="A65" s="5">
        <v>72848119</v>
      </c>
      <c r="B65" t="s">
        <v>451</v>
      </c>
      <c r="C65" s="18">
        <f ca="1">TODAY()-228</f>
        <v>44408</v>
      </c>
      <c r="D65" s="19">
        <v>3</v>
      </c>
      <c r="E65" s="20">
        <v>58300</v>
      </c>
    </row>
    <row r="66" spans="1:5" x14ac:dyDescent="0.2">
      <c r="A66" s="5">
        <v>75489043</v>
      </c>
      <c r="B66" t="s">
        <v>558</v>
      </c>
      <c r="C66" s="18">
        <f ca="1">TODAY()-228</f>
        <v>44408</v>
      </c>
      <c r="D66" s="19">
        <v>2</v>
      </c>
      <c r="E66" s="20">
        <v>257600</v>
      </c>
    </row>
    <row r="67" spans="1:5" x14ac:dyDescent="0.2">
      <c r="A67" s="5">
        <v>72848119</v>
      </c>
      <c r="B67" t="s">
        <v>451</v>
      </c>
      <c r="C67" s="18">
        <f ca="1">TODAY()-228</f>
        <v>44408</v>
      </c>
      <c r="D67" s="19">
        <v>4</v>
      </c>
      <c r="E67" s="20">
        <v>74900</v>
      </c>
    </row>
    <row r="68" spans="1:5" x14ac:dyDescent="0.2">
      <c r="A68" s="5">
        <v>49401672</v>
      </c>
      <c r="B68" t="s">
        <v>287</v>
      </c>
      <c r="C68" s="18">
        <f ca="1">TODAY()-227</f>
        <v>44409</v>
      </c>
      <c r="D68" s="19">
        <v>2</v>
      </c>
      <c r="E68" s="20">
        <v>3987600</v>
      </c>
    </row>
    <row r="69" spans="1:5" x14ac:dyDescent="0.2">
      <c r="A69" s="5">
        <v>43324700</v>
      </c>
      <c r="B69" t="s">
        <v>404</v>
      </c>
      <c r="C69" s="18">
        <f ca="1">TODAY()-226</f>
        <v>44410</v>
      </c>
      <c r="D69" s="19">
        <v>2</v>
      </c>
      <c r="E69" s="20">
        <v>603900</v>
      </c>
    </row>
    <row r="70" spans="1:5" x14ac:dyDescent="0.2">
      <c r="A70" s="5">
        <v>91327243</v>
      </c>
      <c r="B70" t="s">
        <v>544</v>
      </c>
      <c r="C70" s="18">
        <f ca="1">TODAY()-225</f>
        <v>44411</v>
      </c>
      <c r="D70" s="19">
        <v>1</v>
      </c>
      <c r="E70" s="20">
        <v>6678900</v>
      </c>
    </row>
    <row r="71" spans="1:5" x14ac:dyDescent="0.2">
      <c r="A71" s="5">
        <v>79476220</v>
      </c>
      <c r="B71" t="s">
        <v>548</v>
      </c>
      <c r="C71" s="18">
        <f ca="1">TODAY()-225</f>
        <v>44411</v>
      </c>
      <c r="D71" s="19">
        <v>2</v>
      </c>
      <c r="E71" s="20">
        <v>2928000</v>
      </c>
    </row>
    <row r="72" spans="1:5" x14ac:dyDescent="0.2">
      <c r="A72" s="5">
        <v>54380044</v>
      </c>
      <c r="B72" t="s">
        <v>294</v>
      </c>
      <c r="C72" s="18">
        <f ca="1">TODAY()-224</f>
        <v>44412</v>
      </c>
      <c r="D72" s="19">
        <v>4</v>
      </c>
      <c r="E72" s="20">
        <v>5774400</v>
      </c>
    </row>
    <row r="73" spans="1:5" x14ac:dyDescent="0.2">
      <c r="A73" s="5">
        <v>56383353</v>
      </c>
      <c r="B73" t="s">
        <v>367</v>
      </c>
      <c r="C73" s="18">
        <f ca="1">TODAY()-224</f>
        <v>44412</v>
      </c>
      <c r="D73" s="19">
        <v>3</v>
      </c>
      <c r="E73" s="20">
        <v>105800</v>
      </c>
    </row>
    <row r="74" spans="1:5" x14ac:dyDescent="0.2">
      <c r="A74" s="5">
        <v>38906965</v>
      </c>
      <c r="B74" t="s">
        <v>530</v>
      </c>
      <c r="C74" s="18">
        <f ca="1">TODAY()-224</f>
        <v>44412</v>
      </c>
      <c r="D74" s="19">
        <v>3</v>
      </c>
      <c r="E74" s="20">
        <v>11600</v>
      </c>
    </row>
    <row r="75" spans="1:5" x14ac:dyDescent="0.2">
      <c r="A75" s="5">
        <v>60521821</v>
      </c>
      <c r="B75" t="s">
        <v>445</v>
      </c>
      <c r="C75" s="18">
        <f ca="1">TODAY()-223</f>
        <v>44413</v>
      </c>
      <c r="D75" s="19">
        <v>3</v>
      </c>
      <c r="E75" s="20">
        <v>5785900</v>
      </c>
    </row>
    <row r="76" spans="1:5" x14ac:dyDescent="0.2">
      <c r="A76" s="5">
        <v>92019613</v>
      </c>
      <c r="B76" t="s">
        <v>368</v>
      </c>
      <c r="C76" s="18">
        <f ca="1">TODAY()-223</f>
        <v>44413</v>
      </c>
      <c r="D76" s="19">
        <v>3</v>
      </c>
      <c r="E76" s="20">
        <v>26400</v>
      </c>
    </row>
    <row r="77" spans="1:5" x14ac:dyDescent="0.2">
      <c r="A77" s="5">
        <v>60521821</v>
      </c>
      <c r="B77" t="s">
        <v>445</v>
      </c>
      <c r="C77" s="18">
        <f ca="1">TODAY()-222</f>
        <v>44414</v>
      </c>
      <c r="D77" s="19">
        <v>4</v>
      </c>
      <c r="E77" s="20">
        <v>5136500</v>
      </c>
    </row>
    <row r="78" spans="1:5" x14ac:dyDescent="0.2">
      <c r="A78" s="5">
        <v>38906965</v>
      </c>
      <c r="B78" t="s">
        <v>530</v>
      </c>
      <c r="C78" s="18">
        <f ca="1">TODAY()-221</f>
        <v>44415</v>
      </c>
      <c r="D78" s="19">
        <v>4</v>
      </c>
      <c r="E78" s="20">
        <v>9300</v>
      </c>
    </row>
    <row r="79" spans="1:5" x14ac:dyDescent="0.2">
      <c r="A79" s="5">
        <v>38906965</v>
      </c>
      <c r="B79" t="s">
        <v>530</v>
      </c>
      <c r="C79" s="18">
        <f ca="1">TODAY()-221</f>
        <v>44415</v>
      </c>
      <c r="D79" s="19">
        <v>5</v>
      </c>
      <c r="E79" s="20">
        <v>12300</v>
      </c>
    </row>
    <row r="80" spans="1:5" x14ac:dyDescent="0.2">
      <c r="A80" s="5">
        <v>50782119</v>
      </c>
      <c r="B80" t="s">
        <v>585</v>
      </c>
      <c r="C80" s="18">
        <f ca="1">TODAY()-220</f>
        <v>44416</v>
      </c>
      <c r="D80" s="19">
        <v>1</v>
      </c>
      <c r="E80" s="20">
        <v>3555300</v>
      </c>
    </row>
    <row r="81" spans="1:5" x14ac:dyDescent="0.2">
      <c r="A81" s="5">
        <v>48952443</v>
      </c>
      <c r="B81" t="s">
        <v>439</v>
      </c>
      <c r="C81" s="18">
        <f ca="1">TODAY()-220</f>
        <v>44416</v>
      </c>
      <c r="D81" s="19">
        <v>3</v>
      </c>
      <c r="E81" s="20">
        <v>56400</v>
      </c>
    </row>
    <row r="82" spans="1:5" x14ac:dyDescent="0.2">
      <c r="A82" s="5">
        <v>58333032</v>
      </c>
      <c r="B82" t="s">
        <v>562</v>
      </c>
      <c r="C82" s="18">
        <f ca="1">TODAY()-219</f>
        <v>44417</v>
      </c>
      <c r="D82" s="19">
        <v>2</v>
      </c>
      <c r="E82" s="20">
        <v>21000</v>
      </c>
    </row>
    <row r="83" spans="1:5" x14ac:dyDescent="0.2">
      <c r="A83" s="5">
        <v>75489043</v>
      </c>
      <c r="B83" t="s">
        <v>558</v>
      </c>
      <c r="C83" s="18">
        <f ca="1">TODAY()-218</f>
        <v>44418</v>
      </c>
      <c r="D83" s="19">
        <v>3</v>
      </c>
      <c r="E83" s="20">
        <v>322000</v>
      </c>
    </row>
    <row r="84" spans="1:5" x14ac:dyDescent="0.2">
      <c r="A84" s="5">
        <v>50782119</v>
      </c>
      <c r="B84" t="s">
        <v>585</v>
      </c>
      <c r="C84" s="18">
        <f ca="1">TODAY()-217</f>
        <v>44419</v>
      </c>
      <c r="D84" s="19">
        <v>2</v>
      </c>
      <c r="E84" s="20">
        <v>3523300</v>
      </c>
    </row>
    <row r="85" spans="1:5" x14ac:dyDescent="0.2">
      <c r="A85" s="5">
        <v>46181234</v>
      </c>
      <c r="B85" t="s">
        <v>463</v>
      </c>
      <c r="C85" s="18">
        <f ca="1">TODAY()-216</f>
        <v>44420</v>
      </c>
      <c r="D85" s="19">
        <v>1</v>
      </c>
      <c r="E85" s="20">
        <v>76100</v>
      </c>
    </row>
    <row r="86" spans="1:5" x14ac:dyDescent="0.2">
      <c r="A86" s="5">
        <v>94590438</v>
      </c>
      <c r="B86" t="s">
        <v>467</v>
      </c>
      <c r="C86" s="18">
        <f ca="1">TODAY()-216</f>
        <v>44420</v>
      </c>
      <c r="D86" s="19">
        <v>1</v>
      </c>
      <c r="E86" s="20">
        <v>670300</v>
      </c>
    </row>
    <row r="87" spans="1:5" x14ac:dyDescent="0.2">
      <c r="A87" s="5">
        <v>68215900</v>
      </c>
      <c r="B87" t="s">
        <v>444</v>
      </c>
      <c r="C87" s="18">
        <f ca="1">TODAY()-215</f>
        <v>44421</v>
      </c>
      <c r="D87" s="19">
        <v>3</v>
      </c>
      <c r="E87" s="20">
        <v>6851300</v>
      </c>
    </row>
    <row r="88" spans="1:5" x14ac:dyDescent="0.2">
      <c r="A88" s="5">
        <v>86480935</v>
      </c>
      <c r="B88" t="s">
        <v>391</v>
      </c>
      <c r="C88" s="18">
        <f ca="1">TODAY()-214</f>
        <v>44422</v>
      </c>
      <c r="D88" s="19">
        <v>1</v>
      </c>
      <c r="E88" s="20">
        <v>486200</v>
      </c>
    </row>
    <row r="89" spans="1:5" x14ac:dyDescent="0.2">
      <c r="A89" s="5">
        <v>95360283</v>
      </c>
      <c r="B89" t="s">
        <v>556</v>
      </c>
      <c r="C89" s="18">
        <f ca="1">TODAY()-213</f>
        <v>44423</v>
      </c>
      <c r="D89" s="19">
        <v>3</v>
      </c>
      <c r="E89" s="20">
        <v>35700</v>
      </c>
    </row>
    <row r="90" spans="1:5" x14ac:dyDescent="0.2">
      <c r="A90" s="5">
        <v>90065899</v>
      </c>
      <c r="B90" t="s">
        <v>622</v>
      </c>
      <c r="C90" s="18">
        <f ca="1">TODAY()-212</f>
        <v>44424</v>
      </c>
      <c r="D90" s="19">
        <v>1</v>
      </c>
      <c r="E90" s="20">
        <v>735700</v>
      </c>
    </row>
    <row r="91" spans="1:5" x14ac:dyDescent="0.2">
      <c r="A91" s="5">
        <v>34061779</v>
      </c>
      <c r="B91" t="s">
        <v>589</v>
      </c>
      <c r="C91" s="18">
        <f ca="1">TODAY()-211</f>
        <v>44425</v>
      </c>
      <c r="D91" s="19">
        <v>3</v>
      </c>
      <c r="E91" s="20">
        <v>1241300</v>
      </c>
    </row>
    <row r="92" spans="1:5" x14ac:dyDescent="0.2">
      <c r="A92" s="5">
        <v>75489043</v>
      </c>
      <c r="B92" t="s">
        <v>558</v>
      </c>
      <c r="C92" s="18">
        <f ca="1">TODAY()-211</f>
        <v>44425</v>
      </c>
      <c r="D92" s="19">
        <v>4</v>
      </c>
      <c r="E92" s="20">
        <v>267300</v>
      </c>
    </row>
    <row r="93" spans="1:5" x14ac:dyDescent="0.2">
      <c r="A93" s="5">
        <v>56383353</v>
      </c>
      <c r="B93" t="s">
        <v>367</v>
      </c>
      <c r="C93" s="18">
        <f t="shared" ref="C93:C99" ca="1" si="1">TODAY()-210</f>
        <v>44426</v>
      </c>
      <c r="D93" s="19">
        <v>4</v>
      </c>
      <c r="E93" s="20">
        <v>92200</v>
      </c>
    </row>
    <row r="94" spans="1:5" x14ac:dyDescent="0.2">
      <c r="A94" s="5">
        <v>92320257</v>
      </c>
      <c r="B94" t="s">
        <v>527</v>
      </c>
      <c r="C94" s="18">
        <f t="shared" ca="1" si="1"/>
        <v>44426</v>
      </c>
      <c r="D94" s="19">
        <v>4</v>
      </c>
      <c r="E94" s="20">
        <v>7237600</v>
      </c>
    </row>
    <row r="95" spans="1:5" x14ac:dyDescent="0.2">
      <c r="A95" s="5">
        <v>92320257</v>
      </c>
      <c r="B95" t="s">
        <v>527</v>
      </c>
      <c r="C95" s="18">
        <f t="shared" ca="1" si="1"/>
        <v>44426</v>
      </c>
      <c r="D95" s="19">
        <v>5</v>
      </c>
      <c r="E95" s="20">
        <v>6450900</v>
      </c>
    </row>
    <row r="96" spans="1:5" x14ac:dyDescent="0.2">
      <c r="A96" s="5">
        <v>44982022</v>
      </c>
      <c r="B96" t="s">
        <v>581</v>
      </c>
      <c r="C96" s="18">
        <f t="shared" ca="1" si="1"/>
        <v>44426</v>
      </c>
      <c r="D96" s="19">
        <v>2</v>
      </c>
      <c r="E96" s="20">
        <v>101700</v>
      </c>
    </row>
    <row r="97" spans="1:5" x14ac:dyDescent="0.2">
      <c r="A97" s="5">
        <v>91275989</v>
      </c>
      <c r="B97" t="s">
        <v>588</v>
      </c>
      <c r="C97" s="18">
        <f t="shared" ca="1" si="1"/>
        <v>44426</v>
      </c>
      <c r="D97" s="19">
        <v>1</v>
      </c>
      <c r="E97" s="20">
        <v>73200</v>
      </c>
    </row>
    <row r="98" spans="1:5" x14ac:dyDescent="0.2">
      <c r="A98" s="5">
        <v>67027627</v>
      </c>
      <c r="B98" t="s">
        <v>605</v>
      </c>
      <c r="C98" s="18">
        <f t="shared" ca="1" si="1"/>
        <v>44426</v>
      </c>
      <c r="D98" s="19">
        <v>1</v>
      </c>
      <c r="E98" s="20">
        <v>878900</v>
      </c>
    </row>
    <row r="99" spans="1:5" x14ac:dyDescent="0.2">
      <c r="A99" s="5">
        <v>60521821</v>
      </c>
      <c r="B99" t="s">
        <v>445</v>
      </c>
      <c r="C99" s="18">
        <f t="shared" ca="1" si="1"/>
        <v>44426</v>
      </c>
      <c r="D99" s="19">
        <v>5</v>
      </c>
      <c r="E99" s="20">
        <v>6553400</v>
      </c>
    </row>
    <row r="100" spans="1:5" x14ac:dyDescent="0.2">
      <c r="A100" s="5">
        <v>72006643</v>
      </c>
      <c r="B100" t="s">
        <v>495</v>
      </c>
      <c r="C100" s="18">
        <f ca="1">TODAY()-209</f>
        <v>44427</v>
      </c>
      <c r="D100" s="19">
        <v>2</v>
      </c>
      <c r="E100" s="20">
        <v>262400</v>
      </c>
    </row>
    <row r="101" spans="1:5" x14ac:dyDescent="0.2">
      <c r="A101" s="5">
        <v>77134361</v>
      </c>
      <c r="B101" t="s">
        <v>596</v>
      </c>
      <c r="C101" s="18">
        <f ca="1">TODAY()-209</f>
        <v>44427</v>
      </c>
      <c r="D101" s="19">
        <v>2</v>
      </c>
      <c r="E101" s="20">
        <v>68600</v>
      </c>
    </row>
    <row r="102" spans="1:5" x14ac:dyDescent="0.2">
      <c r="A102" s="5">
        <v>59948756</v>
      </c>
      <c r="B102" t="s">
        <v>469</v>
      </c>
      <c r="C102" s="18">
        <f ca="1">TODAY()-209</f>
        <v>44427</v>
      </c>
      <c r="D102" s="19">
        <v>2</v>
      </c>
      <c r="E102" s="20">
        <v>23900</v>
      </c>
    </row>
    <row r="103" spans="1:5" x14ac:dyDescent="0.2">
      <c r="A103" s="5">
        <v>49401672</v>
      </c>
      <c r="B103" t="s">
        <v>287</v>
      </c>
      <c r="C103" s="18">
        <f ca="1">TODAY()-208</f>
        <v>44428</v>
      </c>
      <c r="D103" s="19">
        <v>3</v>
      </c>
      <c r="E103" s="20">
        <v>4233800</v>
      </c>
    </row>
    <row r="104" spans="1:5" x14ac:dyDescent="0.2">
      <c r="A104" s="5">
        <v>57425327</v>
      </c>
      <c r="B104" t="s">
        <v>603</v>
      </c>
      <c r="C104" s="18">
        <f ca="1">TODAY()-207</f>
        <v>44429</v>
      </c>
      <c r="D104" s="19">
        <v>2</v>
      </c>
      <c r="E104" s="20">
        <v>16200</v>
      </c>
    </row>
    <row r="105" spans="1:5" x14ac:dyDescent="0.2">
      <c r="A105" s="5">
        <v>79476220</v>
      </c>
      <c r="B105" t="s">
        <v>548</v>
      </c>
      <c r="C105" s="18">
        <f ca="1">TODAY()-207</f>
        <v>44429</v>
      </c>
      <c r="D105" s="19">
        <v>3</v>
      </c>
      <c r="E105" s="20">
        <v>2562000</v>
      </c>
    </row>
    <row r="106" spans="1:5" x14ac:dyDescent="0.2">
      <c r="A106" s="5">
        <v>38906965</v>
      </c>
      <c r="B106" t="s">
        <v>530</v>
      </c>
      <c r="C106" s="18">
        <f ca="1">TODAY()-207</f>
        <v>44429</v>
      </c>
      <c r="D106" s="19">
        <v>6</v>
      </c>
      <c r="E106" s="20">
        <v>11800</v>
      </c>
    </row>
    <row r="107" spans="1:5" x14ac:dyDescent="0.2">
      <c r="A107" s="5">
        <v>43324700</v>
      </c>
      <c r="B107" t="s">
        <v>404</v>
      </c>
      <c r="C107" s="18">
        <f ca="1">TODAY()-206</f>
        <v>44430</v>
      </c>
      <c r="D107" s="19">
        <v>3</v>
      </c>
      <c r="E107" s="20">
        <v>795800</v>
      </c>
    </row>
    <row r="108" spans="1:5" x14ac:dyDescent="0.2">
      <c r="A108" s="5">
        <v>56383353</v>
      </c>
      <c r="B108" t="s">
        <v>367</v>
      </c>
      <c r="C108" s="18">
        <f ca="1">TODAY()-206</f>
        <v>44430</v>
      </c>
      <c r="D108" s="19">
        <v>5</v>
      </c>
      <c r="E108" s="20">
        <v>99500</v>
      </c>
    </row>
    <row r="109" spans="1:5" x14ac:dyDescent="0.2">
      <c r="A109" s="5">
        <v>46181234</v>
      </c>
      <c r="B109" t="s">
        <v>463</v>
      </c>
      <c r="C109" s="18">
        <f ca="1">TODAY()-205</f>
        <v>44431</v>
      </c>
      <c r="D109" s="19">
        <v>2</v>
      </c>
      <c r="E109" s="20">
        <v>101200</v>
      </c>
    </row>
    <row r="110" spans="1:5" x14ac:dyDescent="0.2">
      <c r="A110" s="5">
        <v>63528015</v>
      </c>
      <c r="B110" t="s">
        <v>382</v>
      </c>
      <c r="C110" s="18">
        <f ca="1">TODAY()-205</f>
        <v>44431</v>
      </c>
      <c r="D110" s="19">
        <v>2</v>
      </c>
      <c r="E110" s="20">
        <v>21700</v>
      </c>
    </row>
    <row r="111" spans="1:5" x14ac:dyDescent="0.2">
      <c r="A111" s="5">
        <v>98597711</v>
      </c>
      <c r="B111" t="s">
        <v>360</v>
      </c>
      <c r="C111" s="18">
        <f ca="1">TODAY()-204</f>
        <v>44432</v>
      </c>
      <c r="D111" s="19">
        <v>4</v>
      </c>
      <c r="E111" s="20">
        <v>221200</v>
      </c>
    </row>
    <row r="112" spans="1:5" x14ac:dyDescent="0.2">
      <c r="A112" s="5">
        <v>80104779</v>
      </c>
      <c r="B112" t="s">
        <v>568</v>
      </c>
      <c r="C112" s="18">
        <f ca="1">TODAY()-203</f>
        <v>44433</v>
      </c>
      <c r="D112" s="19">
        <v>3</v>
      </c>
      <c r="E112" s="20">
        <v>770700</v>
      </c>
    </row>
    <row r="113" spans="1:5" x14ac:dyDescent="0.2">
      <c r="A113" s="5">
        <v>97700070</v>
      </c>
      <c r="B113" t="s">
        <v>338</v>
      </c>
      <c r="C113" s="18">
        <f t="shared" ref="C113:C120" ca="1" si="2">TODAY()-202</f>
        <v>44434</v>
      </c>
      <c r="D113" s="19">
        <v>3</v>
      </c>
      <c r="E113" s="20">
        <v>7155600</v>
      </c>
    </row>
    <row r="114" spans="1:5" x14ac:dyDescent="0.2">
      <c r="A114" s="5">
        <v>57425327</v>
      </c>
      <c r="B114" t="s">
        <v>603</v>
      </c>
      <c r="C114" s="18">
        <f t="shared" ca="1" si="2"/>
        <v>44434</v>
      </c>
      <c r="D114" s="19">
        <v>3</v>
      </c>
      <c r="E114" s="20">
        <v>13600</v>
      </c>
    </row>
    <row r="115" spans="1:5" x14ac:dyDescent="0.2">
      <c r="A115" s="5">
        <v>56383353</v>
      </c>
      <c r="B115" t="s">
        <v>367</v>
      </c>
      <c r="C115" s="18">
        <f t="shared" ca="1" si="2"/>
        <v>44434</v>
      </c>
      <c r="D115" s="19">
        <v>6</v>
      </c>
      <c r="E115" s="20">
        <v>93200</v>
      </c>
    </row>
    <row r="116" spans="1:5" x14ac:dyDescent="0.2">
      <c r="A116" s="5">
        <v>92320652</v>
      </c>
      <c r="B116" t="s">
        <v>602</v>
      </c>
      <c r="C116" s="18">
        <f t="shared" ca="1" si="2"/>
        <v>44434</v>
      </c>
      <c r="D116" s="19">
        <v>1</v>
      </c>
      <c r="E116" s="20">
        <v>509800</v>
      </c>
    </row>
    <row r="117" spans="1:5" x14ac:dyDescent="0.2">
      <c r="A117" s="5">
        <v>90065899</v>
      </c>
      <c r="B117" t="s">
        <v>622</v>
      </c>
      <c r="C117" s="18">
        <f t="shared" ca="1" si="2"/>
        <v>44434</v>
      </c>
      <c r="D117" s="19">
        <v>2</v>
      </c>
      <c r="E117" s="20">
        <v>814000</v>
      </c>
    </row>
    <row r="118" spans="1:5" x14ac:dyDescent="0.2">
      <c r="A118" s="5">
        <v>90065899</v>
      </c>
      <c r="B118" t="s">
        <v>622</v>
      </c>
      <c r="C118" s="18">
        <f t="shared" ca="1" si="2"/>
        <v>44434</v>
      </c>
      <c r="D118" s="19">
        <v>3</v>
      </c>
      <c r="E118" s="20">
        <v>868800</v>
      </c>
    </row>
    <row r="119" spans="1:5" x14ac:dyDescent="0.2">
      <c r="A119" s="5">
        <v>97352928</v>
      </c>
      <c r="B119" t="s">
        <v>456</v>
      </c>
      <c r="C119" s="18">
        <f t="shared" ca="1" si="2"/>
        <v>44434</v>
      </c>
      <c r="D119" s="19">
        <v>2</v>
      </c>
      <c r="E119" s="20">
        <v>8927100</v>
      </c>
    </row>
    <row r="120" spans="1:5" x14ac:dyDescent="0.2">
      <c r="A120" s="5">
        <v>79476220</v>
      </c>
      <c r="B120" t="s">
        <v>548</v>
      </c>
      <c r="C120" s="18">
        <f t="shared" ca="1" si="2"/>
        <v>44434</v>
      </c>
      <c r="D120" s="19">
        <v>4</v>
      </c>
      <c r="E120" s="20">
        <v>2415600</v>
      </c>
    </row>
    <row r="121" spans="1:5" x14ac:dyDescent="0.2">
      <c r="A121" s="5">
        <v>56961256</v>
      </c>
      <c r="B121" t="s">
        <v>497</v>
      </c>
      <c r="C121" s="18">
        <f ca="1">TODAY()-201</f>
        <v>44435</v>
      </c>
      <c r="D121" s="19">
        <v>1</v>
      </c>
      <c r="E121" s="20">
        <v>3926300</v>
      </c>
    </row>
    <row r="122" spans="1:5" x14ac:dyDescent="0.2">
      <c r="A122" s="5">
        <v>46181234</v>
      </c>
      <c r="B122" t="s">
        <v>463</v>
      </c>
      <c r="C122" s="18">
        <f ca="1">TODAY()-200</f>
        <v>44436</v>
      </c>
      <c r="D122" s="19">
        <v>3</v>
      </c>
      <c r="E122" s="20">
        <v>111400</v>
      </c>
    </row>
    <row r="123" spans="1:5" x14ac:dyDescent="0.2">
      <c r="A123" s="5">
        <v>91327243</v>
      </c>
      <c r="B123" t="s">
        <v>544</v>
      </c>
      <c r="C123" s="18">
        <f ca="1">TODAY()-200</f>
        <v>44436</v>
      </c>
      <c r="D123" s="19">
        <v>2</v>
      </c>
      <c r="E123" s="20">
        <v>5595800</v>
      </c>
    </row>
    <row r="124" spans="1:5" x14ac:dyDescent="0.2">
      <c r="A124" s="5">
        <v>95804106</v>
      </c>
      <c r="B124" t="s">
        <v>359</v>
      </c>
      <c r="C124" s="18">
        <f ca="1">TODAY()-200</f>
        <v>44436</v>
      </c>
      <c r="D124" s="19">
        <v>1</v>
      </c>
      <c r="E124" s="20">
        <v>257200</v>
      </c>
    </row>
    <row r="125" spans="1:5" x14ac:dyDescent="0.2">
      <c r="A125" s="5">
        <v>58333032</v>
      </c>
      <c r="B125" t="s">
        <v>562</v>
      </c>
      <c r="C125" s="18">
        <f ca="1">TODAY()-199</f>
        <v>44437</v>
      </c>
      <c r="D125" s="19">
        <v>3</v>
      </c>
      <c r="E125" s="20">
        <v>25600</v>
      </c>
    </row>
    <row r="126" spans="1:5" x14ac:dyDescent="0.2">
      <c r="A126" s="5">
        <v>56383353</v>
      </c>
      <c r="B126" t="s">
        <v>367</v>
      </c>
      <c r="C126" s="18">
        <f ca="1">TODAY()-199</f>
        <v>44437</v>
      </c>
      <c r="D126" s="19">
        <v>7</v>
      </c>
      <c r="E126" s="20">
        <v>88600</v>
      </c>
    </row>
    <row r="127" spans="1:5" x14ac:dyDescent="0.2">
      <c r="A127" s="5">
        <v>54380044</v>
      </c>
      <c r="B127" t="s">
        <v>294</v>
      </c>
      <c r="C127" s="18">
        <f ca="1">TODAY()-198</f>
        <v>44438</v>
      </c>
      <c r="D127" s="19">
        <v>5</v>
      </c>
      <c r="E127" s="20">
        <v>6757300</v>
      </c>
    </row>
    <row r="128" spans="1:5" x14ac:dyDescent="0.2">
      <c r="A128" s="5">
        <v>48434256</v>
      </c>
      <c r="B128" t="s">
        <v>350</v>
      </c>
      <c r="C128" s="18">
        <f ca="1">TODAY()-197</f>
        <v>44439</v>
      </c>
      <c r="D128" s="19">
        <v>1</v>
      </c>
      <c r="E128" s="20">
        <v>516100</v>
      </c>
    </row>
    <row r="129" spans="1:5" x14ac:dyDescent="0.2">
      <c r="A129" s="5">
        <v>34061779</v>
      </c>
      <c r="B129" t="s">
        <v>589</v>
      </c>
      <c r="C129" s="18">
        <f ca="1">TODAY()-196</f>
        <v>44440</v>
      </c>
      <c r="D129" s="19">
        <v>4</v>
      </c>
      <c r="E129" s="20">
        <v>1388800</v>
      </c>
    </row>
    <row r="130" spans="1:5" x14ac:dyDescent="0.2">
      <c r="A130" s="5">
        <v>91327243</v>
      </c>
      <c r="B130" t="s">
        <v>544</v>
      </c>
      <c r="C130" s="18">
        <f ca="1">TODAY()-196</f>
        <v>44440</v>
      </c>
      <c r="D130" s="19">
        <v>3</v>
      </c>
      <c r="E130" s="20">
        <v>5355100</v>
      </c>
    </row>
    <row r="131" spans="1:5" x14ac:dyDescent="0.2">
      <c r="A131" s="5">
        <v>43863800</v>
      </c>
      <c r="B131" t="s">
        <v>504</v>
      </c>
      <c r="C131" s="18">
        <f ca="1">TODAY()-195</f>
        <v>44441</v>
      </c>
      <c r="D131" s="19">
        <v>3</v>
      </c>
      <c r="E131" s="20">
        <v>4839300</v>
      </c>
    </row>
    <row r="132" spans="1:5" x14ac:dyDescent="0.2">
      <c r="A132" s="5">
        <v>75489043</v>
      </c>
      <c r="B132" t="s">
        <v>558</v>
      </c>
      <c r="C132" s="18">
        <f ca="1">TODAY()-195</f>
        <v>44441</v>
      </c>
      <c r="D132" s="19">
        <v>5</v>
      </c>
      <c r="E132" s="20">
        <v>351000</v>
      </c>
    </row>
    <row r="133" spans="1:5" x14ac:dyDescent="0.2">
      <c r="A133" s="5">
        <v>97352928</v>
      </c>
      <c r="B133" t="s">
        <v>456</v>
      </c>
      <c r="C133" s="18">
        <f ca="1">TODAY()-194</f>
        <v>44442</v>
      </c>
      <c r="D133" s="19">
        <v>3</v>
      </c>
      <c r="E133" s="20">
        <v>9500400</v>
      </c>
    </row>
    <row r="134" spans="1:5" x14ac:dyDescent="0.2">
      <c r="A134" s="5">
        <v>78944070</v>
      </c>
      <c r="B134" t="s">
        <v>540</v>
      </c>
      <c r="C134" s="18">
        <f ca="1">TODAY()-193</f>
        <v>44443</v>
      </c>
      <c r="D134" s="19">
        <v>2</v>
      </c>
      <c r="E134" s="20">
        <v>48300</v>
      </c>
    </row>
    <row r="135" spans="1:5" x14ac:dyDescent="0.2">
      <c r="A135" s="5">
        <v>75057713</v>
      </c>
      <c r="B135" t="s">
        <v>594</v>
      </c>
      <c r="C135" s="18">
        <f ca="1">TODAY()-192</f>
        <v>44444</v>
      </c>
      <c r="D135" s="19">
        <v>2</v>
      </c>
      <c r="E135" s="20">
        <v>109900</v>
      </c>
    </row>
    <row r="136" spans="1:5" x14ac:dyDescent="0.2">
      <c r="A136" s="5">
        <v>95804106</v>
      </c>
      <c r="B136" t="s">
        <v>359</v>
      </c>
      <c r="C136" s="18">
        <f ca="1">TODAY()-192</f>
        <v>44444</v>
      </c>
      <c r="D136" s="19">
        <v>2</v>
      </c>
      <c r="E136" s="20">
        <v>239300</v>
      </c>
    </row>
    <row r="137" spans="1:5" x14ac:dyDescent="0.2">
      <c r="A137" s="5">
        <v>92320652</v>
      </c>
      <c r="B137" t="s">
        <v>602</v>
      </c>
      <c r="C137" s="18">
        <f ca="1">TODAY()-192</f>
        <v>44444</v>
      </c>
      <c r="D137" s="19">
        <v>2</v>
      </c>
      <c r="E137" s="20">
        <v>450700</v>
      </c>
    </row>
    <row r="138" spans="1:5" x14ac:dyDescent="0.2">
      <c r="A138" s="5">
        <v>54380044</v>
      </c>
      <c r="B138" t="s">
        <v>294</v>
      </c>
      <c r="C138" s="18">
        <f ca="1">TODAY()-191</f>
        <v>44445</v>
      </c>
      <c r="D138" s="19">
        <v>6</v>
      </c>
      <c r="E138" s="20">
        <v>5283000</v>
      </c>
    </row>
    <row r="139" spans="1:5" x14ac:dyDescent="0.2">
      <c r="A139" s="5">
        <v>35504210</v>
      </c>
      <c r="B139" t="s">
        <v>424</v>
      </c>
      <c r="C139" s="18">
        <f ca="1">TODAY()-190</f>
        <v>44446</v>
      </c>
      <c r="D139" s="19">
        <v>4</v>
      </c>
      <c r="E139" s="20">
        <v>50500</v>
      </c>
    </row>
    <row r="140" spans="1:5" x14ac:dyDescent="0.2">
      <c r="A140" s="5">
        <v>48434256</v>
      </c>
      <c r="B140" t="s">
        <v>350</v>
      </c>
      <c r="C140" s="18">
        <f ca="1">TODAY()-189</f>
        <v>44447</v>
      </c>
      <c r="D140" s="19">
        <v>2</v>
      </c>
      <c r="E140" s="20">
        <v>600300</v>
      </c>
    </row>
    <row r="141" spans="1:5" x14ac:dyDescent="0.2">
      <c r="A141" s="5">
        <v>44982022</v>
      </c>
      <c r="B141" t="s">
        <v>581</v>
      </c>
      <c r="C141" s="18">
        <f ca="1">TODAY()-188</f>
        <v>44448</v>
      </c>
      <c r="D141" s="19">
        <v>3</v>
      </c>
      <c r="E141" s="20">
        <v>77100</v>
      </c>
    </row>
    <row r="142" spans="1:5" x14ac:dyDescent="0.2">
      <c r="A142" s="5">
        <v>49401672</v>
      </c>
      <c r="B142" t="s">
        <v>287</v>
      </c>
      <c r="C142" s="18">
        <f ca="1">TODAY()-188</f>
        <v>44448</v>
      </c>
      <c r="D142" s="19">
        <v>4</v>
      </c>
      <c r="E142" s="20">
        <v>4627600</v>
      </c>
    </row>
    <row r="143" spans="1:5" x14ac:dyDescent="0.2">
      <c r="A143" s="5">
        <v>55611854</v>
      </c>
      <c r="B143" t="s">
        <v>433</v>
      </c>
      <c r="C143" s="18">
        <f ca="1">TODAY()-188</f>
        <v>44448</v>
      </c>
      <c r="D143" s="19">
        <v>3</v>
      </c>
      <c r="E143" s="20">
        <v>57200</v>
      </c>
    </row>
    <row r="144" spans="1:5" x14ac:dyDescent="0.2">
      <c r="A144" s="5">
        <v>98597711</v>
      </c>
      <c r="B144" t="s">
        <v>360</v>
      </c>
      <c r="C144" s="18">
        <f ca="1">TODAY()-188</f>
        <v>44448</v>
      </c>
      <c r="D144" s="19">
        <v>5</v>
      </c>
      <c r="E144" s="20">
        <v>177000</v>
      </c>
    </row>
    <row r="145" spans="1:5" x14ac:dyDescent="0.2">
      <c r="A145" s="5">
        <v>95804106</v>
      </c>
      <c r="B145" t="s">
        <v>359</v>
      </c>
      <c r="C145" s="18">
        <f ca="1">TODAY()-187</f>
        <v>44449</v>
      </c>
      <c r="D145" s="19">
        <v>3</v>
      </c>
      <c r="E145" s="20">
        <v>245300</v>
      </c>
    </row>
    <row r="146" spans="1:5" x14ac:dyDescent="0.2">
      <c r="A146" s="5">
        <v>72848119</v>
      </c>
      <c r="B146" t="s">
        <v>451</v>
      </c>
      <c r="C146" s="18">
        <f ca="1">TODAY()-187</f>
        <v>44449</v>
      </c>
      <c r="D146" s="19">
        <v>5</v>
      </c>
      <c r="E146" s="20">
        <v>54300</v>
      </c>
    </row>
    <row r="147" spans="1:5" x14ac:dyDescent="0.2">
      <c r="A147" s="5">
        <v>50782119</v>
      </c>
      <c r="B147" t="s">
        <v>585</v>
      </c>
      <c r="C147" s="18">
        <f ca="1">TODAY()-187</f>
        <v>44449</v>
      </c>
      <c r="D147" s="19">
        <v>3</v>
      </c>
      <c r="E147" s="20">
        <v>2786600</v>
      </c>
    </row>
    <row r="148" spans="1:5" x14ac:dyDescent="0.2">
      <c r="A148" s="5">
        <v>56383353</v>
      </c>
      <c r="B148" t="s">
        <v>367</v>
      </c>
      <c r="C148" s="18">
        <f ca="1">TODAY()-187</f>
        <v>44449</v>
      </c>
      <c r="D148" s="19">
        <v>8</v>
      </c>
      <c r="E148" s="20">
        <v>88600</v>
      </c>
    </row>
    <row r="149" spans="1:5" x14ac:dyDescent="0.2">
      <c r="A149" s="5">
        <v>78374480</v>
      </c>
      <c r="B149" t="s">
        <v>331</v>
      </c>
      <c r="C149" s="18">
        <f ca="1">TODAY()-186</f>
        <v>44450</v>
      </c>
      <c r="D149" s="19">
        <v>2</v>
      </c>
      <c r="E149" s="20">
        <v>3595600</v>
      </c>
    </row>
    <row r="150" spans="1:5" x14ac:dyDescent="0.2">
      <c r="A150" s="5">
        <v>46181234</v>
      </c>
      <c r="B150" t="s">
        <v>463</v>
      </c>
      <c r="C150" s="18">
        <f ca="1">TODAY()-185</f>
        <v>44451</v>
      </c>
      <c r="D150" s="19">
        <v>4</v>
      </c>
      <c r="E150" s="20">
        <v>106800</v>
      </c>
    </row>
    <row r="151" spans="1:5" x14ac:dyDescent="0.2">
      <c r="A151" s="5">
        <v>56383353</v>
      </c>
      <c r="B151" t="s">
        <v>367</v>
      </c>
      <c r="C151" s="18">
        <f ca="1">TODAY()-184</f>
        <v>44452</v>
      </c>
      <c r="D151" s="19">
        <v>9</v>
      </c>
      <c r="E151" s="20">
        <v>100400</v>
      </c>
    </row>
    <row r="152" spans="1:5" x14ac:dyDescent="0.2">
      <c r="A152" s="5">
        <v>36182332</v>
      </c>
      <c r="B152" t="s">
        <v>318</v>
      </c>
      <c r="C152" s="18">
        <f ca="1">TODAY()-183</f>
        <v>44453</v>
      </c>
      <c r="D152" s="19">
        <v>1</v>
      </c>
      <c r="E152" s="20">
        <v>4026200</v>
      </c>
    </row>
    <row r="153" spans="1:5" x14ac:dyDescent="0.2">
      <c r="A153" s="5">
        <v>68215900</v>
      </c>
      <c r="B153" t="s">
        <v>444</v>
      </c>
      <c r="C153" s="18">
        <f ca="1">TODAY()-183</f>
        <v>44453</v>
      </c>
      <c r="D153" s="19">
        <v>4</v>
      </c>
      <c r="E153" s="20">
        <v>8693100</v>
      </c>
    </row>
    <row r="154" spans="1:5" x14ac:dyDescent="0.2">
      <c r="A154" s="5">
        <v>58333032</v>
      </c>
      <c r="B154" t="s">
        <v>562</v>
      </c>
      <c r="C154" s="18">
        <f ca="1">TODAY()-182</f>
        <v>44454</v>
      </c>
      <c r="D154" s="19">
        <v>4</v>
      </c>
      <c r="E154" s="20">
        <v>18400</v>
      </c>
    </row>
    <row r="155" spans="1:5" x14ac:dyDescent="0.2">
      <c r="A155" s="5">
        <v>41312447</v>
      </c>
      <c r="B155" t="s">
        <v>271</v>
      </c>
      <c r="C155" s="18">
        <f ca="1">TODAY()-182</f>
        <v>44454</v>
      </c>
      <c r="D155" s="19">
        <v>3</v>
      </c>
      <c r="E155" s="20">
        <v>210800</v>
      </c>
    </row>
    <row r="156" spans="1:5" x14ac:dyDescent="0.2">
      <c r="A156" s="5">
        <v>42535077</v>
      </c>
      <c r="B156" t="s">
        <v>357</v>
      </c>
      <c r="C156" s="18">
        <f ca="1">TODAY()-182</f>
        <v>44454</v>
      </c>
      <c r="D156" s="19">
        <v>2</v>
      </c>
      <c r="E156" s="20">
        <v>7602600</v>
      </c>
    </row>
    <row r="157" spans="1:5" x14ac:dyDescent="0.2">
      <c r="A157" s="5">
        <v>41312447</v>
      </c>
      <c r="B157" t="s">
        <v>271</v>
      </c>
      <c r="C157" s="18">
        <f ca="1">TODAY()-181</f>
        <v>44455</v>
      </c>
      <c r="D157" s="19">
        <v>4</v>
      </c>
      <c r="E157" s="20">
        <v>213100</v>
      </c>
    </row>
    <row r="158" spans="1:5" x14ac:dyDescent="0.2">
      <c r="A158" s="5">
        <v>75489043</v>
      </c>
      <c r="B158" t="s">
        <v>558</v>
      </c>
      <c r="C158" s="18">
        <f ca="1">TODAY()-180</f>
        <v>44456</v>
      </c>
      <c r="D158" s="19">
        <v>6</v>
      </c>
      <c r="E158" s="20">
        <v>257600</v>
      </c>
    </row>
    <row r="159" spans="1:5" x14ac:dyDescent="0.2">
      <c r="A159" s="5">
        <v>56383353</v>
      </c>
      <c r="B159" t="s">
        <v>367</v>
      </c>
      <c r="C159" s="18">
        <f ca="1">TODAY()-179</f>
        <v>44457</v>
      </c>
      <c r="D159" s="19">
        <v>10</v>
      </c>
      <c r="E159" s="20">
        <v>99500</v>
      </c>
    </row>
    <row r="160" spans="1:5" x14ac:dyDescent="0.2">
      <c r="A160" s="5">
        <v>54380044</v>
      </c>
      <c r="B160" t="s">
        <v>294</v>
      </c>
      <c r="C160" s="18">
        <f ca="1">TODAY()-178</f>
        <v>44458</v>
      </c>
      <c r="D160" s="19">
        <v>7</v>
      </c>
      <c r="E160" s="20">
        <v>6143000</v>
      </c>
    </row>
    <row r="161" spans="1:5" x14ac:dyDescent="0.2">
      <c r="A161" s="5">
        <v>72006643</v>
      </c>
      <c r="B161" t="s">
        <v>495</v>
      </c>
      <c r="C161" s="18">
        <f ca="1">TODAY()-178</f>
        <v>44458</v>
      </c>
      <c r="D161" s="19">
        <v>3</v>
      </c>
      <c r="E161" s="20">
        <v>249200</v>
      </c>
    </row>
    <row r="162" spans="1:5" x14ac:dyDescent="0.2">
      <c r="A162" s="5">
        <v>80104779</v>
      </c>
      <c r="B162" t="s">
        <v>568</v>
      </c>
      <c r="C162" s="18">
        <f ca="1">TODAY()-178</f>
        <v>44458</v>
      </c>
      <c r="D162" s="19">
        <v>4</v>
      </c>
      <c r="E162" s="20">
        <v>947900</v>
      </c>
    </row>
    <row r="163" spans="1:5" x14ac:dyDescent="0.2">
      <c r="A163" s="5">
        <v>44982022</v>
      </c>
      <c r="B163" t="s">
        <v>581</v>
      </c>
      <c r="C163" s="18">
        <f ca="1">TODAY()-177</f>
        <v>44459</v>
      </c>
      <c r="D163" s="19">
        <v>4</v>
      </c>
      <c r="E163" s="20">
        <v>73600</v>
      </c>
    </row>
    <row r="164" spans="1:5" x14ac:dyDescent="0.2">
      <c r="A164" s="5">
        <v>56961256</v>
      </c>
      <c r="B164" t="s">
        <v>497</v>
      </c>
      <c r="C164" s="18">
        <f ca="1">TODAY()-177</f>
        <v>44459</v>
      </c>
      <c r="D164" s="19">
        <v>2</v>
      </c>
      <c r="E164" s="20">
        <v>4738700</v>
      </c>
    </row>
    <row r="165" spans="1:5" x14ac:dyDescent="0.2">
      <c r="A165" s="5">
        <v>41312447</v>
      </c>
      <c r="B165" t="s">
        <v>271</v>
      </c>
      <c r="C165" s="18">
        <f ca="1">TODAY()-177</f>
        <v>44459</v>
      </c>
      <c r="D165" s="19">
        <v>5</v>
      </c>
      <c r="E165" s="20">
        <v>253900</v>
      </c>
    </row>
    <row r="166" spans="1:5" x14ac:dyDescent="0.2">
      <c r="A166" s="5">
        <v>79476220</v>
      </c>
      <c r="B166" t="s">
        <v>548</v>
      </c>
      <c r="C166" s="18">
        <f ca="1">TODAY()-176</f>
        <v>44460</v>
      </c>
      <c r="D166" s="19">
        <v>5</v>
      </c>
      <c r="E166" s="20">
        <v>2830400</v>
      </c>
    </row>
    <row r="167" spans="1:5" x14ac:dyDescent="0.2">
      <c r="A167" s="5">
        <v>43863800</v>
      </c>
      <c r="B167" t="s">
        <v>504</v>
      </c>
      <c r="C167" s="18">
        <f ca="1">TODAY()-176</f>
        <v>44460</v>
      </c>
      <c r="D167" s="19">
        <v>4</v>
      </c>
      <c r="E167" s="20">
        <v>4390300</v>
      </c>
    </row>
    <row r="168" spans="1:5" x14ac:dyDescent="0.2">
      <c r="A168" s="5">
        <v>48952443</v>
      </c>
      <c r="B168" t="s">
        <v>439</v>
      </c>
      <c r="C168" s="18">
        <f ca="1">TODAY()-175</f>
        <v>44461</v>
      </c>
      <c r="D168" s="19">
        <v>4</v>
      </c>
      <c r="E168" s="20">
        <v>69700</v>
      </c>
    </row>
    <row r="169" spans="1:5" x14ac:dyDescent="0.2">
      <c r="A169" s="5">
        <v>90065899</v>
      </c>
      <c r="B169" t="s">
        <v>622</v>
      </c>
      <c r="C169" s="18">
        <f ca="1">TODAY()-174</f>
        <v>44462</v>
      </c>
      <c r="D169" s="19">
        <v>4</v>
      </c>
      <c r="E169" s="20">
        <v>720100</v>
      </c>
    </row>
    <row r="170" spans="1:5" x14ac:dyDescent="0.2">
      <c r="A170" s="5">
        <v>48434256</v>
      </c>
      <c r="B170" t="s">
        <v>350</v>
      </c>
      <c r="C170" s="18">
        <f ca="1">TODAY()-173</f>
        <v>44463</v>
      </c>
      <c r="D170" s="19">
        <v>3</v>
      </c>
      <c r="E170" s="20">
        <v>504900</v>
      </c>
    </row>
    <row r="171" spans="1:5" x14ac:dyDescent="0.2">
      <c r="A171" s="5">
        <v>44982022</v>
      </c>
      <c r="B171" t="s">
        <v>581</v>
      </c>
      <c r="C171" s="18">
        <f ca="1">TODAY()-172</f>
        <v>44464</v>
      </c>
      <c r="D171" s="19">
        <v>5</v>
      </c>
      <c r="E171" s="20">
        <v>83300</v>
      </c>
    </row>
    <row r="172" spans="1:5" x14ac:dyDescent="0.2">
      <c r="A172" s="5">
        <v>80104779</v>
      </c>
      <c r="B172" t="s">
        <v>568</v>
      </c>
      <c r="C172" s="18">
        <f ca="1">TODAY()-172</f>
        <v>44464</v>
      </c>
      <c r="D172" s="19">
        <v>5</v>
      </c>
      <c r="E172" s="20">
        <v>735300</v>
      </c>
    </row>
    <row r="173" spans="1:5" x14ac:dyDescent="0.2">
      <c r="A173" s="5">
        <v>36182332</v>
      </c>
      <c r="B173" t="s">
        <v>318</v>
      </c>
      <c r="C173" s="18">
        <f ca="1">TODAY()-172</f>
        <v>44464</v>
      </c>
      <c r="D173" s="19">
        <v>2</v>
      </c>
      <c r="E173" s="20">
        <v>3648800</v>
      </c>
    </row>
    <row r="174" spans="1:5" x14ac:dyDescent="0.2">
      <c r="A174" s="5">
        <v>90065899</v>
      </c>
      <c r="B174" t="s">
        <v>622</v>
      </c>
      <c r="C174" s="18">
        <f ca="1">TODAY()-171</f>
        <v>44465</v>
      </c>
      <c r="D174" s="19">
        <v>5</v>
      </c>
      <c r="E174" s="20">
        <v>939200</v>
      </c>
    </row>
    <row r="175" spans="1:5" x14ac:dyDescent="0.2">
      <c r="A175" s="5">
        <v>43863800</v>
      </c>
      <c r="B175" t="s">
        <v>504</v>
      </c>
      <c r="C175" s="18">
        <f t="shared" ref="C175:C180" ca="1" si="3">TODAY()-170</f>
        <v>44466</v>
      </c>
      <c r="D175" s="19">
        <v>5</v>
      </c>
      <c r="E175" s="20">
        <v>5238500</v>
      </c>
    </row>
    <row r="176" spans="1:5" x14ac:dyDescent="0.2">
      <c r="A176" s="5">
        <v>43863800</v>
      </c>
      <c r="B176" t="s">
        <v>504</v>
      </c>
      <c r="C176" s="18">
        <f t="shared" ca="1" si="3"/>
        <v>44466</v>
      </c>
      <c r="D176" s="19">
        <v>6</v>
      </c>
      <c r="E176" s="20">
        <v>4290500</v>
      </c>
    </row>
    <row r="177" spans="1:5" x14ac:dyDescent="0.2">
      <c r="A177" s="5">
        <v>97700070</v>
      </c>
      <c r="B177" t="s">
        <v>338</v>
      </c>
      <c r="C177" s="18">
        <f t="shared" ca="1" si="3"/>
        <v>44466</v>
      </c>
      <c r="D177" s="19">
        <v>4</v>
      </c>
      <c r="E177" s="20">
        <v>5366700</v>
      </c>
    </row>
    <row r="178" spans="1:5" x14ac:dyDescent="0.2">
      <c r="A178" s="5">
        <v>60521821</v>
      </c>
      <c r="B178" t="s">
        <v>445</v>
      </c>
      <c r="C178" s="18">
        <f t="shared" ca="1" si="3"/>
        <v>44466</v>
      </c>
      <c r="D178" s="19">
        <v>6</v>
      </c>
      <c r="E178" s="20">
        <v>4841300</v>
      </c>
    </row>
    <row r="179" spans="1:5" x14ac:dyDescent="0.2">
      <c r="A179" s="5">
        <v>60521821</v>
      </c>
      <c r="B179" t="s">
        <v>445</v>
      </c>
      <c r="C179" s="18">
        <f t="shared" ca="1" si="3"/>
        <v>44466</v>
      </c>
      <c r="D179" s="19">
        <v>7</v>
      </c>
      <c r="E179" s="20">
        <v>7084800</v>
      </c>
    </row>
    <row r="180" spans="1:5" x14ac:dyDescent="0.2">
      <c r="A180" s="5">
        <v>77134361</v>
      </c>
      <c r="B180" t="s">
        <v>596</v>
      </c>
      <c r="C180" s="18">
        <f t="shared" ca="1" si="3"/>
        <v>44466</v>
      </c>
      <c r="D180" s="19">
        <v>3</v>
      </c>
      <c r="E180" s="20">
        <v>84000</v>
      </c>
    </row>
    <row r="181" spans="1:5" x14ac:dyDescent="0.2">
      <c r="A181" s="5">
        <v>94590438</v>
      </c>
      <c r="B181" t="s">
        <v>467</v>
      </c>
      <c r="C181" s="18">
        <f ca="1">TODAY()-169</f>
        <v>44467</v>
      </c>
      <c r="D181" s="19">
        <v>2</v>
      </c>
      <c r="E181" s="20">
        <v>566700</v>
      </c>
    </row>
    <row r="182" spans="1:5" x14ac:dyDescent="0.2">
      <c r="A182" s="5">
        <v>81269643</v>
      </c>
      <c r="B182" t="s">
        <v>630</v>
      </c>
      <c r="C182" s="18">
        <f ca="1">TODAY()-168</f>
        <v>44468</v>
      </c>
      <c r="D182" s="19">
        <v>3</v>
      </c>
      <c r="E182" s="20">
        <v>1879100</v>
      </c>
    </row>
    <row r="183" spans="1:5" x14ac:dyDescent="0.2">
      <c r="A183" s="5">
        <v>86480935</v>
      </c>
      <c r="B183" t="s">
        <v>391</v>
      </c>
      <c r="C183" s="18">
        <f ca="1">TODAY()-167</f>
        <v>44469</v>
      </c>
      <c r="D183" s="19">
        <v>2</v>
      </c>
      <c r="E183" s="20">
        <v>376700</v>
      </c>
    </row>
    <row r="184" spans="1:5" x14ac:dyDescent="0.2">
      <c r="A184" s="5">
        <v>38906965</v>
      </c>
      <c r="B184" t="s">
        <v>530</v>
      </c>
      <c r="C184" s="18">
        <f ca="1">TODAY()-167</f>
        <v>44469</v>
      </c>
      <c r="D184" s="19">
        <v>7</v>
      </c>
      <c r="E184" s="20">
        <v>12300</v>
      </c>
    </row>
    <row r="185" spans="1:5" x14ac:dyDescent="0.2">
      <c r="A185" s="5">
        <v>72848119</v>
      </c>
      <c r="B185" t="s">
        <v>451</v>
      </c>
      <c r="C185" s="18">
        <f ca="1">TODAY()-166</f>
        <v>44470</v>
      </c>
      <c r="D185" s="19">
        <v>6</v>
      </c>
      <c r="E185" s="20">
        <v>53700</v>
      </c>
    </row>
    <row r="186" spans="1:5" x14ac:dyDescent="0.2">
      <c r="A186" s="5">
        <v>49401672</v>
      </c>
      <c r="B186" t="s">
        <v>287</v>
      </c>
      <c r="C186" s="18">
        <f ca="1">TODAY()-165</f>
        <v>44471</v>
      </c>
      <c r="D186" s="19">
        <v>5</v>
      </c>
      <c r="E186" s="20">
        <v>3938400</v>
      </c>
    </row>
    <row r="187" spans="1:5" x14ac:dyDescent="0.2">
      <c r="A187" s="5">
        <v>97700070</v>
      </c>
      <c r="B187" t="s">
        <v>338</v>
      </c>
      <c r="C187" s="18">
        <f ca="1">TODAY()-165</f>
        <v>44471</v>
      </c>
      <c r="D187" s="19">
        <v>5</v>
      </c>
      <c r="E187" s="20">
        <v>6380400</v>
      </c>
    </row>
    <row r="188" spans="1:5" x14ac:dyDescent="0.2">
      <c r="A188" s="5">
        <v>95804106</v>
      </c>
      <c r="B188" t="s">
        <v>359</v>
      </c>
      <c r="C188" s="18">
        <f ca="1">TODAY()-164</f>
        <v>44472</v>
      </c>
      <c r="D188" s="19">
        <v>4</v>
      </c>
      <c r="E188" s="20">
        <v>326000</v>
      </c>
    </row>
    <row r="189" spans="1:5" x14ac:dyDescent="0.2">
      <c r="A189" s="5">
        <v>75057713</v>
      </c>
      <c r="B189" t="s">
        <v>594</v>
      </c>
      <c r="C189" s="18">
        <f ca="1">TODAY()-163</f>
        <v>44473</v>
      </c>
      <c r="D189" s="19">
        <v>3</v>
      </c>
      <c r="E189" s="20">
        <v>97100</v>
      </c>
    </row>
    <row r="190" spans="1:5" x14ac:dyDescent="0.2">
      <c r="A190" s="5">
        <v>92019613</v>
      </c>
      <c r="B190" t="s">
        <v>368</v>
      </c>
      <c r="C190" s="18">
        <f ca="1">TODAY()-163</f>
        <v>44473</v>
      </c>
      <c r="D190" s="19">
        <v>4</v>
      </c>
      <c r="E190" s="20">
        <v>38900</v>
      </c>
    </row>
    <row r="191" spans="1:5" x14ac:dyDescent="0.2">
      <c r="A191" s="5">
        <v>46181234</v>
      </c>
      <c r="B191" t="s">
        <v>463</v>
      </c>
      <c r="C191" s="18">
        <f ca="1">TODAY()-162</f>
        <v>44474</v>
      </c>
      <c r="D191" s="19">
        <v>5</v>
      </c>
      <c r="E191" s="20">
        <v>85400</v>
      </c>
    </row>
    <row r="192" spans="1:5" x14ac:dyDescent="0.2">
      <c r="A192" s="5">
        <v>59948756</v>
      </c>
      <c r="B192" t="s">
        <v>469</v>
      </c>
      <c r="C192" s="18">
        <f ca="1">TODAY()-161</f>
        <v>44475</v>
      </c>
      <c r="D192" s="19">
        <v>3</v>
      </c>
      <c r="E192" s="20">
        <v>21300</v>
      </c>
    </row>
    <row r="193" spans="1:5" x14ac:dyDescent="0.2">
      <c r="A193" s="5">
        <v>75057713</v>
      </c>
      <c r="B193" t="s">
        <v>594</v>
      </c>
      <c r="C193" s="18">
        <f ca="1">TODAY()-160</f>
        <v>44476</v>
      </c>
      <c r="D193" s="19">
        <v>4</v>
      </c>
      <c r="E193" s="20">
        <v>107900</v>
      </c>
    </row>
    <row r="194" spans="1:5" x14ac:dyDescent="0.2">
      <c r="A194" s="5">
        <v>94590438</v>
      </c>
      <c r="B194" t="s">
        <v>467</v>
      </c>
      <c r="C194" s="18">
        <f ca="1">TODAY()-159</f>
        <v>44477</v>
      </c>
      <c r="D194" s="19">
        <v>3</v>
      </c>
      <c r="E194" s="20">
        <v>536300</v>
      </c>
    </row>
    <row r="195" spans="1:5" x14ac:dyDescent="0.2">
      <c r="A195" s="5">
        <v>56961256</v>
      </c>
      <c r="B195" t="s">
        <v>497</v>
      </c>
      <c r="C195" s="18">
        <f ca="1">TODAY()-159</f>
        <v>44477</v>
      </c>
      <c r="D195" s="19">
        <v>3</v>
      </c>
      <c r="E195" s="20">
        <v>4964300</v>
      </c>
    </row>
    <row r="196" spans="1:5" x14ac:dyDescent="0.2">
      <c r="A196" s="5">
        <v>38906965</v>
      </c>
      <c r="B196" t="s">
        <v>530</v>
      </c>
      <c r="C196" s="18">
        <f ca="1">TODAY()-158</f>
        <v>44478</v>
      </c>
      <c r="D196" s="19">
        <v>8</v>
      </c>
      <c r="E196" s="20">
        <v>10800</v>
      </c>
    </row>
    <row r="197" spans="1:5" x14ac:dyDescent="0.2">
      <c r="A197" s="5">
        <v>35504210</v>
      </c>
      <c r="B197" t="s">
        <v>424</v>
      </c>
      <c r="C197" s="18">
        <f ca="1">TODAY()-157</f>
        <v>44479</v>
      </c>
      <c r="D197" s="19">
        <v>5</v>
      </c>
      <c r="E197" s="20">
        <v>58100</v>
      </c>
    </row>
    <row r="198" spans="1:5" x14ac:dyDescent="0.2">
      <c r="A198" s="5">
        <v>42535077</v>
      </c>
      <c r="B198" t="s">
        <v>357</v>
      </c>
      <c r="C198" s="18">
        <f ca="1">TODAY()-156</f>
        <v>44480</v>
      </c>
      <c r="D198" s="19">
        <v>3</v>
      </c>
      <c r="E198" s="20">
        <v>6380700</v>
      </c>
    </row>
    <row r="199" spans="1:5" x14ac:dyDescent="0.2">
      <c r="A199" s="5">
        <v>77134361</v>
      </c>
      <c r="B199" t="s">
        <v>596</v>
      </c>
      <c r="C199" s="18">
        <f ca="1">TODAY()-155</f>
        <v>44481</v>
      </c>
      <c r="D199" s="19">
        <v>4</v>
      </c>
      <c r="E199" s="20">
        <v>77000</v>
      </c>
    </row>
    <row r="200" spans="1:5" x14ac:dyDescent="0.2">
      <c r="A200" s="5">
        <v>34061779</v>
      </c>
      <c r="B200" t="s">
        <v>589</v>
      </c>
      <c r="C200" s="18">
        <f t="shared" ref="C200:C207" ca="1" si="4">TODAY()-154</f>
        <v>44482</v>
      </c>
      <c r="D200" s="19">
        <v>5</v>
      </c>
      <c r="E200" s="20">
        <v>1069200</v>
      </c>
    </row>
    <row r="201" spans="1:5" x14ac:dyDescent="0.2">
      <c r="A201" s="5">
        <v>94590438</v>
      </c>
      <c r="B201" t="s">
        <v>467</v>
      </c>
      <c r="C201" s="18">
        <f t="shared" ca="1" si="4"/>
        <v>44482</v>
      </c>
      <c r="D201" s="19">
        <v>4</v>
      </c>
      <c r="E201" s="20">
        <v>554600</v>
      </c>
    </row>
    <row r="202" spans="1:5" x14ac:dyDescent="0.2">
      <c r="A202" s="5">
        <v>78374480</v>
      </c>
      <c r="B202" t="s">
        <v>331</v>
      </c>
      <c r="C202" s="18">
        <f t="shared" ca="1" si="4"/>
        <v>44482</v>
      </c>
      <c r="D202" s="19">
        <v>3</v>
      </c>
      <c r="E202" s="20">
        <v>3725500</v>
      </c>
    </row>
    <row r="203" spans="1:5" x14ac:dyDescent="0.2">
      <c r="A203" s="5">
        <v>34061779</v>
      </c>
      <c r="B203" t="s">
        <v>589</v>
      </c>
      <c r="C203" s="18">
        <f t="shared" ca="1" si="4"/>
        <v>44482</v>
      </c>
      <c r="D203" s="19">
        <v>6</v>
      </c>
      <c r="E203" s="20">
        <v>1351900</v>
      </c>
    </row>
    <row r="204" spans="1:5" x14ac:dyDescent="0.2">
      <c r="A204" s="5">
        <v>58333032</v>
      </c>
      <c r="B204" t="s">
        <v>562</v>
      </c>
      <c r="C204" s="18">
        <f t="shared" ca="1" si="4"/>
        <v>44482</v>
      </c>
      <c r="D204" s="19">
        <v>5</v>
      </c>
      <c r="E204" s="20">
        <v>20200</v>
      </c>
    </row>
    <row r="205" spans="1:5" x14ac:dyDescent="0.2">
      <c r="A205" s="5">
        <v>77134361</v>
      </c>
      <c r="B205" t="s">
        <v>596</v>
      </c>
      <c r="C205" s="18">
        <f t="shared" ca="1" si="4"/>
        <v>44482</v>
      </c>
      <c r="D205" s="19">
        <v>5</v>
      </c>
      <c r="E205" s="20">
        <v>72100</v>
      </c>
    </row>
    <row r="206" spans="1:5" x14ac:dyDescent="0.2">
      <c r="A206" s="5">
        <v>47564315</v>
      </c>
      <c r="B206" t="s">
        <v>396</v>
      </c>
      <c r="C206" s="18">
        <f t="shared" ca="1" si="4"/>
        <v>44482</v>
      </c>
      <c r="D206" s="19">
        <v>4</v>
      </c>
      <c r="E206" s="20">
        <v>7623100</v>
      </c>
    </row>
    <row r="207" spans="1:5" x14ac:dyDescent="0.2">
      <c r="A207" s="5">
        <v>91327243</v>
      </c>
      <c r="B207" t="s">
        <v>544</v>
      </c>
      <c r="C207" s="18">
        <f t="shared" ca="1" si="4"/>
        <v>44482</v>
      </c>
      <c r="D207" s="19">
        <v>4</v>
      </c>
      <c r="E207" s="20">
        <v>6017000</v>
      </c>
    </row>
    <row r="208" spans="1:5" x14ac:dyDescent="0.2">
      <c r="A208" s="5">
        <v>43324700</v>
      </c>
      <c r="B208" t="s">
        <v>404</v>
      </c>
      <c r="C208" s="18">
        <f ca="1">TODAY()-153</f>
        <v>44483</v>
      </c>
      <c r="D208" s="19">
        <v>4</v>
      </c>
      <c r="E208" s="20">
        <v>575500</v>
      </c>
    </row>
    <row r="209" spans="1:5" x14ac:dyDescent="0.2">
      <c r="A209" s="5">
        <v>48434256</v>
      </c>
      <c r="B209" t="s">
        <v>350</v>
      </c>
      <c r="C209" s="18">
        <f ca="1">TODAY()-153</f>
        <v>44483</v>
      </c>
      <c r="D209" s="19">
        <v>4</v>
      </c>
      <c r="E209" s="20">
        <v>673200</v>
      </c>
    </row>
    <row r="210" spans="1:5" x14ac:dyDescent="0.2">
      <c r="A210" s="5">
        <v>36182332</v>
      </c>
      <c r="B210" t="s">
        <v>318</v>
      </c>
      <c r="C210" s="18">
        <f ca="1">TODAY()-152</f>
        <v>44484</v>
      </c>
      <c r="D210" s="19">
        <v>3</v>
      </c>
      <c r="E210" s="20">
        <v>3523000</v>
      </c>
    </row>
    <row r="211" spans="1:5" x14ac:dyDescent="0.2">
      <c r="A211" s="5">
        <v>80104779</v>
      </c>
      <c r="B211" t="s">
        <v>568</v>
      </c>
      <c r="C211" s="18">
        <f ca="1">TODAY()-151</f>
        <v>44485</v>
      </c>
      <c r="D211" s="19">
        <v>6</v>
      </c>
      <c r="E211" s="20">
        <v>1018800</v>
      </c>
    </row>
    <row r="212" spans="1:5" x14ac:dyDescent="0.2">
      <c r="A212" s="5">
        <v>47564315</v>
      </c>
      <c r="B212" t="s">
        <v>396</v>
      </c>
      <c r="C212" s="18">
        <f ca="1">TODAY()-151</f>
        <v>44485</v>
      </c>
      <c r="D212" s="19">
        <v>5</v>
      </c>
      <c r="E212" s="20">
        <v>9197500</v>
      </c>
    </row>
    <row r="213" spans="1:5" x14ac:dyDescent="0.2">
      <c r="A213" s="5">
        <v>72006643</v>
      </c>
      <c r="B213" t="s">
        <v>495</v>
      </c>
      <c r="C213" s="18">
        <f ca="1">TODAY()-150</f>
        <v>44486</v>
      </c>
      <c r="D213" s="19">
        <v>4</v>
      </c>
      <c r="E213" s="20">
        <v>205100</v>
      </c>
    </row>
    <row r="214" spans="1:5" x14ac:dyDescent="0.2">
      <c r="A214" s="5">
        <v>72848119</v>
      </c>
      <c r="B214" t="s">
        <v>451</v>
      </c>
      <c r="C214" s="18">
        <f ca="1">TODAY()-149</f>
        <v>44487</v>
      </c>
      <c r="D214" s="19">
        <v>7</v>
      </c>
      <c r="E214" s="20">
        <v>55000</v>
      </c>
    </row>
    <row r="215" spans="1:5" x14ac:dyDescent="0.2">
      <c r="A215" s="5">
        <v>60521821</v>
      </c>
      <c r="B215" t="s">
        <v>445</v>
      </c>
      <c r="C215" s="18">
        <f ca="1">TODAY()-148</f>
        <v>44488</v>
      </c>
      <c r="D215" s="19">
        <v>8</v>
      </c>
      <c r="E215" s="20">
        <v>4782200</v>
      </c>
    </row>
    <row r="216" spans="1:5" x14ac:dyDescent="0.2">
      <c r="A216" s="5">
        <v>86480935</v>
      </c>
      <c r="B216" t="s">
        <v>391</v>
      </c>
      <c r="C216" s="18">
        <f ca="1">TODAY()-147</f>
        <v>44489</v>
      </c>
      <c r="D216" s="19">
        <v>3</v>
      </c>
      <c r="E216" s="20">
        <v>512500</v>
      </c>
    </row>
    <row r="217" spans="1:5" x14ac:dyDescent="0.2">
      <c r="A217" s="5">
        <v>63528015</v>
      </c>
      <c r="B217" t="s">
        <v>382</v>
      </c>
      <c r="C217" s="18">
        <f ca="1">TODAY()-147</f>
        <v>44489</v>
      </c>
      <c r="D217" s="19">
        <v>3</v>
      </c>
      <c r="E217" s="20">
        <v>23600</v>
      </c>
    </row>
    <row r="218" spans="1:5" x14ac:dyDescent="0.2">
      <c r="A218" s="5">
        <v>47805922</v>
      </c>
      <c r="B218" t="s">
        <v>566</v>
      </c>
      <c r="C218" s="18">
        <f ca="1">TODAY()-147</f>
        <v>44489</v>
      </c>
      <c r="D218" s="19">
        <v>3</v>
      </c>
      <c r="E218" s="20">
        <v>91900</v>
      </c>
    </row>
    <row r="219" spans="1:5" x14ac:dyDescent="0.2">
      <c r="A219" s="5">
        <v>38906965</v>
      </c>
      <c r="B219" t="s">
        <v>530</v>
      </c>
      <c r="C219" s="18">
        <f ca="1">TODAY()-147</f>
        <v>44489</v>
      </c>
      <c r="D219" s="19">
        <v>9</v>
      </c>
      <c r="E219" s="20">
        <v>11600</v>
      </c>
    </row>
    <row r="220" spans="1:5" x14ac:dyDescent="0.2">
      <c r="A220" s="5">
        <v>72006643</v>
      </c>
      <c r="B220" t="s">
        <v>495</v>
      </c>
      <c r="C220" s="18">
        <f ca="1">TODAY()-146</f>
        <v>44490</v>
      </c>
      <c r="D220" s="19">
        <v>5</v>
      </c>
      <c r="E220" s="20">
        <v>207300</v>
      </c>
    </row>
    <row r="221" spans="1:5" x14ac:dyDescent="0.2">
      <c r="A221" s="5">
        <v>72006643</v>
      </c>
      <c r="B221" t="s">
        <v>495</v>
      </c>
      <c r="C221" s="18">
        <f ca="1">TODAY()-145</f>
        <v>44491</v>
      </c>
      <c r="D221" s="19">
        <v>6</v>
      </c>
      <c r="E221" s="20">
        <v>238100</v>
      </c>
    </row>
    <row r="222" spans="1:5" x14ac:dyDescent="0.2">
      <c r="A222" s="5">
        <v>50782119</v>
      </c>
      <c r="B222" t="s">
        <v>585</v>
      </c>
      <c r="C222" s="18">
        <f ca="1">TODAY()-144</f>
        <v>44492</v>
      </c>
      <c r="D222" s="19">
        <v>4</v>
      </c>
      <c r="E222" s="20">
        <v>3074900</v>
      </c>
    </row>
    <row r="223" spans="1:5" x14ac:dyDescent="0.2">
      <c r="A223" s="5">
        <v>42535077</v>
      </c>
      <c r="B223" t="s">
        <v>357</v>
      </c>
      <c r="C223" s="18">
        <f ca="1">TODAY()-144</f>
        <v>44492</v>
      </c>
      <c r="D223" s="19">
        <v>4</v>
      </c>
      <c r="E223" s="20">
        <v>7670400</v>
      </c>
    </row>
    <row r="224" spans="1:5" x14ac:dyDescent="0.2">
      <c r="A224" s="5">
        <v>44982022</v>
      </c>
      <c r="B224" t="s">
        <v>581</v>
      </c>
      <c r="C224" s="18">
        <f ca="1">TODAY()-144</f>
        <v>44492</v>
      </c>
      <c r="D224" s="19">
        <v>6</v>
      </c>
      <c r="E224" s="20">
        <v>75400</v>
      </c>
    </row>
    <row r="225" spans="1:5" x14ac:dyDescent="0.2">
      <c r="A225" s="5">
        <v>56383353</v>
      </c>
      <c r="B225" t="s">
        <v>367</v>
      </c>
      <c r="C225" s="18">
        <f ca="1">TODAY()-144</f>
        <v>44492</v>
      </c>
      <c r="D225" s="19">
        <v>11</v>
      </c>
      <c r="E225" s="20">
        <v>80500</v>
      </c>
    </row>
    <row r="226" spans="1:5" x14ac:dyDescent="0.2">
      <c r="A226" s="5">
        <v>94590438</v>
      </c>
      <c r="B226" t="s">
        <v>467</v>
      </c>
      <c r="C226" s="18">
        <f ca="1">TODAY()-143</f>
        <v>44493</v>
      </c>
      <c r="D226" s="19">
        <v>5</v>
      </c>
      <c r="E226" s="20">
        <v>524100</v>
      </c>
    </row>
    <row r="227" spans="1:5" x14ac:dyDescent="0.2">
      <c r="A227" s="5">
        <v>78944070</v>
      </c>
      <c r="B227" t="s">
        <v>540</v>
      </c>
      <c r="C227" s="18">
        <f ca="1">TODAY()-142</f>
        <v>44494</v>
      </c>
      <c r="D227" s="19">
        <v>3</v>
      </c>
      <c r="E227" s="20">
        <v>40400</v>
      </c>
    </row>
    <row r="228" spans="1:5" x14ac:dyDescent="0.2">
      <c r="A228" s="5">
        <v>42535077</v>
      </c>
      <c r="B228" t="s">
        <v>357</v>
      </c>
      <c r="C228" s="18">
        <f t="shared" ref="C228:C236" ca="1" si="5">TODAY()-141</f>
        <v>44495</v>
      </c>
      <c r="D228" s="19">
        <v>5</v>
      </c>
      <c r="E228" s="20">
        <v>6380700</v>
      </c>
    </row>
    <row r="229" spans="1:5" x14ac:dyDescent="0.2">
      <c r="A229" s="5">
        <v>75057713</v>
      </c>
      <c r="B229" t="s">
        <v>594</v>
      </c>
      <c r="C229" s="18">
        <f t="shared" ca="1" si="5"/>
        <v>44495</v>
      </c>
      <c r="D229" s="19">
        <v>5</v>
      </c>
      <c r="E229" s="20">
        <v>114800</v>
      </c>
    </row>
    <row r="230" spans="1:5" x14ac:dyDescent="0.2">
      <c r="A230" s="5">
        <v>54380044</v>
      </c>
      <c r="B230" t="s">
        <v>294</v>
      </c>
      <c r="C230" s="18">
        <f t="shared" ca="1" si="5"/>
        <v>44495</v>
      </c>
      <c r="D230" s="19">
        <v>8</v>
      </c>
      <c r="E230" s="20">
        <v>4914400</v>
      </c>
    </row>
    <row r="231" spans="1:5" x14ac:dyDescent="0.2">
      <c r="A231" s="5">
        <v>78374480</v>
      </c>
      <c r="B231" t="s">
        <v>331</v>
      </c>
      <c r="C231" s="18">
        <f t="shared" ca="1" si="5"/>
        <v>44495</v>
      </c>
      <c r="D231" s="19">
        <v>4</v>
      </c>
      <c r="E231" s="20">
        <v>3985400</v>
      </c>
    </row>
    <row r="232" spans="1:5" x14ac:dyDescent="0.2">
      <c r="A232" s="5">
        <v>75057713</v>
      </c>
      <c r="B232" t="s">
        <v>594</v>
      </c>
      <c r="C232" s="18">
        <f t="shared" ca="1" si="5"/>
        <v>44495</v>
      </c>
      <c r="D232" s="19">
        <v>6</v>
      </c>
      <c r="E232" s="20">
        <v>115800</v>
      </c>
    </row>
    <row r="233" spans="1:5" x14ac:dyDescent="0.2">
      <c r="A233" s="5">
        <v>79476220</v>
      </c>
      <c r="B233" t="s">
        <v>548</v>
      </c>
      <c r="C233" s="18">
        <f t="shared" ca="1" si="5"/>
        <v>44495</v>
      </c>
      <c r="D233" s="19">
        <v>6</v>
      </c>
      <c r="E233" s="20">
        <v>2196000</v>
      </c>
    </row>
    <row r="234" spans="1:5" x14ac:dyDescent="0.2">
      <c r="A234" s="5">
        <v>67027627</v>
      </c>
      <c r="B234" t="s">
        <v>605</v>
      </c>
      <c r="C234" s="18">
        <f t="shared" ca="1" si="5"/>
        <v>44495</v>
      </c>
      <c r="D234" s="19">
        <v>2</v>
      </c>
      <c r="E234" s="20">
        <v>749000</v>
      </c>
    </row>
    <row r="235" spans="1:5" x14ac:dyDescent="0.2">
      <c r="A235" s="5">
        <v>92320652</v>
      </c>
      <c r="B235" t="s">
        <v>602</v>
      </c>
      <c r="C235" s="18">
        <f t="shared" ca="1" si="5"/>
        <v>44495</v>
      </c>
      <c r="D235" s="19">
        <v>3</v>
      </c>
      <c r="E235" s="20">
        <v>429300</v>
      </c>
    </row>
    <row r="236" spans="1:5" x14ac:dyDescent="0.2">
      <c r="A236" s="5">
        <v>55611854</v>
      </c>
      <c r="B236" t="s">
        <v>433</v>
      </c>
      <c r="C236" s="18">
        <f t="shared" ca="1" si="5"/>
        <v>44495</v>
      </c>
      <c r="D236" s="19">
        <v>4</v>
      </c>
      <c r="E236" s="20">
        <v>73800</v>
      </c>
    </row>
    <row r="237" spans="1:5" x14ac:dyDescent="0.2">
      <c r="A237" s="5">
        <v>94590438</v>
      </c>
      <c r="B237" t="s">
        <v>467</v>
      </c>
      <c r="C237" s="18">
        <f ca="1">TODAY()-140</f>
        <v>44496</v>
      </c>
      <c r="D237" s="19">
        <v>6</v>
      </c>
      <c r="E237" s="20">
        <v>511900</v>
      </c>
    </row>
    <row r="238" spans="1:5" x14ac:dyDescent="0.2">
      <c r="A238" s="5">
        <v>47564315</v>
      </c>
      <c r="B238" t="s">
        <v>396</v>
      </c>
      <c r="C238" s="18">
        <f ca="1">TODAY()-139</f>
        <v>44497</v>
      </c>
      <c r="D238" s="19">
        <v>6</v>
      </c>
      <c r="E238" s="20">
        <v>9611800</v>
      </c>
    </row>
    <row r="239" spans="1:5" x14ac:dyDescent="0.2">
      <c r="A239" s="5">
        <v>58333032</v>
      </c>
      <c r="B239" t="s">
        <v>562</v>
      </c>
      <c r="C239" s="18">
        <f ca="1">TODAY()-138</f>
        <v>44498</v>
      </c>
      <c r="D239" s="19">
        <v>6</v>
      </c>
      <c r="E239" s="20">
        <v>24900</v>
      </c>
    </row>
    <row r="240" spans="1:5" x14ac:dyDescent="0.2">
      <c r="A240" s="5">
        <v>75057713</v>
      </c>
      <c r="B240" t="s">
        <v>594</v>
      </c>
      <c r="C240" s="18">
        <f ca="1">TODAY()-137</f>
        <v>44499</v>
      </c>
      <c r="D240" s="19">
        <v>7</v>
      </c>
      <c r="E240" s="20">
        <v>110900</v>
      </c>
    </row>
    <row r="241" spans="1:5" x14ac:dyDescent="0.2">
      <c r="A241" s="5">
        <v>42535077</v>
      </c>
      <c r="B241" t="s">
        <v>357</v>
      </c>
      <c r="C241" s="18">
        <f ca="1">TODAY()-137</f>
        <v>44499</v>
      </c>
      <c r="D241" s="19">
        <v>6</v>
      </c>
      <c r="E241" s="20">
        <v>5837700</v>
      </c>
    </row>
    <row r="242" spans="1:5" x14ac:dyDescent="0.2">
      <c r="A242" s="5">
        <v>68215900</v>
      </c>
      <c r="B242" t="s">
        <v>444</v>
      </c>
      <c r="C242" s="18">
        <f ca="1">TODAY()-136</f>
        <v>44500</v>
      </c>
      <c r="D242" s="19">
        <v>5</v>
      </c>
      <c r="E242" s="20">
        <v>7072300</v>
      </c>
    </row>
    <row r="243" spans="1:5" x14ac:dyDescent="0.2">
      <c r="A243" s="5">
        <v>48952443</v>
      </c>
      <c r="B243" t="s">
        <v>439</v>
      </c>
      <c r="C243" s="18">
        <f ca="1">TODAY()-136</f>
        <v>44500</v>
      </c>
      <c r="D243" s="19">
        <v>5</v>
      </c>
      <c r="E243" s="20">
        <v>55700</v>
      </c>
    </row>
    <row r="244" spans="1:5" x14ac:dyDescent="0.2">
      <c r="A244" s="5">
        <v>34061779</v>
      </c>
      <c r="B244" t="s">
        <v>589</v>
      </c>
      <c r="C244" s="18">
        <f ca="1">TODAY()-135</f>
        <v>44501</v>
      </c>
      <c r="D244" s="19">
        <v>7</v>
      </c>
      <c r="E244" s="20">
        <v>1093800</v>
      </c>
    </row>
    <row r="245" spans="1:5" x14ac:dyDescent="0.2">
      <c r="A245" s="5">
        <v>49401672</v>
      </c>
      <c r="B245" t="s">
        <v>287</v>
      </c>
      <c r="C245" s="18">
        <f ca="1">TODAY()-134</f>
        <v>44502</v>
      </c>
      <c r="D245" s="19">
        <v>6</v>
      </c>
      <c r="E245" s="20">
        <v>4775300</v>
      </c>
    </row>
    <row r="246" spans="1:5" x14ac:dyDescent="0.2">
      <c r="A246" s="5">
        <v>56383353</v>
      </c>
      <c r="B246" t="s">
        <v>367</v>
      </c>
      <c r="C246" s="18">
        <f ca="1">TODAY()-134</f>
        <v>44502</v>
      </c>
      <c r="D246" s="19">
        <v>12</v>
      </c>
      <c r="E246" s="20">
        <v>100400</v>
      </c>
    </row>
    <row r="247" spans="1:5" x14ac:dyDescent="0.2">
      <c r="A247" s="5">
        <v>46181234</v>
      </c>
      <c r="B247" t="s">
        <v>463</v>
      </c>
      <c r="C247" s="18">
        <f t="shared" ref="C247:C252" ca="1" si="6">TODAY()-133</f>
        <v>44503</v>
      </c>
      <c r="D247" s="19">
        <v>6</v>
      </c>
      <c r="E247" s="20">
        <v>81700</v>
      </c>
    </row>
    <row r="248" spans="1:5" x14ac:dyDescent="0.2">
      <c r="A248" s="5">
        <v>42535077</v>
      </c>
      <c r="B248" t="s">
        <v>357</v>
      </c>
      <c r="C248" s="18">
        <f t="shared" ca="1" si="6"/>
        <v>44503</v>
      </c>
      <c r="D248" s="19">
        <v>7</v>
      </c>
      <c r="E248" s="20">
        <v>5837700</v>
      </c>
    </row>
    <row r="249" spans="1:5" x14ac:dyDescent="0.2">
      <c r="A249" s="5">
        <v>44982022</v>
      </c>
      <c r="B249" t="s">
        <v>581</v>
      </c>
      <c r="C249" s="18">
        <f t="shared" ca="1" si="6"/>
        <v>44503</v>
      </c>
      <c r="D249" s="19">
        <v>7</v>
      </c>
      <c r="E249" s="20">
        <v>103400</v>
      </c>
    </row>
    <row r="250" spans="1:5" x14ac:dyDescent="0.2">
      <c r="A250" s="5">
        <v>91275989</v>
      </c>
      <c r="B250" t="s">
        <v>588</v>
      </c>
      <c r="C250" s="18">
        <f t="shared" ca="1" si="6"/>
        <v>44503</v>
      </c>
      <c r="D250" s="19">
        <v>2</v>
      </c>
      <c r="E250" s="20">
        <v>66800</v>
      </c>
    </row>
    <row r="251" spans="1:5" x14ac:dyDescent="0.2">
      <c r="A251" s="5">
        <v>95360283</v>
      </c>
      <c r="B251" t="s">
        <v>556</v>
      </c>
      <c r="C251" s="18">
        <f t="shared" ca="1" si="6"/>
        <v>44503</v>
      </c>
      <c r="D251" s="19">
        <v>4</v>
      </c>
      <c r="E251" s="20">
        <v>35000</v>
      </c>
    </row>
    <row r="252" spans="1:5" x14ac:dyDescent="0.2">
      <c r="A252" s="5">
        <v>86480935</v>
      </c>
      <c r="B252" t="s">
        <v>391</v>
      </c>
      <c r="C252" s="18">
        <f t="shared" ca="1" si="6"/>
        <v>44503</v>
      </c>
      <c r="D252" s="19">
        <v>4</v>
      </c>
      <c r="E252" s="20">
        <v>521200</v>
      </c>
    </row>
    <row r="253" spans="1:5" x14ac:dyDescent="0.2">
      <c r="A253" s="5">
        <v>98597711</v>
      </c>
      <c r="B253" t="s">
        <v>360</v>
      </c>
      <c r="C253" s="18">
        <f ca="1">TODAY()-132</f>
        <v>44504</v>
      </c>
      <c r="D253" s="19">
        <v>6</v>
      </c>
      <c r="E253" s="20">
        <v>177000</v>
      </c>
    </row>
    <row r="254" spans="1:5" x14ac:dyDescent="0.2">
      <c r="A254" s="5">
        <v>95360283</v>
      </c>
      <c r="B254" t="s">
        <v>556</v>
      </c>
      <c r="C254" s="18">
        <f ca="1">TODAY()-132</f>
        <v>44504</v>
      </c>
      <c r="D254" s="19">
        <v>5</v>
      </c>
      <c r="E254" s="20">
        <v>42600</v>
      </c>
    </row>
    <row r="255" spans="1:5" x14ac:dyDescent="0.2">
      <c r="A255" s="5">
        <v>60521821</v>
      </c>
      <c r="B255" t="s">
        <v>445</v>
      </c>
      <c r="C255" s="18">
        <f ca="1">TODAY()-131</f>
        <v>44505</v>
      </c>
      <c r="D255" s="19">
        <v>9</v>
      </c>
      <c r="E255" s="20">
        <v>5018400</v>
      </c>
    </row>
    <row r="256" spans="1:5" x14ac:dyDescent="0.2">
      <c r="A256" s="5">
        <v>77134361</v>
      </c>
      <c r="B256" t="s">
        <v>596</v>
      </c>
      <c r="C256" s="18">
        <f ca="1">TODAY()-130</f>
        <v>44506</v>
      </c>
      <c r="D256" s="19">
        <v>6</v>
      </c>
      <c r="E256" s="20">
        <v>67200</v>
      </c>
    </row>
    <row r="257" spans="1:5" x14ac:dyDescent="0.2">
      <c r="A257" s="5">
        <v>78374480</v>
      </c>
      <c r="B257" t="s">
        <v>331</v>
      </c>
      <c r="C257" s="18">
        <f ca="1">TODAY()-129</f>
        <v>44507</v>
      </c>
      <c r="D257" s="19">
        <v>5</v>
      </c>
      <c r="E257" s="20">
        <v>3638900</v>
      </c>
    </row>
    <row r="258" spans="1:5" x14ac:dyDescent="0.2">
      <c r="A258" s="5">
        <v>42535077</v>
      </c>
      <c r="B258" t="s">
        <v>357</v>
      </c>
      <c r="C258" s="18">
        <f ca="1">TODAY()-129</f>
        <v>44507</v>
      </c>
      <c r="D258" s="19">
        <v>8</v>
      </c>
      <c r="E258" s="20">
        <v>5905600</v>
      </c>
    </row>
    <row r="259" spans="1:5" x14ac:dyDescent="0.2">
      <c r="A259" s="5">
        <v>63528015</v>
      </c>
      <c r="B259" t="s">
        <v>382</v>
      </c>
      <c r="C259" s="18">
        <f ca="1">TODAY()-128</f>
        <v>44508</v>
      </c>
      <c r="D259" s="19">
        <v>4</v>
      </c>
      <c r="E259" s="20">
        <v>19900</v>
      </c>
    </row>
    <row r="260" spans="1:5" x14ac:dyDescent="0.2">
      <c r="A260" s="5">
        <v>41312447</v>
      </c>
      <c r="B260" t="s">
        <v>271</v>
      </c>
      <c r="C260" s="18">
        <f ca="1">TODAY()-127</f>
        <v>44509</v>
      </c>
      <c r="D260" s="19">
        <v>6</v>
      </c>
      <c r="E260" s="20">
        <v>219900</v>
      </c>
    </row>
    <row r="261" spans="1:5" x14ac:dyDescent="0.2">
      <c r="A261" s="5">
        <v>57425327</v>
      </c>
      <c r="B261" t="s">
        <v>603</v>
      </c>
      <c r="C261" s="18">
        <f ca="1">TODAY()-127</f>
        <v>44509</v>
      </c>
      <c r="D261" s="19">
        <v>4</v>
      </c>
      <c r="E261" s="20">
        <v>16700</v>
      </c>
    </row>
    <row r="262" spans="1:5" x14ac:dyDescent="0.2">
      <c r="A262" s="5">
        <v>78374480</v>
      </c>
      <c r="B262" t="s">
        <v>331</v>
      </c>
      <c r="C262" s="18">
        <f ca="1">TODAY()-126</f>
        <v>44510</v>
      </c>
      <c r="D262" s="19">
        <v>6</v>
      </c>
      <c r="E262" s="20">
        <v>5111800</v>
      </c>
    </row>
    <row r="263" spans="1:5" x14ac:dyDescent="0.2">
      <c r="A263" s="5">
        <v>94590438</v>
      </c>
      <c r="B263" t="s">
        <v>467</v>
      </c>
      <c r="C263" s="18">
        <f ca="1">TODAY()-126</f>
        <v>44510</v>
      </c>
      <c r="D263" s="19">
        <v>7</v>
      </c>
      <c r="E263" s="20">
        <v>621600</v>
      </c>
    </row>
    <row r="264" spans="1:5" x14ac:dyDescent="0.2">
      <c r="A264" s="5">
        <v>58333032</v>
      </c>
      <c r="B264" t="s">
        <v>562</v>
      </c>
      <c r="C264" s="18">
        <f ca="1">TODAY()-126</f>
        <v>44510</v>
      </c>
      <c r="D264" s="19">
        <v>7</v>
      </c>
      <c r="E264" s="20">
        <v>19900</v>
      </c>
    </row>
    <row r="265" spans="1:5" x14ac:dyDescent="0.2">
      <c r="A265" s="5">
        <v>43324700</v>
      </c>
      <c r="B265" t="s">
        <v>404</v>
      </c>
      <c r="C265" s="18">
        <f t="shared" ref="C265:C270" ca="1" si="7">TODAY()-125</f>
        <v>44511</v>
      </c>
      <c r="D265" s="19">
        <v>5</v>
      </c>
      <c r="E265" s="20">
        <v>717600</v>
      </c>
    </row>
    <row r="266" spans="1:5" x14ac:dyDescent="0.2">
      <c r="A266" s="5">
        <v>78374480</v>
      </c>
      <c r="B266" t="s">
        <v>331</v>
      </c>
      <c r="C266" s="18">
        <f t="shared" ca="1" si="7"/>
        <v>44511</v>
      </c>
      <c r="D266" s="19">
        <v>7</v>
      </c>
      <c r="E266" s="20">
        <v>4808500</v>
      </c>
    </row>
    <row r="267" spans="1:5" x14ac:dyDescent="0.2">
      <c r="A267" s="5">
        <v>78374480</v>
      </c>
      <c r="B267" t="s">
        <v>331</v>
      </c>
      <c r="C267" s="18">
        <f t="shared" ca="1" si="7"/>
        <v>44511</v>
      </c>
      <c r="D267" s="19">
        <v>8</v>
      </c>
      <c r="E267" s="20">
        <v>3985400</v>
      </c>
    </row>
    <row r="268" spans="1:5" x14ac:dyDescent="0.2">
      <c r="A268" s="5">
        <v>56383353</v>
      </c>
      <c r="B268" t="s">
        <v>367</v>
      </c>
      <c r="C268" s="18">
        <f t="shared" ca="1" si="7"/>
        <v>44511</v>
      </c>
      <c r="D268" s="19">
        <v>13</v>
      </c>
      <c r="E268" s="20">
        <v>102200</v>
      </c>
    </row>
    <row r="269" spans="1:5" x14ac:dyDescent="0.2">
      <c r="A269" s="5">
        <v>44982022</v>
      </c>
      <c r="B269" t="s">
        <v>581</v>
      </c>
      <c r="C269" s="18">
        <f t="shared" ca="1" si="7"/>
        <v>44511</v>
      </c>
      <c r="D269" s="19">
        <v>8</v>
      </c>
      <c r="E269" s="20">
        <v>87600</v>
      </c>
    </row>
    <row r="270" spans="1:5" x14ac:dyDescent="0.2">
      <c r="A270" s="5">
        <v>95804106</v>
      </c>
      <c r="B270" t="s">
        <v>359</v>
      </c>
      <c r="C270" s="18">
        <f t="shared" ca="1" si="7"/>
        <v>44511</v>
      </c>
      <c r="D270" s="19">
        <v>5</v>
      </c>
      <c r="E270" s="20">
        <v>269200</v>
      </c>
    </row>
    <row r="271" spans="1:5" x14ac:dyDescent="0.2">
      <c r="A271" s="5">
        <v>72006643</v>
      </c>
      <c r="B271" t="s">
        <v>495</v>
      </c>
      <c r="C271" s="18">
        <f ca="1">TODAY()-124</f>
        <v>44512</v>
      </c>
      <c r="D271" s="19">
        <v>7</v>
      </c>
      <c r="E271" s="20">
        <v>176400</v>
      </c>
    </row>
    <row r="272" spans="1:5" x14ac:dyDescent="0.2">
      <c r="A272" s="5">
        <v>78374480</v>
      </c>
      <c r="B272" t="s">
        <v>331</v>
      </c>
      <c r="C272" s="18">
        <f ca="1">TODAY()-123</f>
        <v>44513</v>
      </c>
      <c r="D272" s="19">
        <v>9</v>
      </c>
      <c r="E272" s="20">
        <v>5155100</v>
      </c>
    </row>
    <row r="273" spans="1:5" x14ac:dyDescent="0.2">
      <c r="A273" s="5">
        <v>78944070</v>
      </c>
      <c r="B273" t="s">
        <v>540</v>
      </c>
      <c r="C273" s="18">
        <f ca="1">TODAY()-123</f>
        <v>44513</v>
      </c>
      <c r="D273" s="19">
        <v>4</v>
      </c>
      <c r="E273" s="20">
        <v>51400</v>
      </c>
    </row>
    <row r="274" spans="1:5" x14ac:dyDescent="0.2">
      <c r="A274" s="5">
        <v>36182332</v>
      </c>
      <c r="B274" t="s">
        <v>318</v>
      </c>
      <c r="C274" s="18">
        <f ca="1">TODAY()-123</f>
        <v>44513</v>
      </c>
      <c r="D274" s="19">
        <v>4</v>
      </c>
      <c r="E274" s="20">
        <v>4361800</v>
      </c>
    </row>
    <row r="275" spans="1:5" x14ac:dyDescent="0.2">
      <c r="A275" s="5">
        <v>41312447</v>
      </c>
      <c r="B275" t="s">
        <v>271</v>
      </c>
      <c r="C275" s="18">
        <f ca="1">TODAY()-123</f>
        <v>44513</v>
      </c>
      <c r="D275" s="19">
        <v>7</v>
      </c>
      <c r="E275" s="20">
        <v>231200</v>
      </c>
    </row>
    <row r="276" spans="1:5" x14ac:dyDescent="0.2">
      <c r="A276" s="5">
        <v>59948756</v>
      </c>
      <c r="B276" t="s">
        <v>469</v>
      </c>
      <c r="C276" s="18">
        <f ca="1">TODAY()-122</f>
        <v>44514</v>
      </c>
      <c r="D276" s="19">
        <v>4</v>
      </c>
      <c r="E276" s="20">
        <v>20800</v>
      </c>
    </row>
    <row r="277" spans="1:5" x14ac:dyDescent="0.2">
      <c r="A277" s="5">
        <v>79476220</v>
      </c>
      <c r="B277" t="s">
        <v>548</v>
      </c>
      <c r="C277" s="18">
        <f ca="1">TODAY()-122</f>
        <v>44514</v>
      </c>
      <c r="D277" s="19">
        <v>7</v>
      </c>
      <c r="E277" s="20">
        <v>2708400</v>
      </c>
    </row>
    <row r="278" spans="1:5" x14ac:dyDescent="0.2">
      <c r="A278" s="5">
        <v>78374480</v>
      </c>
      <c r="B278" t="s">
        <v>331</v>
      </c>
      <c r="C278" s="18">
        <f ca="1">TODAY()-121</f>
        <v>44515</v>
      </c>
      <c r="D278" s="19">
        <v>10</v>
      </c>
      <c r="E278" s="20">
        <v>4765200</v>
      </c>
    </row>
    <row r="279" spans="1:5" x14ac:dyDescent="0.2">
      <c r="A279" s="5">
        <v>56383353</v>
      </c>
      <c r="B279" t="s">
        <v>367</v>
      </c>
      <c r="C279" s="18">
        <f ca="1">TODAY()-121</f>
        <v>44515</v>
      </c>
      <c r="D279" s="19">
        <v>14</v>
      </c>
      <c r="E279" s="20">
        <v>81400</v>
      </c>
    </row>
    <row r="280" spans="1:5" x14ac:dyDescent="0.2">
      <c r="A280" s="5">
        <v>72848119</v>
      </c>
      <c r="B280" t="s">
        <v>451</v>
      </c>
      <c r="C280" s="18">
        <f ca="1">TODAY()-121</f>
        <v>44515</v>
      </c>
      <c r="D280" s="19">
        <v>8</v>
      </c>
      <c r="E280" s="20">
        <v>57600</v>
      </c>
    </row>
    <row r="281" spans="1:5" x14ac:dyDescent="0.2">
      <c r="A281" s="5">
        <v>35504210</v>
      </c>
      <c r="B281" t="s">
        <v>424</v>
      </c>
      <c r="C281" s="18">
        <f ca="1">TODAY()-121</f>
        <v>44515</v>
      </c>
      <c r="D281" s="19">
        <v>6</v>
      </c>
      <c r="E281" s="20">
        <v>47300</v>
      </c>
    </row>
    <row r="282" spans="1:5" x14ac:dyDescent="0.2">
      <c r="A282" s="5">
        <v>60521821</v>
      </c>
      <c r="B282" t="s">
        <v>445</v>
      </c>
      <c r="C282" s="18">
        <f ca="1">TODAY()-120</f>
        <v>44516</v>
      </c>
      <c r="D282" s="19">
        <v>10</v>
      </c>
      <c r="E282" s="20">
        <v>6966700</v>
      </c>
    </row>
    <row r="283" spans="1:5" x14ac:dyDescent="0.2">
      <c r="A283" s="5">
        <v>72848119</v>
      </c>
      <c r="B283" t="s">
        <v>451</v>
      </c>
      <c r="C283" s="18">
        <f ca="1">TODAY()-119</f>
        <v>44517</v>
      </c>
      <c r="D283" s="19">
        <v>9</v>
      </c>
      <c r="E283" s="20">
        <v>55000</v>
      </c>
    </row>
    <row r="284" spans="1:5" x14ac:dyDescent="0.2">
      <c r="A284" s="5">
        <v>55611854</v>
      </c>
      <c r="B284" t="s">
        <v>433</v>
      </c>
      <c r="C284" s="18">
        <f ca="1">TODAY()-119</f>
        <v>44517</v>
      </c>
      <c r="D284" s="19">
        <v>5</v>
      </c>
      <c r="E284" s="20">
        <v>52900</v>
      </c>
    </row>
    <row r="285" spans="1:5" x14ac:dyDescent="0.2">
      <c r="A285" s="5">
        <v>77134361</v>
      </c>
      <c r="B285" t="s">
        <v>596</v>
      </c>
      <c r="C285" s="18">
        <f ca="1">TODAY()-119</f>
        <v>44517</v>
      </c>
      <c r="D285" s="19">
        <v>7</v>
      </c>
      <c r="E285" s="20">
        <v>69300</v>
      </c>
    </row>
    <row r="286" spans="1:5" x14ac:dyDescent="0.2">
      <c r="A286" s="5">
        <v>38906965</v>
      </c>
      <c r="B286" t="s">
        <v>530</v>
      </c>
      <c r="C286" s="18">
        <f ca="1">TODAY()-118</f>
        <v>44518</v>
      </c>
      <c r="D286" s="19">
        <v>10</v>
      </c>
      <c r="E286" s="20">
        <v>10400</v>
      </c>
    </row>
    <row r="287" spans="1:5" x14ac:dyDescent="0.2">
      <c r="A287" s="5">
        <v>54380044</v>
      </c>
      <c r="B287" t="s">
        <v>294</v>
      </c>
      <c r="C287" s="18">
        <f ca="1">TODAY()-117</f>
        <v>44519</v>
      </c>
      <c r="D287" s="19">
        <v>9</v>
      </c>
      <c r="E287" s="20">
        <v>5958700</v>
      </c>
    </row>
    <row r="288" spans="1:5" x14ac:dyDescent="0.2">
      <c r="A288" s="5">
        <v>57425327</v>
      </c>
      <c r="B288" t="s">
        <v>603</v>
      </c>
      <c r="C288" s="18">
        <f ca="1">TODAY()-117</f>
        <v>44519</v>
      </c>
      <c r="D288" s="19">
        <v>5</v>
      </c>
      <c r="E288" s="20">
        <v>13100</v>
      </c>
    </row>
    <row r="289" spans="1:5" x14ac:dyDescent="0.2">
      <c r="A289" s="5">
        <v>80104779</v>
      </c>
      <c r="B289" t="s">
        <v>568</v>
      </c>
      <c r="C289" s="18">
        <f ca="1">TODAY()-116</f>
        <v>44520</v>
      </c>
      <c r="D289" s="19">
        <v>7</v>
      </c>
      <c r="E289" s="20">
        <v>983300</v>
      </c>
    </row>
    <row r="290" spans="1:5" x14ac:dyDescent="0.2">
      <c r="A290" s="5">
        <v>75057713</v>
      </c>
      <c r="B290" t="s">
        <v>594</v>
      </c>
      <c r="C290" s="18">
        <f ca="1">TODAY()-115</f>
        <v>44521</v>
      </c>
      <c r="D290" s="19">
        <v>8</v>
      </c>
      <c r="E290" s="20">
        <v>81400</v>
      </c>
    </row>
    <row r="291" spans="1:5" x14ac:dyDescent="0.2">
      <c r="A291" s="5">
        <v>97352928</v>
      </c>
      <c r="B291" t="s">
        <v>456</v>
      </c>
      <c r="C291" s="18">
        <f ca="1">TODAY()-115</f>
        <v>44521</v>
      </c>
      <c r="D291" s="19">
        <v>4</v>
      </c>
      <c r="E291" s="20">
        <v>6715800</v>
      </c>
    </row>
    <row r="292" spans="1:5" x14ac:dyDescent="0.2">
      <c r="A292" s="5">
        <v>41312447</v>
      </c>
      <c r="B292" t="s">
        <v>271</v>
      </c>
      <c r="C292" s="18">
        <f ca="1">TODAY()-114</f>
        <v>44522</v>
      </c>
      <c r="D292" s="19">
        <v>8</v>
      </c>
      <c r="E292" s="20">
        <v>240300</v>
      </c>
    </row>
    <row r="293" spans="1:5" x14ac:dyDescent="0.2">
      <c r="A293" s="5">
        <v>77134361</v>
      </c>
      <c r="B293" t="s">
        <v>596</v>
      </c>
      <c r="C293" s="18">
        <f ca="1">TODAY()-113</f>
        <v>44523</v>
      </c>
      <c r="D293" s="19">
        <v>8</v>
      </c>
      <c r="E293" s="20">
        <v>58100</v>
      </c>
    </row>
    <row r="294" spans="1:5" x14ac:dyDescent="0.2">
      <c r="A294" s="5">
        <v>44982022</v>
      </c>
      <c r="B294" t="s">
        <v>581</v>
      </c>
      <c r="C294" s="18">
        <f ca="1">TODAY()-112</f>
        <v>44524</v>
      </c>
      <c r="D294" s="19">
        <v>9</v>
      </c>
      <c r="E294" s="20">
        <v>71900</v>
      </c>
    </row>
    <row r="295" spans="1:5" x14ac:dyDescent="0.2">
      <c r="A295" s="5">
        <v>68215900</v>
      </c>
      <c r="B295" t="s">
        <v>444</v>
      </c>
      <c r="C295" s="18">
        <f ca="1">TODAY()-112</f>
        <v>44524</v>
      </c>
      <c r="D295" s="19">
        <v>6</v>
      </c>
      <c r="E295" s="20">
        <v>7146000</v>
      </c>
    </row>
    <row r="296" spans="1:5" x14ac:dyDescent="0.2">
      <c r="A296" s="5">
        <v>38906965</v>
      </c>
      <c r="B296" t="s">
        <v>530</v>
      </c>
      <c r="C296" s="18">
        <f ca="1">TODAY()-111</f>
        <v>44525</v>
      </c>
      <c r="D296" s="19">
        <v>11</v>
      </c>
      <c r="E296" s="20">
        <v>12200</v>
      </c>
    </row>
    <row r="297" spans="1:5" x14ac:dyDescent="0.2">
      <c r="A297" s="5">
        <v>56383353</v>
      </c>
      <c r="B297" t="s">
        <v>367</v>
      </c>
      <c r="C297" s="18">
        <f ca="1">TODAY()-110</f>
        <v>44526</v>
      </c>
      <c r="D297" s="19">
        <v>15</v>
      </c>
      <c r="E297" s="20">
        <v>90400</v>
      </c>
    </row>
    <row r="298" spans="1:5" x14ac:dyDescent="0.2">
      <c r="A298" s="5">
        <v>92019613</v>
      </c>
      <c r="B298" t="s">
        <v>368</v>
      </c>
      <c r="C298" s="18">
        <f t="shared" ref="C298:C305" ca="1" si="8">TODAY()-109</f>
        <v>44527</v>
      </c>
      <c r="D298" s="19">
        <v>5</v>
      </c>
      <c r="E298" s="20">
        <v>35600</v>
      </c>
    </row>
    <row r="299" spans="1:5" x14ac:dyDescent="0.2">
      <c r="A299" s="5">
        <v>80104779</v>
      </c>
      <c r="B299" t="s">
        <v>568</v>
      </c>
      <c r="C299" s="18">
        <f t="shared" ca="1" si="8"/>
        <v>44527</v>
      </c>
      <c r="D299" s="19">
        <v>8</v>
      </c>
      <c r="E299" s="20">
        <v>1009900</v>
      </c>
    </row>
    <row r="300" spans="1:5" x14ac:dyDescent="0.2">
      <c r="A300" s="5">
        <v>34061779</v>
      </c>
      <c r="B300" t="s">
        <v>589</v>
      </c>
      <c r="C300" s="18">
        <f t="shared" ca="1" si="8"/>
        <v>44527</v>
      </c>
      <c r="D300" s="19">
        <v>8</v>
      </c>
      <c r="E300" s="20">
        <v>1155300</v>
      </c>
    </row>
    <row r="301" spans="1:5" x14ac:dyDescent="0.2">
      <c r="A301" s="5">
        <v>92320652</v>
      </c>
      <c r="B301" t="s">
        <v>602</v>
      </c>
      <c r="C301" s="18">
        <f t="shared" ca="1" si="8"/>
        <v>44527</v>
      </c>
      <c r="D301" s="19">
        <v>4</v>
      </c>
      <c r="E301" s="20">
        <v>440000</v>
      </c>
    </row>
    <row r="302" spans="1:5" x14ac:dyDescent="0.2">
      <c r="A302" s="5">
        <v>43863800</v>
      </c>
      <c r="B302" t="s">
        <v>504</v>
      </c>
      <c r="C302" s="18">
        <f t="shared" ca="1" si="8"/>
        <v>44527</v>
      </c>
      <c r="D302" s="19">
        <v>7</v>
      </c>
      <c r="E302" s="20">
        <v>5936900</v>
      </c>
    </row>
    <row r="303" spans="1:5" x14ac:dyDescent="0.2">
      <c r="A303" s="5">
        <v>92320652</v>
      </c>
      <c r="B303" t="s">
        <v>602</v>
      </c>
      <c r="C303" s="18">
        <f t="shared" ca="1" si="8"/>
        <v>44527</v>
      </c>
      <c r="D303" s="19">
        <v>5</v>
      </c>
      <c r="E303" s="20">
        <v>638600</v>
      </c>
    </row>
    <row r="304" spans="1:5" x14ac:dyDescent="0.2">
      <c r="A304" s="5">
        <v>54380044</v>
      </c>
      <c r="B304" t="s">
        <v>294</v>
      </c>
      <c r="C304" s="18">
        <f t="shared" ca="1" si="8"/>
        <v>44527</v>
      </c>
      <c r="D304" s="19">
        <v>10</v>
      </c>
      <c r="E304" s="20">
        <v>6388700</v>
      </c>
    </row>
    <row r="305" spans="1:5" x14ac:dyDescent="0.2">
      <c r="A305" s="5">
        <v>97352928</v>
      </c>
      <c r="B305" t="s">
        <v>456</v>
      </c>
      <c r="C305" s="18">
        <f t="shared" ca="1" si="8"/>
        <v>44527</v>
      </c>
      <c r="D305" s="19">
        <v>5</v>
      </c>
      <c r="E305" s="20">
        <v>6552000</v>
      </c>
    </row>
    <row r="306" spans="1:5" x14ac:dyDescent="0.2">
      <c r="A306" s="5">
        <v>97352928</v>
      </c>
      <c r="B306" t="s">
        <v>456</v>
      </c>
      <c r="C306" s="18">
        <f ca="1">TODAY()-108</f>
        <v>44528</v>
      </c>
      <c r="D306" s="19">
        <v>6</v>
      </c>
      <c r="E306" s="20">
        <v>9172800</v>
      </c>
    </row>
    <row r="307" spans="1:5" x14ac:dyDescent="0.2">
      <c r="A307" s="5">
        <v>44982022</v>
      </c>
      <c r="B307" t="s">
        <v>581</v>
      </c>
      <c r="C307" s="18">
        <f ca="1">TODAY()-108</f>
        <v>44528</v>
      </c>
      <c r="D307" s="19">
        <v>10</v>
      </c>
      <c r="E307" s="20">
        <v>104300</v>
      </c>
    </row>
    <row r="308" spans="1:5" x14ac:dyDescent="0.2">
      <c r="A308" s="5">
        <v>79476220</v>
      </c>
      <c r="B308" t="s">
        <v>548</v>
      </c>
      <c r="C308" s="18">
        <f ca="1">TODAY()-108</f>
        <v>44528</v>
      </c>
      <c r="D308" s="19">
        <v>8</v>
      </c>
      <c r="E308" s="20">
        <v>2464400</v>
      </c>
    </row>
    <row r="309" spans="1:5" x14ac:dyDescent="0.2">
      <c r="A309" s="5">
        <v>60521821</v>
      </c>
      <c r="B309" t="s">
        <v>445</v>
      </c>
      <c r="C309" s="18">
        <f ca="1">TODAY()-107</f>
        <v>44529</v>
      </c>
      <c r="D309" s="19">
        <v>11</v>
      </c>
      <c r="E309" s="20">
        <v>4782200</v>
      </c>
    </row>
    <row r="310" spans="1:5" x14ac:dyDescent="0.2">
      <c r="A310" s="5">
        <v>72848119</v>
      </c>
      <c r="B310" t="s">
        <v>451</v>
      </c>
      <c r="C310" s="18">
        <f ca="1">TODAY()-107</f>
        <v>44529</v>
      </c>
      <c r="D310" s="19">
        <v>10</v>
      </c>
      <c r="E310" s="20">
        <v>77500</v>
      </c>
    </row>
    <row r="311" spans="1:5" x14ac:dyDescent="0.2">
      <c r="A311" s="5">
        <v>56383353</v>
      </c>
      <c r="B311" t="s">
        <v>367</v>
      </c>
      <c r="C311" s="18">
        <f ca="1">TODAY()-106</f>
        <v>44530</v>
      </c>
      <c r="D311" s="19">
        <v>16</v>
      </c>
      <c r="E311" s="20">
        <v>81400</v>
      </c>
    </row>
    <row r="312" spans="1:5" x14ac:dyDescent="0.2">
      <c r="A312" s="5">
        <v>95360283</v>
      </c>
      <c r="B312" t="s">
        <v>556</v>
      </c>
      <c r="C312" s="18">
        <f ca="1">TODAY()-106</f>
        <v>44530</v>
      </c>
      <c r="D312" s="19">
        <v>6</v>
      </c>
      <c r="E312" s="20">
        <v>31300</v>
      </c>
    </row>
    <row r="313" spans="1:5" x14ac:dyDescent="0.2">
      <c r="A313" s="5">
        <v>35504210</v>
      </c>
      <c r="B313" t="s">
        <v>424</v>
      </c>
      <c r="C313" s="18">
        <f ca="1">TODAY()-105</f>
        <v>44531</v>
      </c>
      <c r="D313" s="19">
        <v>7</v>
      </c>
      <c r="E313" s="20">
        <v>50000</v>
      </c>
    </row>
    <row r="314" spans="1:5" x14ac:dyDescent="0.2">
      <c r="A314" s="5">
        <v>36182332</v>
      </c>
      <c r="B314" t="s">
        <v>318</v>
      </c>
      <c r="C314" s="18">
        <f ca="1">TODAY()-105</f>
        <v>44531</v>
      </c>
      <c r="D314" s="19">
        <v>5</v>
      </c>
      <c r="E314" s="20">
        <v>3732700</v>
      </c>
    </row>
    <row r="315" spans="1:5" x14ac:dyDescent="0.2">
      <c r="A315" s="5">
        <v>77134361</v>
      </c>
      <c r="B315" t="s">
        <v>596</v>
      </c>
      <c r="C315" s="18">
        <f ca="1">TODAY()-105</f>
        <v>44531</v>
      </c>
      <c r="D315" s="19">
        <v>9</v>
      </c>
      <c r="E315" s="20">
        <v>84000</v>
      </c>
    </row>
    <row r="316" spans="1:5" x14ac:dyDescent="0.2">
      <c r="A316" s="5">
        <v>57425327</v>
      </c>
      <c r="B316" t="s">
        <v>603</v>
      </c>
      <c r="C316" s="18">
        <f ca="1">TODAY()-104</f>
        <v>44532</v>
      </c>
      <c r="D316" s="19">
        <v>6</v>
      </c>
      <c r="E316" s="20">
        <v>14000</v>
      </c>
    </row>
    <row r="317" spans="1:5" x14ac:dyDescent="0.2">
      <c r="A317" s="5">
        <v>91327243</v>
      </c>
      <c r="B317" t="s">
        <v>544</v>
      </c>
      <c r="C317" s="18">
        <f ca="1">TODAY()-104</f>
        <v>44532</v>
      </c>
      <c r="D317" s="19">
        <v>5</v>
      </c>
      <c r="E317" s="20">
        <v>6197500</v>
      </c>
    </row>
    <row r="318" spans="1:5" x14ac:dyDescent="0.2">
      <c r="A318" s="5">
        <v>48952443</v>
      </c>
      <c r="B318" t="s">
        <v>439</v>
      </c>
      <c r="C318" s="18">
        <f ca="1">TODAY()-104</f>
        <v>44532</v>
      </c>
      <c r="D318" s="19">
        <v>6</v>
      </c>
      <c r="E318" s="20">
        <v>57800</v>
      </c>
    </row>
    <row r="319" spans="1:5" x14ac:dyDescent="0.2">
      <c r="A319" s="5">
        <v>91275989</v>
      </c>
      <c r="B319" t="s">
        <v>588</v>
      </c>
      <c r="C319" s="18">
        <f ca="1">TODAY()-104</f>
        <v>44532</v>
      </c>
      <c r="D319" s="19">
        <v>3</v>
      </c>
      <c r="E319" s="20">
        <v>74000</v>
      </c>
    </row>
    <row r="320" spans="1:5" x14ac:dyDescent="0.2">
      <c r="A320" s="5">
        <v>46181234</v>
      </c>
      <c r="B320" t="s">
        <v>463</v>
      </c>
      <c r="C320" s="18">
        <f ca="1">TODAY()-104</f>
        <v>44532</v>
      </c>
      <c r="D320" s="19">
        <v>7</v>
      </c>
      <c r="E320" s="20">
        <v>98400</v>
      </c>
    </row>
    <row r="321" spans="1:5" x14ac:dyDescent="0.2">
      <c r="A321" s="5">
        <v>79476220</v>
      </c>
      <c r="B321" t="s">
        <v>548</v>
      </c>
      <c r="C321" s="18">
        <f ca="1">TODAY()-103</f>
        <v>44533</v>
      </c>
      <c r="D321" s="19">
        <v>9</v>
      </c>
      <c r="E321" s="20">
        <v>2269200</v>
      </c>
    </row>
    <row r="322" spans="1:5" x14ac:dyDescent="0.2">
      <c r="A322" s="5">
        <v>48434256</v>
      </c>
      <c r="B322" t="s">
        <v>350</v>
      </c>
      <c r="C322" s="18">
        <f ca="1">TODAY()-103</f>
        <v>44533</v>
      </c>
      <c r="D322" s="19">
        <v>5</v>
      </c>
      <c r="E322" s="20">
        <v>504900</v>
      </c>
    </row>
    <row r="323" spans="1:5" x14ac:dyDescent="0.2">
      <c r="A323" s="5">
        <v>41312447</v>
      </c>
      <c r="B323" t="s">
        <v>271</v>
      </c>
      <c r="C323" s="18">
        <f ca="1">TODAY()-103</f>
        <v>44533</v>
      </c>
      <c r="D323" s="19">
        <v>9</v>
      </c>
      <c r="E323" s="20">
        <v>253900</v>
      </c>
    </row>
    <row r="324" spans="1:5" x14ac:dyDescent="0.2">
      <c r="A324" s="5">
        <v>95804106</v>
      </c>
      <c r="B324" t="s">
        <v>359</v>
      </c>
      <c r="C324" s="18">
        <f ca="1">TODAY()-102</f>
        <v>44534</v>
      </c>
      <c r="D324" s="19">
        <v>6</v>
      </c>
      <c r="E324" s="20">
        <v>281200</v>
      </c>
    </row>
    <row r="325" spans="1:5" x14ac:dyDescent="0.2">
      <c r="A325" s="5">
        <v>44982022</v>
      </c>
      <c r="B325" t="s">
        <v>581</v>
      </c>
      <c r="C325" s="18">
        <f ca="1">TODAY()-101</f>
        <v>44535</v>
      </c>
      <c r="D325" s="19">
        <v>11</v>
      </c>
      <c r="E325" s="20">
        <v>78000</v>
      </c>
    </row>
    <row r="326" spans="1:5" x14ac:dyDescent="0.2">
      <c r="A326" s="5">
        <v>95804106</v>
      </c>
      <c r="B326" t="s">
        <v>359</v>
      </c>
      <c r="C326" s="18">
        <f ca="1">TODAY()-100</f>
        <v>44536</v>
      </c>
      <c r="D326" s="19">
        <v>7</v>
      </c>
      <c r="E326" s="20">
        <v>293100</v>
      </c>
    </row>
    <row r="327" spans="1:5" x14ac:dyDescent="0.2">
      <c r="A327" s="5">
        <v>44982022</v>
      </c>
      <c r="B327" t="s">
        <v>581</v>
      </c>
      <c r="C327" s="18">
        <f ca="1">TODAY()-99</f>
        <v>44537</v>
      </c>
      <c r="D327" s="19">
        <v>12</v>
      </c>
      <c r="E327" s="20">
        <v>99000</v>
      </c>
    </row>
    <row r="328" spans="1:5" x14ac:dyDescent="0.2">
      <c r="A328" s="5">
        <v>92320257</v>
      </c>
      <c r="B328" t="s">
        <v>527</v>
      </c>
      <c r="C328" s="18">
        <f ca="1">TODAY()-98</f>
        <v>44538</v>
      </c>
      <c r="D328" s="19">
        <v>6</v>
      </c>
      <c r="E328" s="20">
        <v>6608300</v>
      </c>
    </row>
    <row r="329" spans="1:5" x14ac:dyDescent="0.2">
      <c r="A329" s="5">
        <v>68215900</v>
      </c>
      <c r="B329" t="s">
        <v>444</v>
      </c>
      <c r="C329" s="18">
        <f ca="1">TODAY()-97</f>
        <v>44539</v>
      </c>
      <c r="D329" s="19">
        <v>7</v>
      </c>
      <c r="E329" s="20">
        <v>7072300</v>
      </c>
    </row>
    <row r="330" spans="1:5" x14ac:dyDescent="0.2">
      <c r="A330" s="5">
        <v>41312447</v>
      </c>
      <c r="B330" t="s">
        <v>271</v>
      </c>
      <c r="C330" s="18">
        <f ca="1">TODAY()-96</f>
        <v>44540</v>
      </c>
      <c r="D330" s="19">
        <v>10</v>
      </c>
      <c r="E330" s="20">
        <v>247100</v>
      </c>
    </row>
    <row r="331" spans="1:5" x14ac:dyDescent="0.2">
      <c r="A331" s="5">
        <v>92320257</v>
      </c>
      <c r="B331" t="s">
        <v>527</v>
      </c>
      <c r="C331" s="18">
        <f ca="1">TODAY()-96</f>
        <v>44540</v>
      </c>
      <c r="D331" s="19">
        <v>7</v>
      </c>
      <c r="E331" s="20">
        <v>8575000</v>
      </c>
    </row>
    <row r="332" spans="1:5" x14ac:dyDescent="0.2">
      <c r="A332" s="5">
        <v>48434256</v>
      </c>
      <c r="B332" t="s">
        <v>350</v>
      </c>
      <c r="C332" s="18">
        <f ca="1">TODAY()-96</f>
        <v>44540</v>
      </c>
      <c r="D332" s="19">
        <v>6</v>
      </c>
      <c r="E332" s="20">
        <v>476900</v>
      </c>
    </row>
    <row r="333" spans="1:5" x14ac:dyDescent="0.2">
      <c r="A333" s="5">
        <v>48952443</v>
      </c>
      <c r="B333" t="s">
        <v>439</v>
      </c>
      <c r="C333" s="18">
        <f ca="1">TODAY()-95</f>
        <v>44541</v>
      </c>
      <c r="D333" s="19">
        <v>7</v>
      </c>
      <c r="E333" s="20">
        <v>60600</v>
      </c>
    </row>
    <row r="334" spans="1:5" x14ac:dyDescent="0.2">
      <c r="A334" s="5">
        <v>77134361</v>
      </c>
      <c r="B334" t="s">
        <v>596</v>
      </c>
      <c r="C334" s="18">
        <f ca="1">TODAY()-94</f>
        <v>44542</v>
      </c>
      <c r="D334" s="19">
        <v>10</v>
      </c>
      <c r="E334" s="20">
        <v>73500</v>
      </c>
    </row>
    <row r="335" spans="1:5" x14ac:dyDescent="0.2">
      <c r="A335" s="5">
        <v>91275989</v>
      </c>
      <c r="B335" t="s">
        <v>588</v>
      </c>
      <c r="C335" s="18">
        <f ca="1">TODAY()-93</f>
        <v>44543</v>
      </c>
      <c r="D335" s="19">
        <v>4</v>
      </c>
      <c r="E335" s="20">
        <v>85300</v>
      </c>
    </row>
    <row r="336" spans="1:5" x14ac:dyDescent="0.2">
      <c r="A336" s="5">
        <v>43324700</v>
      </c>
      <c r="B336" t="s">
        <v>404</v>
      </c>
      <c r="C336" s="18">
        <f ca="1">TODAY()-92</f>
        <v>44544</v>
      </c>
      <c r="D336" s="19">
        <v>6</v>
      </c>
      <c r="E336" s="20">
        <v>589700</v>
      </c>
    </row>
    <row r="337" spans="1:5" x14ac:dyDescent="0.2">
      <c r="A337" s="5">
        <v>67027627</v>
      </c>
      <c r="B337" t="s">
        <v>605</v>
      </c>
      <c r="C337" s="18">
        <f ca="1">TODAY()-91</f>
        <v>44545</v>
      </c>
      <c r="D337" s="19">
        <v>3</v>
      </c>
      <c r="E337" s="20">
        <v>863700</v>
      </c>
    </row>
    <row r="338" spans="1:5" x14ac:dyDescent="0.2">
      <c r="A338" s="5">
        <v>81269643</v>
      </c>
      <c r="B338" t="s">
        <v>630</v>
      </c>
      <c r="C338" s="18">
        <f ca="1">TODAY()-91</f>
        <v>44545</v>
      </c>
      <c r="D338" s="19">
        <v>4</v>
      </c>
      <c r="E338" s="20">
        <v>2080400</v>
      </c>
    </row>
    <row r="339" spans="1:5" x14ac:dyDescent="0.2">
      <c r="A339" s="5">
        <v>97352928</v>
      </c>
      <c r="B339" t="s">
        <v>456</v>
      </c>
      <c r="C339" s="18">
        <f ca="1">TODAY()-91</f>
        <v>44545</v>
      </c>
      <c r="D339" s="19">
        <v>7</v>
      </c>
      <c r="E339" s="20">
        <v>7207200</v>
      </c>
    </row>
    <row r="340" spans="1:5" x14ac:dyDescent="0.2">
      <c r="A340" s="5">
        <v>75057713</v>
      </c>
      <c r="B340" t="s">
        <v>594</v>
      </c>
      <c r="C340" s="18">
        <f ca="1">TODAY()-90</f>
        <v>44546</v>
      </c>
      <c r="D340" s="19">
        <v>9</v>
      </c>
      <c r="E340" s="20">
        <v>94200</v>
      </c>
    </row>
    <row r="341" spans="1:5" x14ac:dyDescent="0.2">
      <c r="A341" s="5">
        <v>75057713</v>
      </c>
      <c r="B341" t="s">
        <v>594</v>
      </c>
      <c r="C341" s="18">
        <f ca="1">TODAY()-90</f>
        <v>44546</v>
      </c>
      <c r="D341" s="19">
        <v>10</v>
      </c>
      <c r="E341" s="20">
        <v>104000</v>
      </c>
    </row>
    <row r="342" spans="1:5" x14ac:dyDescent="0.2">
      <c r="A342" s="5">
        <v>67027627</v>
      </c>
      <c r="B342" t="s">
        <v>605</v>
      </c>
      <c r="C342" s="18">
        <f ca="1">TODAY()-89</f>
        <v>44547</v>
      </c>
      <c r="D342" s="19">
        <v>4</v>
      </c>
      <c r="E342" s="20">
        <v>848400</v>
      </c>
    </row>
    <row r="343" spans="1:5" x14ac:dyDescent="0.2">
      <c r="A343" s="5">
        <v>43863800</v>
      </c>
      <c r="B343" t="s">
        <v>504</v>
      </c>
      <c r="C343" s="18">
        <f ca="1">TODAY()-88</f>
        <v>44548</v>
      </c>
      <c r="D343" s="19">
        <v>8</v>
      </c>
      <c r="E343" s="20">
        <v>3991200</v>
      </c>
    </row>
    <row r="344" spans="1:5" x14ac:dyDescent="0.2">
      <c r="A344" s="5">
        <v>94590438</v>
      </c>
      <c r="B344" t="s">
        <v>467</v>
      </c>
      <c r="C344" s="18">
        <f ca="1">TODAY()-87</f>
        <v>44549</v>
      </c>
      <c r="D344" s="19">
        <v>8</v>
      </c>
      <c r="E344" s="20">
        <v>725200</v>
      </c>
    </row>
    <row r="345" spans="1:5" x14ac:dyDescent="0.2">
      <c r="A345" s="5">
        <v>43863800</v>
      </c>
      <c r="B345" t="s">
        <v>504</v>
      </c>
      <c r="C345" s="18">
        <f ca="1">TODAY()-86</f>
        <v>44550</v>
      </c>
      <c r="D345" s="19">
        <v>9</v>
      </c>
      <c r="E345" s="20">
        <v>5637600</v>
      </c>
    </row>
    <row r="346" spans="1:5" x14ac:dyDescent="0.2">
      <c r="A346" s="5">
        <v>35504210</v>
      </c>
      <c r="B346" t="s">
        <v>424</v>
      </c>
      <c r="C346" s="18">
        <f ca="1">TODAY()-85</f>
        <v>44551</v>
      </c>
      <c r="D346" s="19">
        <v>8</v>
      </c>
      <c r="E346" s="20">
        <v>59100</v>
      </c>
    </row>
    <row r="347" spans="1:5" x14ac:dyDescent="0.2">
      <c r="A347" s="5">
        <v>59948756</v>
      </c>
      <c r="B347" t="s">
        <v>469</v>
      </c>
      <c r="C347" s="18">
        <f ca="1">TODAY()-85</f>
        <v>44551</v>
      </c>
      <c r="D347" s="19">
        <v>5</v>
      </c>
      <c r="E347" s="20">
        <v>24900</v>
      </c>
    </row>
    <row r="348" spans="1:5" x14ac:dyDescent="0.2">
      <c r="A348" s="5">
        <v>77134361</v>
      </c>
      <c r="B348" t="s">
        <v>596</v>
      </c>
      <c r="C348" s="18">
        <f ca="1">TODAY()-84</f>
        <v>44552</v>
      </c>
      <c r="D348" s="19">
        <v>11</v>
      </c>
      <c r="E348" s="20">
        <v>64400</v>
      </c>
    </row>
    <row r="349" spans="1:5" x14ac:dyDescent="0.2">
      <c r="A349" s="5">
        <v>90065899</v>
      </c>
      <c r="B349" t="s">
        <v>622</v>
      </c>
      <c r="C349" s="18">
        <f ca="1">TODAY()-83</f>
        <v>44553</v>
      </c>
      <c r="D349" s="19">
        <v>6</v>
      </c>
      <c r="E349" s="20">
        <v>720100</v>
      </c>
    </row>
    <row r="350" spans="1:5" x14ac:dyDescent="0.2">
      <c r="A350" s="5">
        <v>67027627</v>
      </c>
      <c r="B350" t="s">
        <v>605</v>
      </c>
      <c r="C350" s="18">
        <f ca="1">TODAY()-83</f>
        <v>44553</v>
      </c>
      <c r="D350" s="19">
        <v>5</v>
      </c>
      <c r="E350" s="20">
        <v>657300</v>
      </c>
    </row>
    <row r="351" spans="1:5" x14ac:dyDescent="0.2">
      <c r="A351" s="5">
        <v>35504210</v>
      </c>
      <c r="B351" t="s">
        <v>424</v>
      </c>
      <c r="C351" s="18">
        <f ca="1">TODAY()-82</f>
        <v>44554</v>
      </c>
      <c r="D351" s="19">
        <v>9</v>
      </c>
      <c r="E351" s="20">
        <v>61800</v>
      </c>
    </row>
    <row r="352" spans="1:5" x14ac:dyDescent="0.2">
      <c r="A352" s="5">
        <v>92320257</v>
      </c>
      <c r="B352" t="s">
        <v>527</v>
      </c>
      <c r="C352" s="18">
        <f ca="1">TODAY()-81</f>
        <v>44555</v>
      </c>
      <c r="D352" s="19">
        <v>8</v>
      </c>
      <c r="E352" s="20">
        <v>9283100</v>
      </c>
    </row>
    <row r="353" spans="1:5" x14ac:dyDescent="0.2">
      <c r="A353" s="5">
        <v>95360283</v>
      </c>
      <c r="B353" t="s">
        <v>556</v>
      </c>
      <c r="C353" s="18">
        <f ca="1">TODAY()-81</f>
        <v>44555</v>
      </c>
      <c r="D353" s="19">
        <v>7</v>
      </c>
      <c r="E353" s="20">
        <v>30200</v>
      </c>
    </row>
    <row r="354" spans="1:5" x14ac:dyDescent="0.2">
      <c r="A354" s="5">
        <v>48434256</v>
      </c>
      <c r="B354" t="s">
        <v>350</v>
      </c>
      <c r="C354" s="18">
        <f ca="1">TODAY()-81</f>
        <v>44555</v>
      </c>
      <c r="D354" s="19">
        <v>7</v>
      </c>
      <c r="E354" s="20">
        <v>650800</v>
      </c>
    </row>
    <row r="355" spans="1:5" x14ac:dyDescent="0.2">
      <c r="A355" s="5">
        <v>60521821</v>
      </c>
      <c r="B355" t="s">
        <v>445</v>
      </c>
      <c r="C355" s="18">
        <f ca="1">TODAY()-80</f>
        <v>44556</v>
      </c>
      <c r="D355" s="19">
        <v>12</v>
      </c>
      <c r="E355" s="20">
        <v>6376300</v>
      </c>
    </row>
    <row r="356" spans="1:5" x14ac:dyDescent="0.2">
      <c r="A356" s="5">
        <v>91275989</v>
      </c>
      <c r="B356" t="s">
        <v>588</v>
      </c>
      <c r="C356" s="18">
        <f ca="1">TODAY()-80</f>
        <v>44556</v>
      </c>
      <c r="D356" s="19">
        <v>5</v>
      </c>
      <c r="E356" s="20">
        <v>77500</v>
      </c>
    </row>
    <row r="357" spans="1:5" x14ac:dyDescent="0.2">
      <c r="A357" s="5">
        <v>49401672</v>
      </c>
      <c r="B357" t="s">
        <v>287</v>
      </c>
      <c r="C357" s="18">
        <f ca="1">TODAY()-80</f>
        <v>44556</v>
      </c>
      <c r="D357" s="19">
        <v>7</v>
      </c>
      <c r="E357" s="20">
        <v>4135300</v>
      </c>
    </row>
    <row r="358" spans="1:5" x14ac:dyDescent="0.2">
      <c r="A358" s="5">
        <v>47564315</v>
      </c>
      <c r="B358" t="s">
        <v>396</v>
      </c>
      <c r="C358" s="18">
        <f ca="1">TODAY()-80</f>
        <v>44556</v>
      </c>
      <c r="D358" s="19">
        <v>7</v>
      </c>
      <c r="E358" s="20">
        <v>8368900</v>
      </c>
    </row>
    <row r="359" spans="1:5" x14ac:dyDescent="0.2">
      <c r="A359" s="5">
        <v>48434256</v>
      </c>
      <c r="B359" t="s">
        <v>350</v>
      </c>
      <c r="C359" s="18">
        <f ca="1">TODAY()-80</f>
        <v>44556</v>
      </c>
      <c r="D359" s="19">
        <v>8</v>
      </c>
      <c r="E359" s="20">
        <v>645200</v>
      </c>
    </row>
    <row r="360" spans="1:5" x14ac:dyDescent="0.2">
      <c r="A360" s="5">
        <v>77134361</v>
      </c>
      <c r="B360" t="s">
        <v>596</v>
      </c>
      <c r="C360" s="18">
        <f ca="1">TODAY()-79</f>
        <v>44557</v>
      </c>
      <c r="D360" s="19">
        <v>12</v>
      </c>
      <c r="E360" s="20">
        <v>67900</v>
      </c>
    </row>
    <row r="361" spans="1:5" x14ac:dyDescent="0.2">
      <c r="A361" s="5">
        <v>78944070</v>
      </c>
      <c r="B361" t="s">
        <v>540</v>
      </c>
      <c r="C361" s="18">
        <f ca="1">TODAY()-78</f>
        <v>44558</v>
      </c>
      <c r="D361" s="19">
        <v>5</v>
      </c>
      <c r="E361" s="20">
        <v>40000</v>
      </c>
    </row>
    <row r="362" spans="1:5" x14ac:dyDescent="0.2">
      <c r="A362" s="5">
        <v>68215900</v>
      </c>
      <c r="B362" t="s">
        <v>444</v>
      </c>
      <c r="C362" s="18">
        <f ca="1">TODAY()-78</f>
        <v>44558</v>
      </c>
      <c r="D362" s="19">
        <v>8</v>
      </c>
      <c r="E362" s="20">
        <v>8693100</v>
      </c>
    </row>
    <row r="363" spans="1:5" x14ac:dyDescent="0.2">
      <c r="A363" s="5">
        <v>90065899</v>
      </c>
      <c r="B363" t="s">
        <v>622</v>
      </c>
      <c r="C363" s="18">
        <f ca="1">TODAY()-78</f>
        <v>44558</v>
      </c>
      <c r="D363" s="19">
        <v>7</v>
      </c>
      <c r="E363" s="20">
        <v>634000</v>
      </c>
    </row>
    <row r="364" spans="1:5" x14ac:dyDescent="0.2">
      <c r="A364" s="5">
        <v>34061779</v>
      </c>
      <c r="B364" t="s">
        <v>589</v>
      </c>
      <c r="C364" s="18">
        <f ca="1">TODAY()-77</f>
        <v>44559</v>
      </c>
      <c r="D364" s="19">
        <v>9</v>
      </c>
      <c r="E364" s="20">
        <v>1462500</v>
      </c>
    </row>
    <row r="365" spans="1:5" x14ac:dyDescent="0.2">
      <c r="A365" s="5">
        <v>86480935</v>
      </c>
      <c r="B365" t="s">
        <v>391</v>
      </c>
      <c r="C365" s="18">
        <f ca="1">TODAY()-77</f>
        <v>44559</v>
      </c>
      <c r="D365" s="19">
        <v>5</v>
      </c>
      <c r="E365" s="20">
        <v>494900</v>
      </c>
    </row>
    <row r="366" spans="1:5" x14ac:dyDescent="0.2">
      <c r="A366" s="5">
        <v>94590438</v>
      </c>
      <c r="B366" t="s">
        <v>467</v>
      </c>
      <c r="C366" s="18">
        <f ca="1">TODAY()-76</f>
        <v>44560</v>
      </c>
      <c r="D366" s="19">
        <v>9</v>
      </c>
      <c r="E366" s="20">
        <v>639900</v>
      </c>
    </row>
    <row r="367" spans="1:5" x14ac:dyDescent="0.2">
      <c r="A367" s="5">
        <v>92320257</v>
      </c>
      <c r="B367" t="s">
        <v>527</v>
      </c>
      <c r="C367" s="18">
        <f ca="1">TODAY()-76</f>
        <v>44560</v>
      </c>
      <c r="D367" s="19">
        <v>9</v>
      </c>
      <c r="E367" s="20">
        <v>9204400</v>
      </c>
    </row>
    <row r="368" spans="1:5" x14ac:dyDescent="0.2">
      <c r="A368" s="5">
        <v>48434256</v>
      </c>
      <c r="B368" t="s">
        <v>350</v>
      </c>
      <c r="C368" s="18">
        <f ca="1">TODAY()-76</f>
        <v>44560</v>
      </c>
      <c r="D368" s="19">
        <v>9</v>
      </c>
      <c r="E368" s="20">
        <v>555400</v>
      </c>
    </row>
    <row r="369" spans="1:5" x14ac:dyDescent="0.2">
      <c r="A369" s="5">
        <v>92320652</v>
      </c>
      <c r="B369" t="s">
        <v>602</v>
      </c>
      <c r="C369" s="18">
        <f ca="1">TODAY()-75</f>
        <v>44561</v>
      </c>
      <c r="D369" s="19">
        <v>6</v>
      </c>
      <c r="E369" s="20">
        <v>482900</v>
      </c>
    </row>
    <row r="370" spans="1:5" x14ac:dyDescent="0.2">
      <c r="A370" s="5">
        <v>92320652</v>
      </c>
      <c r="B370" t="s">
        <v>602</v>
      </c>
      <c r="C370" s="18">
        <f ca="1">TODAY()-75</f>
        <v>44561</v>
      </c>
      <c r="D370" s="19">
        <v>7</v>
      </c>
      <c r="E370" s="20">
        <v>563400</v>
      </c>
    </row>
    <row r="371" spans="1:5" x14ac:dyDescent="0.2">
      <c r="A371" s="5">
        <v>56961256</v>
      </c>
      <c r="B371" t="s">
        <v>497</v>
      </c>
      <c r="C371" s="18">
        <f ca="1">TODAY()-74</f>
        <v>44562</v>
      </c>
      <c r="D371" s="19">
        <v>4</v>
      </c>
      <c r="E371" s="20">
        <v>4874000</v>
      </c>
    </row>
    <row r="372" spans="1:5" x14ac:dyDescent="0.2">
      <c r="A372" s="5">
        <v>95360283</v>
      </c>
      <c r="B372" t="s">
        <v>556</v>
      </c>
      <c r="C372" s="18">
        <f ca="1">TODAY()-73</f>
        <v>44563</v>
      </c>
      <c r="D372" s="19">
        <v>8</v>
      </c>
      <c r="E372" s="20">
        <v>36000</v>
      </c>
    </row>
    <row r="373" spans="1:5" x14ac:dyDescent="0.2">
      <c r="A373" s="5">
        <v>36182332</v>
      </c>
      <c r="B373" t="s">
        <v>318</v>
      </c>
      <c r="C373" s="18">
        <f ca="1">TODAY()-73</f>
        <v>44563</v>
      </c>
      <c r="D373" s="19">
        <v>6</v>
      </c>
      <c r="E373" s="20">
        <v>4487600</v>
      </c>
    </row>
    <row r="374" spans="1:5" x14ac:dyDescent="0.2">
      <c r="A374" s="5">
        <v>91275989</v>
      </c>
      <c r="B374" t="s">
        <v>588</v>
      </c>
      <c r="C374" s="18">
        <f ca="1">TODAY()-73</f>
        <v>44563</v>
      </c>
      <c r="D374" s="19">
        <v>6</v>
      </c>
      <c r="E374" s="20">
        <v>65400</v>
      </c>
    </row>
    <row r="375" spans="1:5" x14ac:dyDescent="0.2">
      <c r="A375" s="5">
        <v>50782119</v>
      </c>
      <c r="B375" t="s">
        <v>585</v>
      </c>
      <c r="C375" s="18">
        <f ca="1">TODAY()-73</f>
        <v>44563</v>
      </c>
      <c r="D375" s="19">
        <v>5</v>
      </c>
      <c r="E375" s="20">
        <v>3299100</v>
      </c>
    </row>
    <row r="376" spans="1:5" x14ac:dyDescent="0.2">
      <c r="A376" s="5">
        <v>58333032</v>
      </c>
      <c r="B376" t="s">
        <v>562</v>
      </c>
      <c r="C376" s="18">
        <f ca="1">TODAY()-72</f>
        <v>44564</v>
      </c>
      <c r="D376" s="19">
        <v>8</v>
      </c>
      <c r="E376" s="20">
        <v>25100</v>
      </c>
    </row>
    <row r="377" spans="1:5" x14ac:dyDescent="0.2">
      <c r="A377" s="5">
        <v>58333032</v>
      </c>
      <c r="B377" t="s">
        <v>562</v>
      </c>
      <c r="C377" s="18">
        <f ca="1">TODAY()-72</f>
        <v>44564</v>
      </c>
      <c r="D377" s="19">
        <v>9</v>
      </c>
      <c r="E377" s="20">
        <v>22100</v>
      </c>
    </row>
    <row r="378" spans="1:5" x14ac:dyDescent="0.2">
      <c r="A378" s="5">
        <v>36182332</v>
      </c>
      <c r="B378" t="s">
        <v>318</v>
      </c>
      <c r="C378" s="18">
        <f ca="1">TODAY()-71</f>
        <v>44565</v>
      </c>
      <c r="D378" s="19">
        <v>7</v>
      </c>
      <c r="E378" s="20">
        <v>5032800</v>
      </c>
    </row>
    <row r="379" spans="1:5" x14ac:dyDescent="0.2">
      <c r="A379" s="5">
        <v>56383353</v>
      </c>
      <c r="B379" t="s">
        <v>367</v>
      </c>
      <c r="C379" s="18">
        <f ca="1">TODAY()-70</f>
        <v>44566</v>
      </c>
      <c r="D379" s="19">
        <v>17</v>
      </c>
      <c r="E379" s="20">
        <v>96800</v>
      </c>
    </row>
    <row r="380" spans="1:5" x14ac:dyDescent="0.2">
      <c r="A380" s="5">
        <v>92019613</v>
      </c>
      <c r="B380" t="s">
        <v>368</v>
      </c>
      <c r="C380" s="18">
        <f ca="1">TODAY()-70</f>
        <v>44566</v>
      </c>
      <c r="D380" s="19">
        <v>6</v>
      </c>
      <c r="E380" s="20">
        <v>28000</v>
      </c>
    </row>
    <row r="381" spans="1:5" x14ac:dyDescent="0.2">
      <c r="A381" s="5">
        <v>81269643</v>
      </c>
      <c r="B381" t="s">
        <v>630</v>
      </c>
      <c r="C381" s="18">
        <f ca="1">TODAY()-70</f>
        <v>44566</v>
      </c>
      <c r="D381" s="19">
        <v>5</v>
      </c>
      <c r="E381" s="20">
        <v>2237000</v>
      </c>
    </row>
    <row r="382" spans="1:5" x14ac:dyDescent="0.2">
      <c r="A382" s="5">
        <v>63528015</v>
      </c>
      <c r="B382" t="s">
        <v>382</v>
      </c>
      <c r="C382" s="18">
        <f ca="1">TODAY()-69</f>
        <v>44567</v>
      </c>
      <c r="D382" s="19">
        <v>5</v>
      </c>
      <c r="E382" s="20">
        <v>25200</v>
      </c>
    </row>
    <row r="383" spans="1:5" x14ac:dyDescent="0.2">
      <c r="A383" s="5">
        <v>63528015</v>
      </c>
      <c r="B383" t="s">
        <v>382</v>
      </c>
      <c r="C383" s="18">
        <f ca="1">TODAY()-68</f>
        <v>44568</v>
      </c>
      <c r="D383" s="19">
        <v>6</v>
      </c>
      <c r="E383" s="20">
        <v>25200</v>
      </c>
    </row>
    <row r="384" spans="1:5" x14ac:dyDescent="0.2">
      <c r="A384" s="5">
        <v>75489043</v>
      </c>
      <c r="B384" t="s">
        <v>558</v>
      </c>
      <c r="C384" s="18">
        <f ca="1">TODAY()-68</f>
        <v>44568</v>
      </c>
      <c r="D384" s="19">
        <v>7</v>
      </c>
      <c r="E384" s="20">
        <v>347800</v>
      </c>
    </row>
    <row r="385" spans="1:5" x14ac:dyDescent="0.2">
      <c r="A385" s="5">
        <v>86480935</v>
      </c>
      <c r="B385" t="s">
        <v>391</v>
      </c>
      <c r="C385" s="18">
        <f ca="1">TODAY()-68</f>
        <v>44568</v>
      </c>
      <c r="D385" s="19">
        <v>6</v>
      </c>
      <c r="E385" s="20">
        <v>376700</v>
      </c>
    </row>
    <row r="386" spans="1:5" x14ac:dyDescent="0.2">
      <c r="A386" s="5">
        <v>67027627</v>
      </c>
      <c r="B386" t="s">
        <v>605</v>
      </c>
      <c r="C386" s="18">
        <f ca="1">TODAY()-68</f>
        <v>44568</v>
      </c>
      <c r="D386" s="19">
        <v>6</v>
      </c>
      <c r="E386" s="20">
        <v>664900</v>
      </c>
    </row>
    <row r="387" spans="1:5" x14ac:dyDescent="0.2">
      <c r="A387" s="5">
        <v>44982022</v>
      </c>
      <c r="B387" t="s">
        <v>581</v>
      </c>
      <c r="C387" s="18">
        <f ca="1">TODAY()-67</f>
        <v>44569</v>
      </c>
      <c r="D387" s="19">
        <v>13</v>
      </c>
      <c r="E387" s="20">
        <v>91100</v>
      </c>
    </row>
    <row r="388" spans="1:5" x14ac:dyDescent="0.2">
      <c r="A388" s="5">
        <v>48434256</v>
      </c>
      <c r="B388" t="s">
        <v>350</v>
      </c>
      <c r="C388" s="18">
        <f ca="1">TODAY()-67</f>
        <v>44569</v>
      </c>
      <c r="D388" s="19">
        <v>10</v>
      </c>
      <c r="E388" s="20">
        <v>594700</v>
      </c>
    </row>
    <row r="389" spans="1:5" x14ac:dyDescent="0.2">
      <c r="A389" s="5">
        <v>42535077</v>
      </c>
      <c r="B389" t="s">
        <v>357</v>
      </c>
      <c r="C389" s="18">
        <f ca="1">TODAY()-67</f>
        <v>44569</v>
      </c>
      <c r="D389" s="19">
        <v>9</v>
      </c>
      <c r="E389" s="20">
        <v>6923800</v>
      </c>
    </row>
    <row r="390" spans="1:5" x14ac:dyDescent="0.2">
      <c r="A390" s="5">
        <v>78944070</v>
      </c>
      <c r="B390" t="s">
        <v>540</v>
      </c>
      <c r="C390" s="18">
        <f ca="1">TODAY()-66</f>
        <v>44570</v>
      </c>
      <c r="D390" s="19">
        <v>6</v>
      </c>
      <c r="E390" s="20">
        <v>48300</v>
      </c>
    </row>
    <row r="391" spans="1:5" x14ac:dyDescent="0.2">
      <c r="A391" s="5">
        <v>48434256</v>
      </c>
      <c r="B391" t="s">
        <v>350</v>
      </c>
      <c r="C391" s="18">
        <f ca="1">TODAY()-66</f>
        <v>44570</v>
      </c>
      <c r="D391" s="19">
        <v>11</v>
      </c>
      <c r="E391" s="20">
        <v>628300</v>
      </c>
    </row>
    <row r="392" spans="1:5" x14ac:dyDescent="0.2">
      <c r="A392" s="5">
        <v>41312447</v>
      </c>
      <c r="B392" t="s">
        <v>271</v>
      </c>
      <c r="C392" s="18">
        <f ca="1">TODAY()-65</f>
        <v>44571</v>
      </c>
      <c r="D392" s="19">
        <v>11</v>
      </c>
      <c r="E392" s="20">
        <v>272000</v>
      </c>
    </row>
    <row r="393" spans="1:5" x14ac:dyDescent="0.2">
      <c r="A393" s="5">
        <v>35504210</v>
      </c>
      <c r="B393" t="s">
        <v>424</v>
      </c>
      <c r="C393" s="18">
        <f ca="1">TODAY()-64</f>
        <v>44572</v>
      </c>
      <c r="D393" s="19">
        <v>10</v>
      </c>
      <c r="E393" s="20">
        <v>56400</v>
      </c>
    </row>
    <row r="394" spans="1:5" x14ac:dyDescent="0.2">
      <c r="A394" s="5">
        <v>38906965</v>
      </c>
      <c r="B394" t="s">
        <v>530</v>
      </c>
      <c r="C394" s="18">
        <f ca="1">TODAY()-63</f>
        <v>44573</v>
      </c>
      <c r="D394" s="19">
        <v>12</v>
      </c>
      <c r="E394" s="20">
        <v>10000</v>
      </c>
    </row>
    <row r="395" spans="1:5" x14ac:dyDescent="0.2">
      <c r="A395" s="5">
        <v>86480935</v>
      </c>
      <c r="B395" t="s">
        <v>391</v>
      </c>
      <c r="C395" s="18">
        <f t="shared" ref="C395:C400" ca="1" si="9">TODAY()-62</f>
        <v>44574</v>
      </c>
      <c r="D395" s="19">
        <v>7</v>
      </c>
      <c r="E395" s="20">
        <v>464300</v>
      </c>
    </row>
    <row r="396" spans="1:5" x14ac:dyDescent="0.2">
      <c r="A396" s="5">
        <v>58333032</v>
      </c>
      <c r="B396" t="s">
        <v>562</v>
      </c>
      <c r="C396" s="18">
        <f t="shared" ca="1" si="9"/>
        <v>44574</v>
      </c>
      <c r="D396" s="19">
        <v>10</v>
      </c>
      <c r="E396" s="20">
        <v>22500</v>
      </c>
    </row>
    <row r="397" spans="1:5" x14ac:dyDescent="0.2">
      <c r="A397" s="5">
        <v>97352928</v>
      </c>
      <c r="B397" t="s">
        <v>456</v>
      </c>
      <c r="C397" s="18">
        <f t="shared" ca="1" si="9"/>
        <v>44574</v>
      </c>
      <c r="D397" s="19">
        <v>8</v>
      </c>
      <c r="E397" s="20">
        <v>7698600</v>
      </c>
    </row>
    <row r="398" spans="1:5" x14ac:dyDescent="0.2">
      <c r="A398" s="5">
        <v>47564315</v>
      </c>
      <c r="B398" t="s">
        <v>396</v>
      </c>
      <c r="C398" s="18">
        <f t="shared" ca="1" si="9"/>
        <v>44574</v>
      </c>
      <c r="D398" s="19">
        <v>8</v>
      </c>
      <c r="E398" s="20">
        <v>7623100</v>
      </c>
    </row>
    <row r="399" spans="1:5" x14ac:dyDescent="0.2">
      <c r="A399" s="5">
        <v>54380044</v>
      </c>
      <c r="B399" t="s">
        <v>294</v>
      </c>
      <c r="C399" s="18">
        <f t="shared" ca="1" si="9"/>
        <v>44574</v>
      </c>
      <c r="D399" s="19">
        <v>11</v>
      </c>
      <c r="E399" s="20">
        <v>6020100</v>
      </c>
    </row>
    <row r="400" spans="1:5" x14ac:dyDescent="0.2">
      <c r="A400" s="5">
        <v>78374480</v>
      </c>
      <c r="B400" t="s">
        <v>331</v>
      </c>
      <c r="C400" s="18">
        <f t="shared" ca="1" si="9"/>
        <v>44574</v>
      </c>
      <c r="D400" s="19">
        <v>11</v>
      </c>
      <c r="E400" s="20">
        <v>4202000</v>
      </c>
    </row>
    <row r="401" spans="1:5" x14ac:dyDescent="0.2">
      <c r="A401" s="5">
        <v>58333032</v>
      </c>
      <c r="B401" t="s">
        <v>562</v>
      </c>
      <c r="C401" s="18">
        <f ca="1">TODAY()-61</f>
        <v>44575</v>
      </c>
      <c r="D401" s="19">
        <v>11</v>
      </c>
      <c r="E401" s="20">
        <v>26000</v>
      </c>
    </row>
    <row r="402" spans="1:5" x14ac:dyDescent="0.2">
      <c r="A402" s="5">
        <v>72848119</v>
      </c>
      <c r="B402" t="s">
        <v>451</v>
      </c>
      <c r="C402" s="18">
        <f ca="1">TODAY()-60</f>
        <v>44576</v>
      </c>
      <c r="D402" s="19">
        <v>11</v>
      </c>
      <c r="E402" s="20">
        <v>64300</v>
      </c>
    </row>
    <row r="403" spans="1:5" x14ac:dyDescent="0.2">
      <c r="A403" s="5">
        <v>57425327</v>
      </c>
      <c r="B403" t="s">
        <v>603</v>
      </c>
      <c r="C403" s="18">
        <f ca="1">TODAY()-59</f>
        <v>44577</v>
      </c>
      <c r="D403" s="19">
        <v>7</v>
      </c>
      <c r="E403" s="20">
        <v>13600</v>
      </c>
    </row>
    <row r="404" spans="1:5" x14ac:dyDescent="0.2">
      <c r="A404" s="5">
        <v>75057713</v>
      </c>
      <c r="B404" t="s">
        <v>594</v>
      </c>
      <c r="C404" s="18">
        <f ca="1">TODAY()-58</f>
        <v>44578</v>
      </c>
      <c r="D404" s="19">
        <v>11</v>
      </c>
      <c r="E404" s="20">
        <v>83400</v>
      </c>
    </row>
    <row r="405" spans="1:5" x14ac:dyDescent="0.2">
      <c r="A405" s="5">
        <v>92320257</v>
      </c>
      <c r="B405" t="s">
        <v>527</v>
      </c>
      <c r="C405" s="18">
        <f ca="1">TODAY()-57</f>
        <v>44579</v>
      </c>
      <c r="D405" s="19">
        <v>10</v>
      </c>
      <c r="E405" s="20">
        <v>7631000</v>
      </c>
    </row>
    <row r="406" spans="1:5" x14ac:dyDescent="0.2">
      <c r="A406" s="5">
        <v>81269643</v>
      </c>
      <c r="B406" t="s">
        <v>630</v>
      </c>
      <c r="C406" s="18">
        <f ca="1">TODAY()-56</f>
        <v>44580</v>
      </c>
      <c r="D406" s="19">
        <v>6</v>
      </c>
      <c r="E406" s="20">
        <v>2304100</v>
      </c>
    </row>
    <row r="407" spans="1:5" x14ac:dyDescent="0.2">
      <c r="A407" s="5">
        <v>47805922</v>
      </c>
      <c r="B407" t="s">
        <v>566</v>
      </c>
      <c r="C407" s="18">
        <f ca="1">TODAY()-55</f>
        <v>44581</v>
      </c>
      <c r="D407" s="19">
        <v>4</v>
      </c>
      <c r="E407" s="20">
        <v>95600</v>
      </c>
    </row>
    <row r="408" spans="1:5" x14ac:dyDescent="0.2">
      <c r="A408" s="5">
        <v>63528015</v>
      </c>
      <c r="B408" t="s">
        <v>382</v>
      </c>
      <c r="C408" s="18">
        <f ca="1">TODAY()-54</f>
        <v>44582</v>
      </c>
      <c r="D408" s="19">
        <v>7</v>
      </c>
      <c r="E408" s="20">
        <v>22900</v>
      </c>
    </row>
    <row r="409" spans="1:5" x14ac:dyDescent="0.2">
      <c r="A409" s="5">
        <v>86480935</v>
      </c>
      <c r="B409" t="s">
        <v>391</v>
      </c>
      <c r="C409" s="18">
        <f ca="1">TODAY()-54</f>
        <v>44582</v>
      </c>
      <c r="D409" s="19">
        <v>8</v>
      </c>
      <c r="E409" s="20">
        <v>446800</v>
      </c>
    </row>
    <row r="410" spans="1:5" x14ac:dyDescent="0.2">
      <c r="A410" s="5">
        <v>48434256</v>
      </c>
      <c r="B410" t="s">
        <v>350</v>
      </c>
      <c r="C410" s="18">
        <f ca="1">TODAY()-54</f>
        <v>44582</v>
      </c>
      <c r="D410" s="19">
        <v>12</v>
      </c>
      <c r="E410" s="20">
        <v>645200</v>
      </c>
    </row>
    <row r="411" spans="1:5" x14ac:dyDescent="0.2">
      <c r="A411" s="5">
        <v>60521821</v>
      </c>
      <c r="B411" t="s">
        <v>445</v>
      </c>
      <c r="C411" s="18">
        <f ca="1">TODAY()-53</f>
        <v>44583</v>
      </c>
      <c r="D411" s="19">
        <v>13</v>
      </c>
      <c r="E411" s="20">
        <v>5608800</v>
      </c>
    </row>
    <row r="412" spans="1:5" x14ac:dyDescent="0.2">
      <c r="A412" s="5">
        <v>54380044</v>
      </c>
      <c r="B412" t="s">
        <v>294</v>
      </c>
      <c r="C412" s="18">
        <f ca="1">TODAY()-52</f>
        <v>44584</v>
      </c>
      <c r="D412" s="19">
        <v>12</v>
      </c>
      <c r="E412" s="20">
        <v>6388700</v>
      </c>
    </row>
    <row r="413" spans="1:5" x14ac:dyDescent="0.2">
      <c r="A413" s="5">
        <v>68215900</v>
      </c>
      <c r="B413" t="s">
        <v>444</v>
      </c>
      <c r="C413" s="18">
        <f ca="1">TODAY()-52</f>
        <v>44584</v>
      </c>
      <c r="D413" s="19">
        <v>9</v>
      </c>
      <c r="E413" s="20">
        <v>7956400</v>
      </c>
    </row>
    <row r="414" spans="1:5" x14ac:dyDescent="0.2">
      <c r="A414" s="5">
        <v>44982022</v>
      </c>
      <c r="B414" t="s">
        <v>581</v>
      </c>
      <c r="C414" s="18">
        <f ca="1">TODAY()-51</f>
        <v>44585</v>
      </c>
      <c r="D414" s="19">
        <v>14</v>
      </c>
      <c r="E414" s="20">
        <v>97300</v>
      </c>
    </row>
    <row r="415" spans="1:5" x14ac:dyDescent="0.2">
      <c r="A415" s="5">
        <v>94590438</v>
      </c>
      <c r="B415" t="s">
        <v>467</v>
      </c>
      <c r="C415" s="18">
        <f ca="1">TODAY()-51</f>
        <v>44585</v>
      </c>
      <c r="D415" s="19">
        <v>10</v>
      </c>
      <c r="E415" s="20">
        <v>664200</v>
      </c>
    </row>
    <row r="416" spans="1:5" x14ac:dyDescent="0.2">
      <c r="A416" s="5">
        <v>46181234</v>
      </c>
      <c r="B416" t="s">
        <v>463</v>
      </c>
      <c r="C416" s="18">
        <f ca="1">TODAY()-51</f>
        <v>44585</v>
      </c>
      <c r="D416" s="19">
        <v>8</v>
      </c>
      <c r="E416" s="20">
        <v>79900</v>
      </c>
    </row>
    <row r="417" spans="1:5" x14ac:dyDescent="0.2">
      <c r="A417" s="5">
        <v>72848119</v>
      </c>
      <c r="B417" t="s">
        <v>451</v>
      </c>
      <c r="C417" s="18">
        <f ca="1">TODAY()-51</f>
        <v>44585</v>
      </c>
      <c r="D417" s="19">
        <v>12</v>
      </c>
      <c r="E417" s="20">
        <v>66300</v>
      </c>
    </row>
    <row r="418" spans="1:5" x14ac:dyDescent="0.2">
      <c r="A418" s="5">
        <v>92320652</v>
      </c>
      <c r="B418" t="s">
        <v>602</v>
      </c>
      <c r="C418" s="18">
        <f ca="1">TODAY()-50</f>
        <v>44586</v>
      </c>
      <c r="D418" s="19">
        <v>8</v>
      </c>
      <c r="E418" s="20">
        <v>488300</v>
      </c>
    </row>
    <row r="419" spans="1:5" x14ac:dyDescent="0.2">
      <c r="A419" s="5">
        <v>94590438</v>
      </c>
      <c r="B419" t="s">
        <v>467</v>
      </c>
      <c r="C419" s="18">
        <f ca="1">TODAY()-49</f>
        <v>44587</v>
      </c>
      <c r="D419" s="19">
        <v>11</v>
      </c>
      <c r="E419" s="20">
        <v>530200</v>
      </c>
    </row>
    <row r="420" spans="1:5" x14ac:dyDescent="0.2">
      <c r="A420" s="5">
        <v>47805922</v>
      </c>
      <c r="B420" t="s">
        <v>566</v>
      </c>
      <c r="C420" s="18">
        <f ca="1">TODAY()-49</f>
        <v>44587</v>
      </c>
      <c r="D420" s="19">
        <v>5</v>
      </c>
      <c r="E420" s="20">
        <v>94700</v>
      </c>
    </row>
    <row r="421" spans="1:5" x14ac:dyDescent="0.2">
      <c r="A421" s="5">
        <v>58333032</v>
      </c>
      <c r="B421" t="s">
        <v>562</v>
      </c>
      <c r="C421" s="18">
        <f ca="1">TODAY()-48</f>
        <v>44588</v>
      </c>
      <c r="D421" s="19">
        <v>12</v>
      </c>
      <c r="E421" s="20">
        <v>19300</v>
      </c>
    </row>
    <row r="422" spans="1:5" x14ac:dyDescent="0.2">
      <c r="A422" s="5">
        <v>36182332</v>
      </c>
      <c r="B422" t="s">
        <v>318</v>
      </c>
      <c r="C422" s="18">
        <f ca="1">TODAY()-48</f>
        <v>44588</v>
      </c>
      <c r="D422" s="19">
        <v>8</v>
      </c>
      <c r="E422" s="20">
        <v>3774600</v>
      </c>
    </row>
    <row r="423" spans="1:5" x14ac:dyDescent="0.2">
      <c r="A423" s="5">
        <v>86480935</v>
      </c>
      <c r="B423" t="s">
        <v>391</v>
      </c>
      <c r="C423" s="18">
        <f ca="1">TODAY()-47</f>
        <v>44589</v>
      </c>
      <c r="D423" s="19">
        <v>9</v>
      </c>
      <c r="E423" s="20">
        <v>481800</v>
      </c>
    </row>
    <row r="424" spans="1:5" x14ac:dyDescent="0.2">
      <c r="A424" s="5">
        <v>91275989</v>
      </c>
      <c r="B424" t="s">
        <v>588</v>
      </c>
      <c r="C424" s="18">
        <f ca="1">TODAY()-46</f>
        <v>44590</v>
      </c>
      <c r="D424" s="19">
        <v>7</v>
      </c>
      <c r="E424" s="20">
        <v>78900</v>
      </c>
    </row>
    <row r="425" spans="1:5" x14ac:dyDescent="0.2">
      <c r="A425" s="5">
        <v>56961256</v>
      </c>
      <c r="B425" t="s">
        <v>497</v>
      </c>
      <c r="C425" s="18">
        <f ca="1">TODAY()-46</f>
        <v>44590</v>
      </c>
      <c r="D425" s="19">
        <v>5</v>
      </c>
      <c r="E425" s="20">
        <v>4016600</v>
      </c>
    </row>
    <row r="426" spans="1:5" x14ac:dyDescent="0.2">
      <c r="A426" s="5">
        <v>60521821</v>
      </c>
      <c r="B426" t="s">
        <v>445</v>
      </c>
      <c r="C426" s="18">
        <f ca="1">TODAY()-46</f>
        <v>44590</v>
      </c>
      <c r="D426" s="19">
        <v>14</v>
      </c>
      <c r="E426" s="20">
        <v>4723200</v>
      </c>
    </row>
    <row r="427" spans="1:5" x14ac:dyDescent="0.2">
      <c r="A427" s="5">
        <v>34061779</v>
      </c>
      <c r="B427" t="s">
        <v>589</v>
      </c>
      <c r="C427" s="18">
        <f ca="1">TODAY()-45</f>
        <v>44591</v>
      </c>
      <c r="D427" s="19">
        <v>10</v>
      </c>
      <c r="E427" s="20">
        <v>1401100</v>
      </c>
    </row>
    <row r="428" spans="1:5" x14ac:dyDescent="0.2">
      <c r="A428" s="5">
        <v>54380044</v>
      </c>
      <c r="B428" t="s">
        <v>294</v>
      </c>
      <c r="C428" s="18">
        <f ca="1">TODAY()-44</f>
        <v>44592</v>
      </c>
      <c r="D428" s="19">
        <v>13</v>
      </c>
      <c r="E428" s="20">
        <v>5774400</v>
      </c>
    </row>
    <row r="429" spans="1:5" x14ac:dyDescent="0.2">
      <c r="A429" s="5">
        <v>63528015</v>
      </c>
      <c r="B429" t="s">
        <v>382</v>
      </c>
      <c r="C429" s="18">
        <f ca="1">TODAY()-43</f>
        <v>44593</v>
      </c>
      <c r="D429" s="19">
        <v>8</v>
      </c>
      <c r="E429" s="20">
        <v>26800</v>
      </c>
    </row>
    <row r="430" spans="1:5" x14ac:dyDescent="0.2">
      <c r="A430" s="5">
        <v>38906965</v>
      </c>
      <c r="B430" t="s">
        <v>530</v>
      </c>
      <c r="C430" s="18">
        <f ca="1">TODAY()-42</f>
        <v>44594</v>
      </c>
      <c r="D430" s="19">
        <v>13</v>
      </c>
      <c r="E430" s="20">
        <v>10200</v>
      </c>
    </row>
    <row r="431" spans="1:5" x14ac:dyDescent="0.2">
      <c r="A431" s="5">
        <v>91327243</v>
      </c>
      <c r="B431" t="s">
        <v>544</v>
      </c>
      <c r="C431" s="18">
        <f ca="1">TODAY()-41</f>
        <v>44595</v>
      </c>
      <c r="D431" s="19">
        <v>6</v>
      </c>
      <c r="E431" s="20">
        <v>6739000</v>
      </c>
    </row>
    <row r="432" spans="1:5" x14ac:dyDescent="0.2">
      <c r="A432" s="5">
        <v>72848119</v>
      </c>
      <c r="B432" t="s">
        <v>451</v>
      </c>
      <c r="C432" s="18">
        <f ca="1">TODAY()-41</f>
        <v>44595</v>
      </c>
      <c r="D432" s="19">
        <v>13</v>
      </c>
      <c r="E432" s="20">
        <v>71600</v>
      </c>
    </row>
    <row r="433" spans="1:5" x14ac:dyDescent="0.2">
      <c r="A433" s="5">
        <v>48952443</v>
      </c>
      <c r="B433" t="s">
        <v>439</v>
      </c>
      <c r="C433" s="18">
        <f ca="1">TODAY()-40</f>
        <v>44596</v>
      </c>
      <c r="D433" s="19">
        <v>8</v>
      </c>
      <c r="E433" s="20">
        <v>59200</v>
      </c>
    </row>
    <row r="434" spans="1:5" x14ac:dyDescent="0.2">
      <c r="A434" s="5">
        <v>50782119</v>
      </c>
      <c r="B434" t="s">
        <v>585</v>
      </c>
      <c r="C434" s="18">
        <f ca="1">TODAY()-40</f>
        <v>44596</v>
      </c>
      <c r="D434" s="19">
        <v>6</v>
      </c>
      <c r="E434" s="20">
        <v>3010800</v>
      </c>
    </row>
    <row r="435" spans="1:5" x14ac:dyDescent="0.2">
      <c r="A435" s="5">
        <v>67027627</v>
      </c>
      <c r="B435" t="s">
        <v>605</v>
      </c>
      <c r="C435" s="18">
        <f ca="1">TODAY()-39</f>
        <v>44597</v>
      </c>
      <c r="D435" s="19">
        <v>7</v>
      </c>
      <c r="E435" s="20">
        <v>756700</v>
      </c>
    </row>
    <row r="436" spans="1:5" x14ac:dyDescent="0.2">
      <c r="A436" s="5">
        <v>38906965</v>
      </c>
      <c r="B436" t="s">
        <v>530</v>
      </c>
      <c r="C436" s="18">
        <f ca="1">TODAY()-38</f>
        <v>44598</v>
      </c>
      <c r="D436" s="19">
        <v>14</v>
      </c>
      <c r="E436" s="20">
        <v>11900</v>
      </c>
    </row>
    <row r="437" spans="1:5" x14ac:dyDescent="0.2">
      <c r="A437" s="5">
        <v>48434256</v>
      </c>
      <c r="B437" t="s">
        <v>350</v>
      </c>
      <c r="C437" s="18">
        <f ca="1">TODAY()-38</f>
        <v>44598</v>
      </c>
      <c r="D437" s="19">
        <v>13</v>
      </c>
      <c r="E437" s="20">
        <v>510500</v>
      </c>
    </row>
    <row r="438" spans="1:5" x14ac:dyDescent="0.2">
      <c r="A438" s="5">
        <v>75057713</v>
      </c>
      <c r="B438" t="s">
        <v>594</v>
      </c>
      <c r="C438" s="18">
        <f ca="1">TODAY()-37</f>
        <v>44599</v>
      </c>
      <c r="D438" s="19">
        <v>12</v>
      </c>
      <c r="E438" s="20">
        <v>89300</v>
      </c>
    </row>
    <row r="439" spans="1:5" x14ac:dyDescent="0.2">
      <c r="A439" s="5">
        <v>63528015</v>
      </c>
      <c r="B439" t="s">
        <v>382</v>
      </c>
      <c r="C439" s="18">
        <f ca="1">TODAY()-37</f>
        <v>44599</v>
      </c>
      <c r="D439" s="19">
        <v>9</v>
      </c>
      <c r="E439" s="20">
        <v>27300</v>
      </c>
    </row>
    <row r="440" spans="1:5" x14ac:dyDescent="0.2">
      <c r="A440" s="5">
        <v>95804106</v>
      </c>
      <c r="B440" t="s">
        <v>359</v>
      </c>
      <c r="C440" s="18">
        <f ca="1">TODAY()-36</f>
        <v>44600</v>
      </c>
      <c r="D440" s="19">
        <v>8</v>
      </c>
      <c r="E440" s="20">
        <v>326000</v>
      </c>
    </row>
    <row r="441" spans="1:5" x14ac:dyDescent="0.2">
      <c r="A441" s="5">
        <v>72006643</v>
      </c>
      <c r="B441" t="s">
        <v>495</v>
      </c>
      <c r="C441" s="18">
        <f ca="1">TODAY()-35</f>
        <v>44601</v>
      </c>
      <c r="D441" s="19">
        <v>8</v>
      </c>
      <c r="E441" s="20">
        <v>235900</v>
      </c>
    </row>
    <row r="442" spans="1:5" x14ac:dyDescent="0.2">
      <c r="A442" s="5">
        <v>48952443</v>
      </c>
      <c r="B442" t="s">
        <v>439</v>
      </c>
      <c r="C442" s="18">
        <f ca="1">TODAY()-34</f>
        <v>44602</v>
      </c>
      <c r="D442" s="19">
        <v>9</v>
      </c>
      <c r="E442" s="20">
        <v>60600</v>
      </c>
    </row>
    <row r="443" spans="1:5" x14ac:dyDescent="0.2">
      <c r="A443" s="5">
        <v>36182332</v>
      </c>
      <c r="B443" t="s">
        <v>318</v>
      </c>
      <c r="C443" s="18">
        <f ca="1">TODAY()-33</f>
        <v>44603</v>
      </c>
      <c r="D443" s="19">
        <v>9</v>
      </c>
      <c r="E443" s="20">
        <v>4194000</v>
      </c>
    </row>
    <row r="444" spans="1:5" x14ac:dyDescent="0.2">
      <c r="A444" s="5">
        <v>67027627</v>
      </c>
      <c r="B444" t="s">
        <v>605</v>
      </c>
      <c r="C444" s="18">
        <f ca="1">TODAY()-32</f>
        <v>44604</v>
      </c>
      <c r="D444" s="19">
        <v>8</v>
      </c>
      <c r="E444" s="20">
        <v>779600</v>
      </c>
    </row>
    <row r="445" spans="1:5" x14ac:dyDescent="0.2">
      <c r="A445" s="5">
        <v>78374480</v>
      </c>
      <c r="B445" t="s">
        <v>331</v>
      </c>
      <c r="C445" s="18">
        <f ca="1">TODAY()-31</f>
        <v>44605</v>
      </c>
      <c r="D445" s="19">
        <v>12</v>
      </c>
      <c r="E445" s="20">
        <v>3768800</v>
      </c>
    </row>
    <row r="446" spans="1:5" x14ac:dyDescent="0.2">
      <c r="A446" s="5">
        <v>60521821</v>
      </c>
      <c r="B446" t="s">
        <v>445</v>
      </c>
      <c r="C446" s="18">
        <f ca="1">TODAY()-31</f>
        <v>44605</v>
      </c>
      <c r="D446" s="19">
        <v>15</v>
      </c>
      <c r="E446" s="20">
        <v>4900300</v>
      </c>
    </row>
    <row r="447" spans="1:5" x14ac:dyDescent="0.2">
      <c r="A447" s="5">
        <v>47805922</v>
      </c>
      <c r="B447" t="s">
        <v>566</v>
      </c>
      <c r="C447" s="18">
        <f ca="1">TODAY()-31</f>
        <v>44605</v>
      </c>
      <c r="D447" s="19">
        <v>6</v>
      </c>
      <c r="E447" s="20">
        <v>75000</v>
      </c>
    </row>
    <row r="448" spans="1:5" x14ac:dyDescent="0.2">
      <c r="A448" s="5">
        <v>81269643</v>
      </c>
      <c r="B448" t="s">
        <v>630</v>
      </c>
      <c r="C448" s="18">
        <f ca="1">TODAY()-30</f>
        <v>44606</v>
      </c>
      <c r="D448" s="19">
        <v>7</v>
      </c>
      <c r="E448" s="20">
        <v>1968600</v>
      </c>
    </row>
    <row r="449" spans="1:5" x14ac:dyDescent="0.2">
      <c r="A449" s="5">
        <v>97352928</v>
      </c>
      <c r="B449" t="s">
        <v>456</v>
      </c>
      <c r="C449" s="18">
        <f ca="1">TODAY()-29</f>
        <v>44607</v>
      </c>
      <c r="D449" s="19">
        <v>9</v>
      </c>
      <c r="E449" s="20">
        <v>9336600</v>
      </c>
    </row>
    <row r="450" spans="1:5" x14ac:dyDescent="0.2">
      <c r="A450" s="5">
        <v>95804106</v>
      </c>
      <c r="B450" t="s">
        <v>359</v>
      </c>
      <c r="C450" s="18">
        <f ca="1">TODAY()-29</f>
        <v>44607</v>
      </c>
      <c r="D450" s="19">
        <v>9</v>
      </c>
      <c r="E450" s="20">
        <v>275200</v>
      </c>
    </row>
    <row r="451" spans="1:5" x14ac:dyDescent="0.2">
      <c r="A451" s="5">
        <v>81269643</v>
      </c>
      <c r="B451" t="s">
        <v>630</v>
      </c>
      <c r="C451" s="18">
        <f ca="1">TODAY()-29</f>
        <v>44607</v>
      </c>
      <c r="D451" s="19">
        <v>8</v>
      </c>
      <c r="E451" s="20">
        <v>2527800</v>
      </c>
    </row>
    <row r="452" spans="1:5" x14ac:dyDescent="0.2">
      <c r="A452" s="5">
        <v>90065899</v>
      </c>
      <c r="B452" t="s">
        <v>622</v>
      </c>
      <c r="C452" s="18">
        <f ca="1">TODAY()-29</f>
        <v>44607</v>
      </c>
      <c r="D452" s="19">
        <v>8</v>
      </c>
      <c r="E452" s="20">
        <v>641800</v>
      </c>
    </row>
    <row r="453" spans="1:5" x14ac:dyDescent="0.2">
      <c r="A453" s="5">
        <v>75489043</v>
      </c>
      <c r="B453" t="s">
        <v>558</v>
      </c>
      <c r="C453" s="18">
        <f ca="1">TODAY()-29</f>
        <v>44607</v>
      </c>
      <c r="D453" s="19">
        <v>8</v>
      </c>
      <c r="E453" s="20">
        <v>276900</v>
      </c>
    </row>
    <row r="454" spans="1:5" x14ac:dyDescent="0.2">
      <c r="A454" s="5">
        <v>95360283</v>
      </c>
      <c r="B454" t="s">
        <v>556</v>
      </c>
      <c r="C454" s="18">
        <f ca="1">TODAY()-28</f>
        <v>44608</v>
      </c>
      <c r="D454" s="19">
        <v>9</v>
      </c>
      <c r="E454" s="20">
        <v>40800</v>
      </c>
    </row>
    <row r="455" spans="1:5" x14ac:dyDescent="0.2">
      <c r="A455" s="5">
        <v>55611854</v>
      </c>
      <c r="B455" t="s">
        <v>433</v>
      </c>
      <c r="C455" s="18">
        <f ca="1">TODAY()-28</f>
        <v>44608</v>
      </c>
      <c r="D455" s="19">
        <v>6</v>
      </c>
      <c r="E455" s="20">
        <v>49200</v>
      </c>
    </row>
    <row r="456" spans="1:5" x14ac:dyDescent="0.2">
      <c r="A456" s="5">
        <v>50782119</v>
      </c>
      <c r="B456" t="s">
        <v>585</v>
      </c>
      <c r="C456" s="18">
        <f ca="1">TODAY()-27</f>
        <v>44609</v>
      </c>
      <c r="D456" s="19">
        <v>7</v>
      </c>
      <c r="E456" s="20">
        <v>2754600</v>
      </c>
    </row>
    <row r="457" spans="1:5" x14ac:dyDescent="0.2">
      <c r="A457" s="5">
        <v>55611854</v>
      </c>
      <c r="B457" t="s">
        <v>433</v>
      </c>
      <c r="C457" s="18">
        <f ca="1">TODAY()-26</f>
        <v>44610</v>
      </c>
      <c r="D457" s="19">
        <v>7</v>
      </c>
      <c r="E457" s="20">
        <v>65200</v>
      </c>
    </row>
    <row r="458" spans="1:5" x14ac:dyDescent="0.2">
      <c r="A458" s="5">
        <v>48434256</v>
      </c>
      <c r="B458" t="s">
        <v>350</v>
      </c>
      <c r="C458" s="18">
        <f ca="1">TODAY()-26</f>
        <v>44610</v>
      </c>
      <c r="D458" s="19">
        <v>14</v>
      </c>
      <c r="E458" s="20">
        <v>482500</v>
      </c>
    </row>
    <row r="459" spans="1:5" x14ac:dyDescent="0.2">
      <c r="A459" s="5">
        <v>56961256</v>
      </c>
      <c r="B459" t="s">
        <v>497</v>
      </c>
      <c r="C459" s="18">
        <f ca="1">TODAY()-26</f>
        <v>44610</v>
      </c>
      <c r="D459" s="19">
        <v>6</v>
      </c>
      <c r="E459" s="20">
        <v>5280200</v>
      </c>
    </row>
    <row r="460" spans="1:5" x14ac:dyDescent="0.2">
      <c r="A460" s="5">
        <v>35504210</v>
      </c>
      <c r="B460" t="s">
        <v>424</v>
      </c>
      <c r="C460" s="18">
        <f ca="1">TODAY()-25</f>
        <v>44611</v>
      </c>
      <c r="D460" s="19">
        <v>11</v>
      </c>
      <c r="E460" s="20">
        <v>44100</v>
      </c>
    </row>
    <row r="461" spans="1:5" x14ac:dyDescent="0.2">
      <c r="A461" s="5">
        <v>46181234</v>
      </c>
      <c r="B461" t="s">
        <v>463</v>
      </c>
      <c r="C461" s="18">
        <f ca="1">TODAY()-25</f>
        <v>44611</v>
      </c>
      <c r="D461" s="19">
        <v>9</v>
      </c>
      <c r="E461" s="20">
        <v>104000</v>
      </c>
    </row>
    <row r="462" spans="1:5" x14ac:dyDescent="0.2">
      <c r="A462" s="5">
        <v>56961256</v>
      </c>
      <c r="B462" t="s">
        <v>497</v>
      </c>
      <c r="C462" s="18">
        <f ca="1">TODAY()-24</f>
        <v>44612</v>
      </c>
      <c r="D462" s="19">
        <v>7</v>
      </c>
      <c r="E462" s="20">
        <v>5415600</v>
      </c>
    </row>
    <row r="463" spans="1:5" x14ac:dyDescent="0.2">
      <c r="A463" s="5">
        <v>47564315</v>
      </c>
      <c r="B463" t="s">
        <v>396</v>
      </c>
      <c r="C463" s="18">
        <f ca="1">TODAY()-23</f>
        <v>44613</v>
      </c>
      <c r="D463" s="19">
        <v>9</v>
      </c>
      <c r="E463" s="20">
        <v>8948900</v>
      </c>
    </row>
    <row r="464" spans="1:5" x14ac:dyDescent="0.2">
      <c r="A464" s="5">
        <v>81269643</v>
      </c>
      <c r="B464" t="s">
        <v>630</v>
      </c>
      <c r="C464" s="18">
        <f ca="1">TODAY()-22</f>
        <v>44614</v>
      </c>
      <c r="D464" s="19">
        <v>9</v>
      </c>
      <c r="E464" s="20">
        <v>2304100</v>
      </c>
    </row>
    <row r="465" spans="1:5" x14ac:dyDescent="0.2">
      <c r="A465" s="5">
        <v>81269643</v>
      </c>
      <c r="B465" t="s">
        <v>630</v>
      </c>
      <c r="C465" s="18">
        <f ca="1">TODAY()-22</f>
        <v>44614</v>
      </c>
      <c r="D465" s="19">
        <v>10</v>
      </c>
      <c r="E465" s="20">
        <v>1990900</v>
      </c>
    </row>
    <row r="466" spans="1:5" x14ac:dyDescent="0.2">
      <c r="A466" s="5">
        <v>56383353</v>
      </c>
      <c r="B466" t="s">
        <v>367</v>
      </c>
      <c r="C466" s="18">
        <f ca="1">TODAY()-22</f>
        <v>44614</v>
      </c>
      <c r="D466" s="19">
        <v>18</v>
      </c>
      <c r="E466" s="20">
        <v>76000</v>
      </c>
    </row>
    <row r="467" spans="1:5" x14ac:dyDescent="0.2">
      <c r="A467" s="5">
        <v>94590438</v>
      </c>
      <c r="B467" t="s">
        <v>467</v>
      </c>
      <c r="C467" s="18">
        <f ca="1">TODAY()-22</f>
        <v>44614</v>
      </c>
      <c r="D467" s="19">
        <v>12</v>
      </c>
      <c r="E467" s="20">
        <v>664200</v>
      </c>
    </row>
    <row r="468" spans="1:5" x14ac:dyDescent="0.2">
      <c r="A468" s="5">
        <v>72848119</v>
      </c>
      <c r="B468" t="s">
        <v>451</v>
      </c>
      <c r="C468" s="18">
        <f ca="1">TODAY()-21</f>
        <v>44615</v>
      </c>
      <c r="D468" s="19">
        <v>14</v>
      </c>
      <c r="E468" s="20">
        <v>66300</v>
      </c>
    </row>
    <row r="469" spans="1:5" x14ac:dyDescent="0.2">
      <c r="A469" s="5">
        <v>72006643</v>
      </c>
      <c r="B469" t="s">
        <v>495</v>
      </c>
      <c r="C469" s="18">
        <f ca="1">TODAY()-20</f>
        <v>44616</v>
      </c>
      <c r="D469" s="19">
        <v>9</v>
      </c>
      <c r="E469" s="20">
        <v>213900</v>
      </c>
    </row>
    <row r="470" spans="1:5" x14ac:dyDescent="0.2">
      <c r="A470" s="5">
        <v>90065899</v>
      </c>
      <c r="B470" t="s">
        <v>622</v>
      </c>
      <c r="C470" s="18">
        <f ca="1">TODAY()-19</f>
        <v>44617</v>
      </c>
      <c r="D470" s="19">
        <v>9</v>
      </c>
      <c r="E470" s="20">
        <v>782700</v>
      </c>
    </row>
    <row r="471" spans="1:5" x14ac:dyDescent="0.2">
      <c r="A471" s="5">
        <v>92320652</v>
      </c>
      <c r="B471" t="s">
        <v>602</v>
      </c>
      <c r="C471" s="18">
        <f ca="1">TODAY()-18</f>
        <v>44618</v>
      </c>
      <c r="D471" s="19">
        <v>9</v>
      </c>
      <c r="E471" s="20">
        <v>520500</v>
      </c>
    </row>
    <row r="472" spans="1:5" x14ac:dyDescent="0.2">
      <c r="A472" s="5">
        <v>57425327</v>
      </c>
      <c r="B472" t="s">
        <v>603</v>
      </c>
      <c r="C472" s="18">
        <f ca="1">TODAY()-18</f>
        <v>44618</v>
      </c>
      <c r="D472" s="19">
        <v>8</v>
      </c>
      <c r="E472" s="20">
        <v>15600</v>
      </c>
    </row>
    <row r="473" spans="1:5" x14ac:dyDescent="0.2">
      <c r="A473" s="5">
        <v>92019613</v>
      </c>
      <c r="B473" t="s">
        <v>368</v>
      </c>
      <c r="C473" s="18">
        <f ca="1">TODAY()-17</f>
        <v>44619</v>
      </c>
      <c r="D473" s="19">
        <v>7</v>
      </c>
      <c r="E473" s="20">
        <v>31000</v>
      </c>
    </row>
    <row r="474" spans="1:5" x14ac:dyDescent="0.2">
      <c r="A474" s="5">
        <v>91327243</v>
      </c>
      <c r="B474" t="s">
        <v>544</v>
      </c>
      <c r="C474" s="18">
        <f ca="1">TODAY()-17</f>
        <v>44619</v>
      </c>
      <c r="D474" s="19">
        <v>7</v>
      </c>
      <c r="E474" s="20">
        <v>4933900</v>
      </c>
    </row>
    <row r="475" spans="1:5" x14ac:dyDescent="0.2">
      <c r="A475" s="5">
        <v>48952443</v>
      </c>
      <c r="B475" t="s">
        <v>439</v>
      </c>
      <c r="C475" s="18">
        <f ca="1">TODAY()-17</f>
        <v>44619</v>
      </c>
      <c r="D475" s="19">
        <v>10</v>
      </c>
      <c r="E475" s="20">
        <v>59900</v>
      </c>
    </row>
    <row r="476" spans="1:5" x14ac:dyDescent="0.2">
      <c r="A476" s="5">
        <v>79476220</v>
      </c>
      <c r="B476" t="s">
        <v>548</v>
      </c>
      <c r="C476" s="18">
        <f ca="1">TODAY()-17</f>
        <v>44619</v>
      </c>
      <c r="D476" s="19">
        <v>10</v>
      </c>
      <c r="E476" s="20">
        <v>2269200</v>
      </c>
    </row>
    <row r="477" spans="1:5" x14ac:dyDescent="0.2">
      <c r="A477" s="5">
        <v>47564315</v>
      </c>
      <c r="B477" t="s">
        <v>396</v>
      </c>
      <c r="C477" s="18">
        <f ca="1">TODAY()-16</f>
        <v>44620</v>
      </c>
      <c r="D477" s="19">
        <v>10</v>
      </c>
      <c r="E477" s="20">
        <v>7291700</v>
      </c>
    </row>
    <row r="478" spans="1:5" x14ac:dyDescent="0.2">
      <c r="A478" s="5">
        <v>48952443</v>
      </c>
      <c r="B478" t="s">
        <v>439</v>
      </c>
      <c r="C478" s="18">
        <f ca="1">TODAY()-15</f>
        <v>44621</v>
      </c>
      <c r="D478" s="19">
        <v>11</v>
      </c>
      <c r="E478" s="20">
        <v>70400</v>
      </c>
    </row>
    <row r="479" spans="1:5" x14ac:dyDescent="0.2">
      <c r="A479" s="5">
        <v>35504210</v>
      </c>
      <c r="B479" t="s">
        <v>424</v>
      </c>
      <c r="C479" s="18">
        <f ca="1">TODAY()-14</f>
        <v>44622</v>
      </c>
      <c r="D479" s="19">
        <v>12</v>
      </c>
      <c r="E479" s="20">
        <v>47300</v>
      </c>
    </row>
    <row r="480" spans="1:5" x14ac:dyDescent="0.2">
      <c r="A480" s="5">
        <v>75057713</v>
      </c>
      <c r="B480" t="s">
        <v>594</v>
      </c>
      <c r="C480" s="18">
        <f ca="1">TODAY()-14</f>
        <v>44622</v>
      </c>
      <c r="D480" s="19">
        <v>13</v>
      </c>
      <c r="E480" s="20">
        <v>114800</v>
      </c>
    </row>
    <row r="481" spans="1:5" x14ac:dyDescent="0.2">
      <c r="A481" s="5">
        <v>97352928</v>
      </c>
      <c r="B481" t="s">
        <v>456</v>
      </c>
      <c r="C481" s="18">
        <f ca="1">TODAY()-13</f>
        <v>44623</v>
      </c>
      <c r="D481" s="19">
        <v>10</v>
      </c>
      <c r="E481" s="20">
        <v>6961500</v>
      </c>
    </row>
    <row r="482" spans="1:5" x14ac:dyDescent="0.2">
      <c r="A482" s="5">
        <v>58333032</v>
      </c>
      <c r="B482" t="s">
        <v>562</v>
      </c>
      <c r="C482" s="18">
        <f ca="1">TODAY()-12</f>
        <v>44624</v>
      </c>
      <c r="D482" s="19">
        <v>13</v>
      </c>
      <c r="E482" s="20">
        <v>19700</v>
      </c>
    </row>
    <row r="483" spans="1:5" x14ac:dyDescent="0.2">
      <c r="A483" s="5">
        <v>38906965</v>
      </c>
      <c r="B483" t="s">
        <v>530</v>
      </c>
      <c r="C483" s="18">
        <f ca="1">TODAY()-11</f>
        <v>44625</v>
      </c>
      <c r="D483" s="19">
        <v>15</v>
      </c>
      <c r="E483" s="20">
        <v>11300</v>
      </c>
    </row>
    <row r="484" spans="1:5" x14ac:dyDescent="0.2">
      <c r="A484" s="5">
        <v>79476220</v>
      </c>
      <c r="B484" t="s">
        <v>548</v>
      </c>
      <c r="C484" s="18">
        <f ca="1">TODAY()-10</f>
        <v>44626</v>
      </c>
      <c r="D484" s="19">
        <v>11</v>
      </c>
      <c r="E484" s="20">
        <v>2318000</v>
      </c>
    </row>
    <row r="485" spans="1:5" x14ac:dyDescent="0.2">
      <c r="A485" s="5">
        <v>68215900</v>
      </c>
      <c r="B485" t="s">
        <v>444</v>
      </c>
      <c r="C485" s="18">
        <f ca="1">TODAY()-9</f>
        <v>44627</v>
      </c>
      <c r="D485" s="19">
        <v>10</v>
      </c>
      <c r="E485" s="20">
        <v>7514300</v>
      </c>
    </row>
    <row r="486" spans="1:5" x14ac:dyDescent="0.2">
      <c r="A486" s="5">
        <v>58333032</v>
      </c>
      <c r="B486" t="s">
        <v>562</v>
      </c>
      <c r="C486" s="18">
        <f ca="1">TODAY()-9</f>
        <v>44627</v>
      </c>
      <c r="D486" s="19">
        <v>14</v>
      </c>
      <c r="E486" s="20">
        <v>25800</v>
      </c>
    </row>
    <row r="487" spans="1:5" x14ac:dyDescent="0.2">
      <c r="A487" s="5">
        <v>34061779</v>
      </c>
      <c r="B487" t="s">
        <v>589</v>
      </c>
      <c r="C487" s="18">
        <f ca="1">TODAY()-8</f>
        <v>44628</v>
      </c>
      <c r="D487" s="19">
        <v>11</v>
      </c>
      <c r="E487" s="20">
        <v>1474800</v>
      </c>
    </row>
    <row r="488" spans="1:5" x14ac:dyDescent="0.2">
      <c r="A488" s="5">
        <v>63528015</v>
      </c>
      <c r="B488" t="s">
        <v>382</v>
      </c>
      <c r="C488" s="18">
        <f ca="1">TODAY()-7</f>
        <v>44629</v>
      </c>
      <c r="D488" s="19">
        <v>10</v>
      </c>
      <c r="E488" s="20">
        <v>22900</v>
      </c>
    </row>
    <row r="489" spans="1:5" x14ac:dyDescent="0.2">
      <c r="A489" s="5">
        <v>78944070</v>
      </c>
      <c r="B489" t="s">
        <v>540</v>
      </c>
      <c r="C489" s="18">
        <f ca="1">TODAY()-7</f>
        <v>44629</v>
      </c>
      <c r="D489" s="19">
        <v>7</v>
      </c>
      <c r="E489" s="20">
        <v>44800</v>
      </c>
    </row>
    <row r="490" spans="1:5" x14ac:dyDescent="0.2">
      <c r="A490" s="5">
        <v>79476220</v>
      </c>
      <c r="B490" t="s">
        <v>548</v>
      </c>
      <c r="C490" s="18">
        <f ca="1">TODAY()-7</f>
        <v>44629</v>
      </c>
      <c r="D490" s="19">
        <v>12</v>
      </c>
      <c r="E490" s="20">
        <v>2757200</v>
      </c>
    </row>
    <row r="491" spans="1:5" x14ac:dyDescent="0.2">
      <c r="A491" s="5">
        <v>95360283</v>
      </c>
      <c r="B491" t="s">
        <v>556</v>
      </c>
      <c r="C491" s="18">
        <f ca="1">TODAY()-7</f>
        <v>44629</v>
      </c>
      <c r="D491" s="19">
        <v>10</v>
      </c>
      <c r="E491" s="20">
        <v>36000</v>
      </c>
    </row>
    <row r="492" spans="1:5" x14ac:dyDescent="0.2">
      <c r="A492" s="5">
        <v>48952443</v>
      </c>
      <c r="B492" t="s">
        <v>439</v>
      </c>
      <c r="C492" s="18">
        <f ca="1">TODAY()-7</f>
        <v>44629</v>
      </c>
      <c r="D492" s="19">
        <v>12</v>
      </c>
      <c r="E492" s="20">
        <v>65500</v>
      </c>
    </row>
    <row r="493" spans="1:5" x14ac:dyDescent="0.2">
      <c r="A493" s="5">
        <v>75057713</v>
      </c>
      <c r="B493" t="s">
        <v>594</v>
      </c>
      <c r="C493" s="18">
        <f ca="1">TODAY()-6</f>
        <v>44630</v>
      </c>
      <c r="D493" s="19">
        <v>14</v>
      </c>
      <c r="E493" s="20">
        <v>90300</v>
      </c>
    </row>
    <row r="494" spans="1:5" x14ac:dyDescent="0.2">
      <c r="A494" s="5">
        <v>34061779</v>
      </c>
      <c r="B494" t="s">
        <v>589</v>
      </c>
      <c r="C494" s="18">
        <f ca="1">TODAY()-5</f>
        <v>44631</v>
      </c>
      <c r="D494" s="19">
        <v>12</v>
      </c>
      <c r="E494" s="20">
        <v>1364200</v>
      </c>
    </row>
    <row r="495" spans="1:5" x14ac:dyDescent="0.2">
      <c r="A495" s="5">
        <v>67027627</v>
      </c>
      <c r="B495" t="s">
        <v>605</v>
      </c>
      <c r="C495" s="18">
        <f ca="1">TODAY()-5</f>
        <v>44631</v>
      </c>
      <c r="D495" s="19">
        <v>9</v>
      </c>
      <c r="E495" s="20">
        <v>802500</v>
      </c>
    </row>
    <row r="496" spans="1:5" x14ac:dyDescent="0.2">
      <c r="A496" s="5">
        <v>56383353</v>
      </c>
      <c r="B496" t="s">
        <v>367</v>
      </c>
      <c r="C496" s="18">
        <f ca="1">TODAY()-4</f>
        <v>44632</v>
      </c>
      <c r="D496" s="19">
        <v>19</v>
      </c>
      <c r="E496" s="20">
        <v>105800</v>
      </c>
    </row>
    <row r="497" spans="1:5" x14ac:dyDescent="0.2">
      <c r="A497" s="5">
        <v>57425327</v>
      </c>
      <c r="B497" t="s">
        <v>603</v>
      </c>
      <c r="C497" s="18">
        <f ca="1">TODAY()-4</f>
        <v>44632</v>
      </c>
      <c r="D497" s="19">
        <v>9</v>
      </c>
      <c r="E497" s="20">
        <v>14000</v>
      </c>
    </row>
    <row r="498" spans="1:5" x14ac:dyDescent="0.2">
      <c r="A498" s="5">
        <v>55611854</v>
      </c>
      <c r="B498" t="s">
        <v>433</v>
      </c>
      <c r="C498" s="18">
        <f ca="1">TODAY()-3</f>
        <v>44633</v>
      </c>
      <c r="D498" s="19">
        <v>8</v>
      </c>
      <c r="E498" s="20">
        <v>54100</v>
      </c>
    </row>
    <row r="499" spans="1:5" x14ac:dyDescent="0.2">
      <c r="A499" s="5">
        <v>79476220</v>
      </c>
      <c r="B499" t="s">
        <v>548</v>
      </c>
      <c r="C499" s="18">
        <f ca="1">TODAY()-3</f>
        <v>44633</v>
      </c>
      <c r="D499" s="19">
        <v>13</v>
      </c>
      <c r="E499" s="20">
        <v>1976400</v>
      </c>
    </row>
    <row r="500" spans="1:5" x14ac:dyDescent="0.2">
      <c r="A500" s="5">
        <v>38906965</v>
      </c>
      <c r="B500" t="s">
        <v>530</v>
      </c>
      <c r="C500" s="18">
        <f ca="1">TODAY()-2</f>
        <v>44634</v>
      </c>
      <c r="D500" s="19">
        <v>16</v>
      </c>
      <c r="E500" s="20">
        <v>12000</v>
      </c>
    </row>
    <row r="501" spans="1:5" x14ac:dyDescent="0.2">
      <c r="A501" s="5">
        <v>44982022</v>
      </c>
      <c r="B501" t="s">
        <v>581</v>
      </c>
      <c r="C501" s="18">
        <f ca="1">TODAY()-1</f>
        <v>44635</v>
      </c>
      <c r="D501" s="19">
        <v>15</v>
      </c>
      <c r="E501" s="20">
        <v>71000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04F8C-3E05-4BB1-BA9C-EAD7289A8786}">
  <dimension ref="A1:H504"/>
  <sheetViews>
    <sheetView workbookViewId="0">
      <selection activeCell="G7" sqref="G7"/>
    </sheetView>
  </sheetViews>
  <sheetFormatPr defaultRowHeight="12" x14ac:dyDescent="0.2"/>
  <cols>
    <col min="1" max="2" width="11.83203125" customWidth="1"/>
    <col min="3" max="3" width="15.83203125" customWidth="1"/>
    <col min="4" max="4" width="11.1640625" bestFit="1" customWidth="1"/>
  </cols>
  <sheetData>
    <row r="1" spans="1:8" x14ac:dyDescent="0.2">
      <c r="A1" s="24" t="s">
        <v>1394</v>
      </c>
      <c r="B1" s="21" t="s">
        <v>1410</v>
      </c>
      <c r="C1" s="24" t="s">
        <v>1411</v>
      </c>
      <c r="D1" s="24" t="s">
        <v>1427</v>
      </c>
    </row>
    <row r="2" spans="1:8" x14ac:dyDescent="0.2">
      <c r="A2" s="13">
        <f t="shared" ref="A2:A65" ca="1" si="0">TODAY()-(505-ROW())</f>
        <v>44133</v>
      </c>
      <c r="B2" s="26">
        <v>0.56469999999999998</v>
      </c>
      <c r="C2" s="27" t="s">
        <v>1414</v>
      </c>
      <c r="D2" s="28">
        <v>428</v>
      </c>
    </row>
    <row r="3" spans="1:8" x14ac:dyDescent="0.2">
      <c r="A3" s="13">
        <f t="shared" ca="1" si="0"/>
        <v>44134</v>
      </c>
      <c r="B3" s="26">
        <v>0.33929999999999999</v>
      </c>
      <c r="C3" s="27" t="s">
        <v>1420</v>
      </c>
      <c r="D3" s="28">
        <v>421</v>
      </c>
      <c r="G3" s="25" t="s">
        <v>1408</v>
      </c>
      <c r="H3">
        <v>428</v>
      </c>
    </row>
    <row r="4" spans="1:8" x14ac:dyDescent="0.2">
      <c r="A4" s="13">
        <f t="shared" ca="1" si="0"/>
        <v>44135</v>
      </c>
      <c r="B4" s="26">
        <v>0.66510000000000002</v>
      </c>
      <c r="C4" s="27" t="s">
        <v>1415</v>
      </c>
      <c r="D4" s="28">
        <v>432</v>
      </c>
      <c r="G4" s="25" t="s">
        <v>1409</v>
      </c>
      <c r="H4">
        <v>15</v>
      </c>
    </row>
    <row r="5" spans="1:8" x14ac:dyDescent="0.2">
      <c r="A5" s="13">
        <f t="shared" ca="1" si="0"/>
        <v>44136</v>
      </c>
      <c r="B5" s="26">
        <v>0.5494</v>
      </c>
      <c r="C5" s="27" t="s">
        <v>1424</v>
      </c>
      <c r="D5" s="28">
        <v>433</v>
      </c>
    </row>
    <row r="6" spans="1:8" x14ac:dyDescent="0.2">
      <c r="A6" s="13">
        <f t="shared" ca="1" si="0"/>
        <v>44137</v>
      </c>
      <c r="B6" s="26">
        <v>0.62270000000000003</v>
      </c>
      <c r="C6" s="27" t="s">
        <v>1413</v>
      </c>
      <c r="D6" s="28">
        <v>431</v>
      </c>
    </row>
    <row r="7" spans="1:8" x14ac:dyDescent="0.2">
      <c r="A7" s="13">
        <f t="shared" ca="1" si="0"/>
        <v>44138</v>
      </c>
      <c r="B7" s="26">
        <v>0.64970000000000006</v>
      </c>
      <c r="C7" s="27" t="s">
        <v>1414</v>
      </c>
      <c r="D7" s="28">
        <v>430</v>
      </c>
      <c r="F7" s="3" t="s">
        <v>1428</v>
      </c>
    </row>
    <row r="8" spans="1:8" x14ac:dyDescent="0.2">
      <c r="A8" s="13">
        <f t="shared" ca="1" si="0"/>
        <v>44139</v>
      </c>
      <c r="B8" s="26">
        <v>0.46889999999999998</v>
      </c>
      <c r="C8" s="27" t="s">
        <v>1418</v>
      </c>
      <c r="D8" s="28">
        <v>430</v>
      </c>
      <c r="F8" s="3" t="s">
        <v>1429</v>
      </c>
    </row>
    <row r="9" spans="1:8" x14ac:dyDescent="0.2">
      <c r="A9" s="13">
        <f t="shared" ca="1" si="0"/>
        <v>44140</v>
      </c>
      <c r="B9" s="26">
        <v>0.58830000000000005</v>
      </c>
      <c r="C9" s="27" t="s">
        <v>1416</v>
      </c>
      <c r="D9" s="28">
        <v>425</v>
      </c>
      <c r="F9" s="3" t="s">
        <v>1430</v>
      </c>
    </row>
    <row r="10" spans="1:8" x14ac:dyDescent="0.2">
      <c r="A10" s="13">
        <f t="shared" ca="1" si="0"/>
        <v>44141</v>
      </c>
      <c r="B10" s="26">
        <v>0.55330000000000001</v>
      </c>
      <c r="C10" s="27" t="s">
        <v>1424</v>
      </c>
      <c r="D10" s="28">
        <v>422</v>
      </c>
      <c r="F10" s="3" t="s">
        <v>1431</v>
      </c>
    </row>
    <row r="11" spans="1:8" x14ac:dyDescent="0.2">
      <c r="A11" s="13">
        <f t="shared" ca="1" si="0"/>
        <v>44142</v>
      </c>
      <c r="B11" s="26">
        <v>0.54320000000000002</v>
      </c>
      <c r="C11" s="27" t="s">
        <v>1418</v>
      </c>
      <c r="D11" s="28">
        <v>423</v>
      </c>
      <c r="F11" s="3" t="s">
        <v>1433</v>
      </c>
    </row>
    <row r="12" spans="1:8" x14ac:dyDescent="0.2">
      <c r="A12" s="13">
        <f t="shared" ca="1" si="0"/>
        <v>44143</v>
      </c>
      <c r="B12" s="26">
        <v>0.56999999999999995</v>
      </c>
      <c r="C12" s="27" t="s">
        <v>1417</v>
      </c>
      <c r="D12" s="28">
        <v>427</v>
      </c>
      <c r="F12" s="3" t="s">
        <v>1432</v>
      </c>
    </row>
    <row r="13" spans="1:8" x14ac:dyDescent="0.2">
      <c r="A13" s="13">
        <f t="shared" ca="1" si="0"/>
        <v>44144</v>
      </c>
      <c r="B13" s="26">
        <v>0.44879999999999998</v>
      </c>
      <c r="C13" s="27" t="s">
        <v>1415</v>
      </c>
      <c r="D13" s="28">
        <v>426</v>
      </c>
    </row>
    <row r="14" spans="1:8" x14ac:dyDescent="0.2">
      <c r="A14" s="13">
        <f t="shared" ca="1" si="0"/>
        <v>44145</v>
      </c>
      <c r="B14" s="26">
        <v>0.56779999999999997</v>
      </c>
      <c r="C14" s="27" t="s">
        <v>1424</v>
      </c>
      <c r="D14" s="28">
        <v>422</v>
      </c>
      <c r="F14" s="8" t="s">
        <v>1605</v>
      </c>
    </row>
    <row r="15" spans="1:8" x14ac:dyDescent="0.2">
      <c r="A15" s="13">
        <f t="shared" ca="1" si="0"/>
        <v>44146</v>
      </c>
      <c r="B15" s="26">
        <v>0.52539999999999998</v>
      </c>
      <c r="C15" s="27" t="s">
        <v>1412</v>
      </c>
      <c r="D15" s="28">
        <v>426</v>
      </c>
      <c r="F15" s="8" t="s">
        <v>1606</v>
      </c>
    </row>
    <row r="16" spans="1:8" x14ac:dyDescent="0.2">
      <c r="A16" s="13">
        <f t="shared" ca="1" si="0"/>
        <v>44147</v>
      </c>
      <c r="B16" s="26">
        <v>0.35849999999999999</v>
      </c>
      <c r="C16" s="27" t="s">
        <v>1424</v>
      </c>
      <c r="D16" s="28">
        <v>436</v>
      </c>
      <c r="F16" s="8" t="s">
        <v>1607</v>
      </c>
    </row>
    <row r="17" spans="1:6" x14ac:dyDescent="0.2">
      <c r="A17" s="13">
        <f t="shared" ca="1" si="0"/>
        <v>44148</v>
      </c>
      <c r="B17" s="26">
        <v>0.4733</v>
      </c>
      <c r="C17" s="27" t="s">
        <v>1426</v>
      </c>
      <c r="D17" s="28">
        <v>434</v>
      </c>
    </row>
    <row r="18" spans="1:6" x14ac:dyDescent="0.2">
      <c r="A18" s="13">
        <f t="shared" ca="1" si="0"/>
        <v>44149</v>
      </c>
      <c r="B18" s="26">
        <v>0.60580000000000001</v>
      </c>
      <c r="C18" s="27" t="s">
        <v>1419</v>
      </c>
      <c r="D18" s="28">
        <v>436</v>
      </c>
      <c r="F18" s="3" t="s">
        <v>1600</v>
      </c>
    </row>
    <row r="19" spans="1:6" x14ac:dyDescent="0.2">
      <c r="A19" s="13">
        <f t="shared" ca="1" si="0"/>
        <v>44150</v>
      </c>
      <c r="B19" s="26">
        <v>0.3538</v>
      </c>
      <c r="C19" s="27" t="s">
        <v>1416</v>
      </c>
      <c r="D19" s="28">
        <v>432</v>
      </c>
      <c r="F19" s="3" t="s">
        <v>1434</v>
      </c>
    </row>
    <row r="20" spans="1:6" x14ac:dyDescent="0.2">
      <c r="A20" s="13">
        <f t="shared" ca="1" si="0"/>
        <v>44151</v>
      </c>
      <c r="B20" s="26">
        <v>0.50070000000000003</v>
      </c>
      <c r="C20" s="27" t="s">
        <v>1412</v>
      </c>
      <c r="D20" s="28">
        <v>430</v>
      </c>
    </row>
    <row r="21" spans="1:6" x14ac:dyDescent="0.2">
      <c r="A21" s="13">
        <f t="shared" ca="1" si="0"/>
        <v>44152</v>
      </c>
      <c r="B21" s="26">
        <v>0.49630000000000002</v>
      </c>
      <c r="C21" s="27" t="s">
        <v>1419</v>
      </c>
      <c r="D21" s="28">
        <v>420</v>
      </c>
    </row>
    <row r="22" spans="1:6" x14ac:dyDescent="0.2">
      <c r="A22" s="13">
        <f t="shared" ca="1" si="0"/>
        <v>44153</v>
      </c>
      <c r="B22" s="26">
        <v>0.33410000000000001</v>
      </c>
      <c r="C22" s="27" t="s">
        <v>1414</v>
      </c>
      <c r="D22" s="28">
        <v>432</v>
      </c>
    </row>
    <row r="23" spans="1:6" x14ac:dyDescent="0.2">
      <c r="A23" s="13">
        <f t="shared" ca="1" si="0"/>
        <v>44154</v>
      </c>
      <c r="B23" s="26">
        <v>0.66320000000000001</v>
      </c>
      <c r="C23" s="27" t="s">
        <v>1420</v>
      </c>
      <c r="D23" s="28">
        <v>428</v>
      </c>
    </row>
    <row r="24" spans="1:6" x14ac:dyDescent="0.2">
      <c r="A24" s="13">
        <f t="shared" ca="1" si="0"/>
        <v>44155</v>
      </c>
      <c r="B24" s="26">
        <v>0.64880000000000004</v>
      </c>
      <c r="C24" s="27" t="s">
        <v>1417</v>
      </c>
      <c r="D24" s="28">
        <v>435</v>
      </c>
    </row>
    <row r="25" spans="1:6" x14ac:dyDescent="0.2">
      <c r="A25" s="13">
        <f t="shared" ca="1" si="0"/>
        <v>44156</v>
      </c>
      <c r="B25" s="26">
        <v>0.66</v>
      </c>
      <c r="C25" s="27" t="s">
        <v>1424</v>
      </c>
      <c r="D25" s="28">
        <v>425</v>
      </c>
    </row>
    <row r="26" spans="1:6" x14ac:dyDescent="0.2">
      <c r="A26" s="13">
        <f t="shared" ca="1" si="0"/>
        <v>44157</v>
      </c>
      <c r="B26" s="26">
        <v>0.48139999999999999</v>
      </c>
      <c r="C26" s="27" t="s">
        <v>1417</v>
      </c>
      <c r="D26" s="28">
        <v>433</v>
      </c>
    </row>
    <row r="27" spans="1:6" x14ac:dyDescent="0.2">
      <c r="A27" s="13">
        <f t="shared" ca="1" si="0"/>
        <v>44158</v>
      </c>
      <c r="B27" s="26">
        <v>0.51949999999999996</v>
      </c>
      <c r="C27" s="27" t="s">
        <v>1425</v>
      </c>
      <c r="D27" s="28">
        <v>430</v>
      </c>
    </row>
    <row r="28" spans="1:6" x14ac:dyDescent="0.2">
      <c r="A28" s="13">
        <f t="shared" ca="1" si="0"/>
        <v>44159</v>
      </c>
      <c r="B28" s="26">
        <v>0.43990000000000001</v>
      </c>
      <c r="C28" s="27" t="s">
        <v>1416</v>
      </c>
      <c r="D28" s="28">
        <v>420</v>
      </c>
    </row>
    <row r="29" spans="1:6" x14ac:dyDescent="0.2">
      <c r="A29" s="13">
        <f t="shared" ca="1" si="0"/>
        <v>44160</v>
      </c>
      <c r="B29" s="26">
        <v>0.4083</v>
      </c>
      <c r="C29" s="27" t="s">
        <v>1419</v>
      </c>
      <c r="D29" s="28">
        <v>422</v>
      </c>
    </row>
    <row r="30" spans="1:6" x14ac:dyDescent="0.2">
      <c r="A30" s="13">
        <f t="shared" ca="1" si="0"/>
        <v>44161</v>
      </c>
      <c r="B30" s="26">
        <v>0.3957</v>
      </c>
      <c r="C30" s="27" t="s">
        <v>1414</v>
      </c>
      <c r="D30" s="28">
        <v>428</v>
      </c>
    </row>
    <row r="31" spans="1:6" x14ac:dyDescent="0.2">
      <c r="A31" s="13">
        <f t="shared" ca="1" si="0"/>
        <v>44162</v>
      </c>
      <c r="B31" s="26">
        <v>0.57520000000000004</v>
      </c>
      <c r="C31" s="27" t="s">
        <v>1416</v>
      </c>
      <c r="D31" s="28">
        <v>420</v>
      </c>
    </row>
    <row r="32" spans="1:6" x14ac:dyDescent="0.2">
      <c r="A32" s="13">
        <f t="shared" ca="1" si="0"/>
        <v>44163</v>
      </c>
      <c r="B32" s="26">
        <v>0.43940000000000001</v>
      </c>
      <c r="C32" s="27" t="s">
        <v>1422</v>
      </c>
      <c r="D32" s="28">
        <v>435</v>
      </c>
    </row>
    <row r="33" spans="1:4" x14ac:dyDescent="0.2">
      <c r="A33" s="13">
        <f t="shared" ca="1" si="0"/>
        <v>44164</v>
      </c>
      <c r="B33" s="26">
        <v>0.3659</v>
      </c>
      <c r="C33" s="27" t="s">
        <v>1418</v>
      </c>
      <c r="D33" s="28">
        <v>436</v>
      </c>
    </row>
    <row r="34" spans="1:4" x14ac:dyDescent="0.2">
      <c r="A34" s="13">
        <f t="shared" ca="1" si="0"/>
        <v>44165</v>
      </c>
      <c r="B34" s="26">
        <v>0.51349999999999996</v>
      </c>
      <c r="C34" s="27" t="s">
        <v>1425</v>
      </c>
      <c r="D34" s="28">
        <v>436</v>
      </c>
    </row>
    <row r="35" spans="1:4" x14ac:dyDescent="0.2">
      <c r="A35" s="13">
        <f t="shared" ca="1" si="0"/>
        <v>44166</v>
      </c>
      <c r="B35" s="26">
        <v>0.47299999999999998</v>
      </c>
      <c r="C35" s="27" t="s">
        <v>1419</v>
      </c>
      <c r="D35" s="28">
        <v>436</v>
      </c>
    </row>
    <row r="36" spans="1:4" x14ac:dyDescent="0.2">
      <c r="A36" s="13">
        <f t="shared" ca="1" si="0"/>
        <v>44167</v>
      </c>
      <c r="B36" s="26">
        <v>0.4632</v>
      </c>
      <c r="C36" s="27" t="s">
        <v>1423</v>
      </c>
      <c r="D36" s="28">
        <v>421</v>
      </c>
    </row>
    <row r="37" spans="1:4" x14ac:dyDescent="0.2">
      <c r="A37" s="13">
        <f t="shared" ca="1" si="0"/>
        <v>44168</v>
      </c>
      <c r="B37" s="26">
        <v>0.38290000000000002</v>
      </c>
      <c r="C37" s="27" t="s">
        <v>1424</v>
      </c>
      <c r="D37" s="28">
        <v>431</v>
      </c>
    </row>
    <row r="38" spans="1:4" x14ac:dyDescent="0.2">
      <c r="A38" s="13">
        <f t="shared" ca="1" si="0"/>
        <v>44169</v>
      </c>
      <c r="B38" s="26">
        <v>0.4088</v>
      </c>
      <c r="C38" s="27" t="s">
        <v>1423</v>
      </c>
      <c r="D38" s="28">
        <v>429</v>
      </c>
    </row>
    <row r="39" spans="1:4" x14ac:dyDescent="0.2">
      <c r="A39" s="13">
        <f t="shared" ca="1" si="0"/>
        <v>44170</v>
      </c>
      <c r="B39" s="26">
        <v>0.55069999999999997</v>
      </c>
      <c r="C39" s="27" t="s">
        <v>1423</v>
      </c>
      <c r="D39" s="28">
        <v>426</v>
      </c>
    </row>
    <row r="40" spans="1:4" x14ac:dyDescent="0.2">
      <c r="A40" s="13">
        <f t="shared" ca="1" si="0"/>
        <v>44171</v>
      </c>
      <c r="B40" s="26">
        <v>0.60170000000000001</v>
      </c>
      <c r="C40" s="27" t="s">
        <v>1413</v>
      </c>
      <c r="D40" s="28">
        <v>431</v>
      </c>
    </row>
    <row r="41" spans="1:4" x14ac:dyDescent="0.2">
      <c r="A41" s="13">
        <f t="shared" ca="1" si="0"/>
        <v>44172</v>
      </c>
      <c r="B41" s="26">
        <v>0.57699999999999996</v>
      </c>
      <c r="C41" s="27" t="s">
        <v>1416</v>
      </c>
      <c r="D41" s="28">
        <v>434</v>
      </c>
    </row>
    <row r="42" spans="1:4" x14ac:dyDescent="0.2">
      <c r="A42" s="13">
        <f t="shared" ca="1" si="0"/>
        <v>44173</v>
      </c>
      <c r="B42" s="26">
        <v>0.5796</v>
      </c>
      <c r="C42" s="27" t="s">
        <v>1421</v>
      </c>
      <c r="D42" s="28">
        <v>436</v>
      </c>
    </row>
    <row r="43" spans="1:4" x14ac:dyDescent="0.2">
      <c r="A43" s="13">
        <f t="shared" ca="1" si="0"/>
        <v>44174</v>
      </c>
      <c r="B43" s="26">
        <v>0.45889999999999997</v>
      </c>
      <c r="C43" s="27" t="s">
        <v>1426</v>
      </c>
      <c r="D43" s="28">
        <v>435</v>
      </c>
    </row>
    <row r="44" spans="1:4" x14ac:dyDescent="0.2">
      <c r="A44" s="13">
        <f t="shared" ca="1" si="0"/>
        <v>44175</v>
      </c>
      <c r="B44" s="26">
        <v>0.4133</v>
      </c>
      <c r="C44" s="27" t="s">
        <v>1413</v>
      </c>
      <c r="D44" s="28">
        <v>436</v>
      </c>
    </row>
    <row r="45" spans="1:4" x14ac:dyDescent="0.2">
      <c r="A45" s="13">
        <f t="shared" ca="1" si="0"/>
        <v>44176</v>
      </c>
      <c r="B45" s="26">
        <v>0.52769999999999995</v>
      </c>
      <c r="C45" s="27" t="s">
        <v>1426</v>
      </c>
      <c r="D45" s="28">
        <v>428</v>
      </c>
    </row>
    <row r="46" spans="1:4" x14ac:dyDescent="0.2">
      <c r="A46" s="13">
        <f t="shared" ca="1" si="0"/>
        <v>44177</v>
      </c>
      <c r="B46" s="26">
        <v>0.57940000000000003</v>
      </c>
      <c r="C46" s="27" t="s">
        <v>1413</v>
      </c>
      <c r="D46" s="28">
        <v>428</v>
      </c>
    </row>
    <row r="47" spans="1:4" x14ac:dyDescent="0.2">
      <c r="A47" s="13">
        <f t="shared" ca="1" si="0"/>
        <v>44178</v>
      </c>
      <c r="B47" s="26">
        <v>0.60389999999999999</v>
      </c>
      <c r="C47" s="27" t="s">
        <v>1424</v>
      </c>
      <c r="D47" s="28">
        <v>421</v>
      </c>
    </row>
    <row r="48" spans="1:4" x14ac:dyDescent="0.2">
      <c r="A48" s="13">
        <f t="shared" ca="1" si="0"/>
        <v>44179</v>
      </c>
      <c r="B48" s="26">
        <v>0.3715</v>
      </c>
      <c r="C48" s="27" t="s">
        <v>1414</v>
      </c>
      <c r="D48" s="28">
        <v>435</v>
      </c>
    </row>
    <row r="49" spans="1:4" x14ac:dyDescent="0.2">
      <c r="A49" s="13">
        <f t="shared" ca="1" si="0"/>
        <v>44180</v>
      </c>
      <c r="B49" s="26">
        <v>0.54290000000000005</v>
      </c>
      <c r="C49" s="27" t="s">
        <v>1426</v>
      </c>
      <c r="D49" s="28">
        <v>427</v>
      </c>
    </row>
    <row r="50" spans="1:4" x14ac:dyDescent="0.2">
      <c r="A50" s="13">
        <f t="shared" ca="1" si="0"/>
        <v>44181</v>
      </c>
      <c r="B50" s="26">
        <v>0.61670000000000003</v>
      </c>
      <c r="C50" s="27" t="s">
        <v>1413</v>
      </c>
      <c r="D50" s="28">
        <v>431</v>
      </c>
    </row>
    <row r="51" spans="1:4" x14ac:dyDescent="0.2">
      <c r="A51" s="13">
        <f t="shared" ca="1" si="0"/>
        <v>44182</v>
      </c>
      <c r="B51" s="26">
        <v>0.41510000000000002</v>
      </c>
      <c r="C51" s="27" t="s">
        <v>1423</v>
      </c>
      <c r="D51" s="28">
        <v>422</v>
      </c>
    </row>
    <row r="52" spans="1:4" x14ac:dyDescent="0.2">
      <c r="A52" s="13">
        <f t="shared" ca="1" si="0"/>
        <v>44183</v>
      </c>
      <c r="B52" s="26">
        <v>0.50829999999999997</v>
      </c>
      <c r="C52" s="27" t="s">
        <v>1424</v>
      </c>
      <c r="D52" s="28">
        <v>433</v>
      </c>
    </row>
    <row r="53" spans="1:4" x14ac:dyDescent="0.2">
      <c r="A53" s="13">
        <f t="shared" ca="1" si="0"/>
        <v>44184</v>
      </c>
      <c r="B53" s="26">
        <v>0.63919999999999999</v>
      </c>
      <c r="C53" s="27" t="s">
        <v>1414</v>
      </c>
      <c r="D53" s="28">
        <v>429</v>
      </c>
    </row>
    <row r="54" spans="1:4" x14ac:dyDescent="0.2">
      <c r="A54" s="13">
        <f t="shared" ca="1" si="0"/>
        <v>44185</v>
      </c>
      <c r="B54" s="26">
        <v>0.40699999999999997</v>
      </c>
      <c r="C54" s="27" t="s">
        <v>1421</v>
      </c>
      <c r="D54" s="28">
        <v>427</v>
      </c>
    </row>
    <row r="55" spans="1:4" x14ac:dyDescent="0.2">
      <c r="A55" s="13">
        <f t="shared" ca="1" si="0"/>
        <v>44186</v>
      </c>
      <c r="B55" s="26">
        <v>0.3649</v>
      </c>
      <c r="C55" s="27" t="s">
        <v>1413</v>
      </c>
      <c r="D55" s="28">
        <v>436</v>
      </c>
    </row>
    <row r="56" spans="1:4" x14ac:dyDescent="0.2">
      <c r="A56" s="13">
        <f t="shared" ca="1" si="0"/>
        <v>44187</v>
      </c>
      <c r="B56" s="26">
        <v>0.55069999999999997</v>
      </c>
      <c r="C56" s="27" t="s">
        <v>1424</v>
      </c>
      <c r="D56" s="28">
        <v>422</v>
      </c>
    </row>
    <row r="57" spans="1:4" x14ac:dyDescent="0.2">
      <c r="A57" s="13">
        <f t="shared" ca="1" si="0"/>
        <v>44188</v>
      </c>
      <c r="B57" s="26">
        <v>0.5333</v>
      </c>
      <c r="C57" s="27" t="s">
        <v>1426</v>
      </c>
      <c r="D57" s="28">
        <v>432</v>
      </c>
    </row>
    <row r="58" spans="1:4" x14ac:dyDescent="0.2">
      <c r="A58" s="13">
        <f t="shared" ca="1" si="0"/>
        <v>44189</v>
      </c>
      <c r="B58" s="26">
        <v>0.35580000000000001</v>
      </c>
      <c r="C58" s="27" t="s">
        <v>1414</v>
      </c>
      <c r="D58" s="28">
        <v>424</v>
      </c>
    </row>
    <row r="59" spans="1:4" x14ac:dyDescent="0.2">
      <c r="A59" s="13">
        <f t="shared" ca="1" si="0"/>
        <v>44190</v>
      </c>
      <c r="B59" s="26">
        <v>0.56330000000000002</v>
      </c>
      <c r="C59" s="27" t="s">
        <v>1424</v>
      </c>
      <c r="D59" s="28">
        <v>428</v>
      </c>
    </row>
    <row r="60" spans="1:4" x14ac:dyDescent="0.2">
      <c r="A60" s="13">
        <f t="shared" ca="1" si="0"/>
        <v>44191</v>
      </c>
      <c r="B60" s="26">
        <v>0.6452</v>
      </c>
      <c r="C60" s="27" t="s">
        <v>1426</v>
      </c>
      <c r="D60" s="28">
        <v>429</v>
      </c>
    </row>
    <row r="61" spans="1:4" x14ac:dyDescent="0.2">
      <c r="A61" s="13">
        <f t="shared" ca="1" si="0"/>
        <v>44192</v>
      </c>
      <c r="B61" s="26">
        <v>0.3705</v>
      </c>
      <c r="C61" s="27" t="s">
        <v>1424</v>
      </c>
      <c r="D61" s="28">
        <v>435</v>
      </c>
    </row>
    <row r="62" spans="1:4" x14ac:dyDescent="0.2">
      <c r="A62" s="13">
        <f t="shared" ca="1" si="0"/>
        <v>44193</v>
      </c>
      <c r="B62" s="26">
        <v>0.62239999999999995</v>
      </c>
      <c r="C62" s="27" t="s">
        <v>1416</v>
      </c>
      <c r="D62" s="28">
        <v>436</v>
      </c>
    </row>
    <row r="63" spans="1:4" x14ac:dyDescent="0.2">
      <c r="A63" s="13">
        <f t="shared" ca="1" si="0"/>
        <v>44194</v>
      </c>
      <c r="B63" s="26">
        <v>0.63380000000000003</v>
      </c>
      <c r="C63" s="27" t="s">
        <v>1424</v>
      </c>
      <c r="D63" s="28">
        <v>429</v>
      </c>
    </row>
    <row r="64" spans="1:4" x14ac:dyDescent="0.2">
      <c r="A64" s="13">
        <f t="shared" ca="1" si="0"/>
        <v>44195</v>
      </c>
      <c r="B64" s="26">
        <v>0.55700000000000005</v>
      </c>
      <c r="C64" s="27" t="s">
        <v>1414</v>
      </c>
      <c r="D64" s="28">
        <v>430</v>
      </c>
    </row>
    <row r="65" spans="1:4" x14ac:dyDescent="0.2">
      <c r="A65" s="13">
        <f t="shared" ca="1" si="0"/>
        <v>44196</v>
      </c>
      <c r="B65" s="26">
        <v>0.62539999999999996</v>
      </c>
      <c r="C65" s="27" t="s">
        <v>1418</v>
      </c>
      <c r="D65" s="28">
        <v>434</v>
      </c>
    </row>
    <row r="66" spans="1:4" x14ac:dyDescent="0.2">
      <c r="A66" s="13">
        <f t="shared" ref="A66:A129" ca="1" si="1">TODAY()-(505-ROW())</f>
        <v>44197</v>
      </c>
      <c r="B66" s="26">
        <v>0.45950000000000002</v>
      </c>
      <c r="C66" s="27" t="s">
        <v>1426</v>
      </c>
      <c r="D66" s="28">
        <v>429</v>
      </c>
    </row>
    <row r="67" spans="1:4" x14ac:dyDescent="0.2">
      <c r="A67" s="13">
        <f t="shared" ca="1" si="1"/>
        <v>44198</v>
      </c>
      <c r="B67" s="26">
        <v>0.41980000000000001</v>
      </c>
      <c r="C67" s="27" t="s">
        <v>1416</v>
      </c>
      <c r="D67" s="28">
        <v>422</v>
      </c>
    </row>
    <row r="68" spans="1:4" x14ac:dyDescent="0.2">
      <c r="A68" s="13">
        <f t="shared" ca="1" si="1"/>
        <v>44199</v>
      </c>
      <c r="B68" s="26">
        <v>0.34289999999999998</v>
      </c>
      <c r="C68" s="27" t="s">
        <v>1419</v>
      </c>
      <c r="D68" s="28">
        <v>433</v>
      </c>
    </row>
    <row r="69" spans="1:4" x14ac:dyDescent="0.2">
      <c r="A69" s="13">
        <f t="shared" ca="1" si="1"/>
        <v>44200</v>
      </c>
      <c r="B69" s="26">
        <v>0.47920000000000001</v>
      </c>
      <c r="C69" s="27" t="s">
        <v>1418</v>
      </c>
      <c r="D69" s="28">
        <v>428</v>
      </c>
    </row>
    <row r="70" spans="1:4" x14ac:dyDescent="0.2">
      <c r="A70" s="13">
        <f t="shared" ca="1" si="1"/>
        <v>44201</v>
      </c>
      <c r="B70" s="26">
        <v>0.38269999999999998</v>
      </c>
      <c r="C70" s="27" t="s">
        <v>1417</v>
      </c>
      <c r="D70" s="28">
        <v>423</v>
      </c>
    </row>
    <row r="71" spans="1:4" x14ac:dyDescent="0.2">
      <c r="A71" s="13">
        <f t="shared" ca="1" si="1"/>
        <v>44202</v>
      </c>
      <c r="B71" s="26">
        <v>0.61409999999999998</v>
      </c>
      <c r="C71" s="27" t="s">
        <v>1426</v>
      </c>
      <c r="D71" s="28">
        <v>425</v>
      </c>
    </row>
    <row r="72" spans="1:4" x14ac:dyDescent="0.2">
      <c r="A72" s="13">
        <f t="shared" ca="1" si="1"/>
        <v>44203</v>
      </c>
      <c r="B72" s="26">
        <v>0.47860000000000003</v>
      </c>
      <c r="C72" s="27" t="s">
        <v>1426</v>
      </c>
      <c r="D72" s="28">
        <v>425</v>
      </c>
    </row>
    <row r="73" spans="1:4" x14ac:dyDescent="0.2">
      <c r="A73" s="13">
        <f t="shared" ca="1" si="1"/>
        <v>44204</v>
      </c>
      <c r="B73" s="26">
        <v>0.57240000000000002</v>
      </c>
      <c r="C73" s="27" t="s">
        <v>1417</v>
      </c>
      <c r="D73" s="28">
        <v>428</v>
      </c>
    </row>
    <row r="74" spans="1:4" x14ac:dyDescent="0.2">
      <c r="A74" s="13">
        <f t="shared" ca="1" si="1"/>
        <v>44205</v>
      </c>
      <c r="B74" s="26">
        <v>0.65</v>
      </c>
      <c r="C74" s="27" t="s">
        <v>1413</v>
      </c>
      <c r="D74" s="28">
        <v>420</v>
      </c>
    </row>
    <row r="75" spans="1:4" x14ac:dyDescent="0.2">
      <c r="A75" s="13">
        <f t="shared" ca="1" si="1"/>
        <v>44206</v>
      </c>
      <c r="B75" s="26">
        <v>0.54430000000000001</v>
      </c>
      <c r="C75" s="27" t="s">
        <v>1422</v>
      </c>
      <c r="D75" s="28">
        <v>425</v>
      </c>
    </row>
    <row r="76" spans="1:4" x14ac:dyDescent="0.2">
      <c r="A76" s="13">
        <f t="shared" ca="1" si="1"/>
        <v>44207</v>
      </c>
      <c r="B76" s="26">
        <v>0.39179999999999998</v>
      </c>
      <c r="C76" s="27" t="s">
        <v>1424</v>
      </c>
      <c r="D76" s="28">
        <v>421</v>
      </c>
    </row>
    <row r="77" spans="1:4" x14ac:dyDescent="0.2">
      <c r="A77" s="13">
        <f t="shared" ca="1" si="1"/>
        <v>44208</v>
      </c>
      <c r="B77" s="26">
        <v>0.65910000000000002</v>
      </c>
      <c r="C77" s="27" t="s">
        <v>1424</v>
      </c>
      <c r="D77" s="28">
        <v>432</v>
      </c>
    </row>
    <row r="78" spans="1:4" x14ac:dyDescent="0.2">
      <c r="A78" s="13">
        <f t="shared" ca="1" si="1"/>
        <v>44209</v>
      </c>
      <c r="B78" s="26">
        <v>0.52359999999999995</v>
      </c>
      <c r="C78" s="27" t="s">
        <v>1416</v>
      </c>
      <c r="D78" s="28">
        <v>424</v>
      </c>
    </row>
    <row r="79" spans="1:4" x14ac:dyDescent="0.2">
      <c r="A79" s="13">
        <f t="shared" ca="1" si="1"/>
        <v>44210</v>
      </c>
      <c r="B79" s="26">
        <v>0.56830000000000003</v>
      </c>
      <c r="C79" s="27" t="s">
        <v>1422</v>
      </c>
      <c r="D79" s="28">
        <v>426</v>
      </c>
    </row>
    <row r="80" spans="1:4" x14ac:dyDescent="0.2">
      <c r="A80" s="13">
        <f t="shared" ca="1" si="1"/>
        <v>44211</v>
      </c>
      <c r="B80" s="26">
        <v>0.53069999999999995</v>
      </c>
      <c r="C80" s="27" t="s">
        <v>1416</v>
      </c>
      <c r="D80" s="28">
        <v>426</v>
      </c>
    </row>
    <row r="81" spans="1:4" x14ac:dyDescent="0.2">
      <c r="A81" s="13">
        <f t="shared" ca="1" si="1"/>
        <v>44212</v>
      </c>
      <c r="B81" s="26">
        <v>0.36919999999999997</v>
      </c>
      <c r="C81" s="27" t="s">
        <v>1416</v>
      </c>
      <c r="D81" s="28">
        <v>432</v>
      </c>
    </row>
    <row r="82" spans="1:4" x14ac:dyDescent="0.2">
      <c r="A82" s="13">
        <f t="shared" ca="1" si="1"/>
        <v>44213</v>
      </c>
      <c r="B82" s="26">
        <v>0.64559999999999995</v>
      </c>
      <c r="C82" s="27" t="s">
        <v>1416</v>
      </c>
      <c r="D82" s="28">
        <v>435</v>
      </c>
    </row>
    <row r="83" spans="1:4" x14ac:dyDescent="0.2">
      <c r="A83" s="13">
        <f t="shared" ca="1" si="1"/>
        <v>44214</v>
      </c>
      <c r="B83" s="26">
        <v>0.63980000000000004</v>
      </c>
      <c r="C83" s="27" t="s">
        <v>1422</v>
      </c>
      <c r="D83" s="28">
        <v>431</v>
      </c>
    </row>
    <row r="84" spans="1:4" x14ac:dyDescent="0.2">
      <c r="A84" s="13">
        <f t="shared" ca="1" si="1"/>
        <v>44215</v>
      </c>
      <c r="B84" s="26">
        <v>0.34810000000000002</v>
      </c>
      <c r="C84" s="27" t="s">
        <v>1423</v>
      </c>
      <c r="D84" s="28">
        <v>434</v>
      </c>
    </row>
    <row r="85" spans="1:4" x14ac:dyDescent="0.2">
      <c r="A85" s="13">
        <f t="shared" ca="1" si="1"/>
        <v>44216</v>
      </c>
      <c r="B85" s="26">
        <v>0.59289999999999998</v>
      </c>
      <c r="C85" s="27" t="s">
        <v>1424</v>
      </c>
      <c r="D85" s="28">
        <v>427</v>
      </c>
    </row>
    <row r="86" spans="1:4" x14ac:dyDescent="0.2">
      <c r="A86" s="13">
        <f t="shared" ca="1" si="1"/>
        <v>44217</v>
      </c>
      <c r="B86" s="26">
        <v>0.42849999999999999</v>
      </c>
      <c r="C86" s="27" t="s">
        <v>1422</v>
      </c>
      <c r="D86" s="28">
        <v>430</v>
      </c>
    </row>
    <row r="87" spans="1:4" x14ac:dyDescent="0.2">
      <c r="A87" s="13">
        <f t="shared" ca="1" si="1"/>
        <v>44218</v>
      </c>
      <c r="B87" s="26">
        <v>0.5292</v>
      </c>
      <c r="C87" s="27" t="s">
        <v>1418</v>
      </c>
      <c r="D87" s="28">
        <v>422</v>
      </c>
    </row>
    <row r="88" spans="1:4" x14ac:dyDescent="0.2">
      <c r="A88" s="13">
        <f t="shared" ca="1" si="1"/>
        <v>44219</v>
      </c>
      <c r="B88" s="26">
        <v>0.53990000000000005</v>
      </c>
      <c r="C88" s="27" t="s">
        <v>1419</v>
      </c>
      <c r="D88" s="28">
        <v>433</v>
      </c>
    </row>
    <row r="89" spans="1:4" x14ac:dyDescent="0.2">
      <c r="A89" s="13">
        <f t="shared" ca="1" si="1"/>
        <v>44220</v>
      </c>
      <c r="B89" s="26">
        <v>0.3679</v>
      </c>
      <c r="C89" s="27" t="s">
        <v>1416</v>
      </c>
      <c r="D89" s="28">
        <v>427</v>
      </c>
    </row>
    <row r="90" spans="1:4" x14ac:dyDescent="0.2">
      <c r="A90" s="13">
        <f t="shared" ca="1" si="1"/>
        <v>44221</v>
      </c>
      <c r="B90" s="26">
        <v>0.52939999999999998</v>
      </c>
      <c r="C90" s="27" t="s">
        <v>1421</v>
      </c>
      <c r="D90" s="28">
        <v>424</v>
      </c>
    </row>
    <row r="91" spans="1:4" x14ac:dyDescent="0.2">
      <c r="A91" s="13">
        <f t="shared" ca="1" si="1"/>
        <v>44222</v>
      </c>
      <c r="B91" s="26">
        <v>0.49880000000000002</v>
      </c>
      <c r="C91" s="27" t="s">
        <v>1414</v>
      </c>
      <c r="D91" s="28">
        <v>430</v>
      </c>
    </row>
    <row r="92" spans="1:4" x14ac:dyDescent="0.2">
      <c r="A92" s="13">
        <f t="shared" ca="1" si="1"/>
        <v>44223</v>
      </c>
      <c r="B92" s="26">
        <v>0.45839999999999997</v>
      </c>
      <c r="C92" s="27" t="s">
        <v>1424</v>
      </c>
      <c r="D92" s="28">
        <v>429</v>
      </c>
    </row>
    <row r="93" spans="1:4" x14ac:dyDescent="0.2">
      <c r="A93" s="13">
        <f t="shared" ca="1" si="1"/>
        <v>44224</v>
      </c>
      <c r="B93" s="26">
        <v>0.50229999999999997</v>
      </c>
      <c r="C93" s="27" t="s">
        <v>1426</v>
      </c>
      <c r="D93" s="28">
        <v>434</v>
      </c>
    </row>
    <row r="94" spans="1:4" x14ac:dyDescent="0.2">
      <c r="A94" s="13">
        <f t="shared" ca="1" si="1"/>
        <v>44225</v>
      </c>
      <c r="B94" s="26">
        <v>0.52049999999999996</v>
      </c>
      <c r="C94" s="27" t="s">
        <v>1416</v>
      </c>
      <c r="D94" s="28">
        <v>435</v>
      </c>
    </row>
    <row r="95" spans="1:4" x14ac:dyDescent="0.2">
      <c r="A95" s="13">
        <f t="shared" ca="1" si="1"/>
        <v>44226</v>
      </c>
      <c r="B95" s="26">
        <v>0.34420000000000001</v>
      </c>
      <c r="C95" s="27" t="s">
        <v>1412</v>
      </c>
      <c r="D95" s="28">
        <v>434</v>
      </c>
    </row>
    <row r="96" spans="1:4" x14ac:dyDescent="0.2">
      <c r="A96" s="13">
        <f t="shared" ca="1" si="1"/>
        <v>44227</v>
      </c>
      <c r="B96" s="26">
        <v>0.43709999999999999</v>
      </c>
      <c r="C96" s="27" t="s">
        <v>1420</v>
      </c>
      <c r="D96" s="28">
        <v>420</v>
      </c>
    </row>
    <row r="97" spans="1:4" x14ac:dyDescent="0.2">
      <c r="A97" s="13">
        <f t="shared" ca="1" si="1"/>
        <v>44228</v>
      </c>
      <c r="B97" s="26">
        <v>0.65059999999999996</v>
      </c>
      <c r="C97" s="27" t="s">
        <v>1425</v>
      </c>
      <c r="D97" s="28">
        <v>424</v>
      </c>
    </row>
    <row r="98" spans="1:4" x14ac:dyDescent="0.2">
      <c r="A98" s="13">
        <f t="shared" ca="1" si="1"/>
        <v>44229</v>
      </c>
      <c r="B98" s="26">
        <v>0.62919999999999998</v>
      </c>
      <c r="C98" s="27" t="s">
        <v>1418</v>
      </c>
      <c r="D98" s="28">
        <v>434</v>
      </c>
    </row>
    <row r="99" spans="1:4" x14ac:dyDescent="0.2">
      <c r="A99" s="13">
        <f t="shared" ca="1" si="1"/>
        <v>44230</v>
      </c>
      <c r="B99" s="26">
        <v>0.54379999999999995</v>
      </c>
      <c r="C99" s="27" t="s">
        <v>1417</v>
      </c>
      <c r="D99" s="28">
        <v>427</v>
      </c>
    </row>
    <row r="100" spans="1:4" x14ac:dyDescent="0.2">
      <c r="A100" s="13">
        <f t="shared" ca="1" si="1"/>
        <v>44231</v>
      </c>
      <c r="B100" s="26">
        <v>0.62849999999999995</v>
      </c>
      <c r="C100" s="27" t="s">
        <v>1426</v>
      </c>
      <c r="D100" s="28">
        <v>435</v>
      </c>
    </row>
    <row r="101" spans="1:4" x14ac:dyDescent="0.2">
      <c r="A101" s="13">
        <f t="shared" ca="1" si="1"/>
        <v>44232</v>
      </c>
      <c r="B101" s="26">
        <v>0.61</v>
      </c>
      <c r="C101" s="27" t="s">
        <v>1420</v>
      </c>
      <c r="D101" s="28">
        <v>433</v>
      </c>
    </row>
    <row r="102" spans="1:4" x14ac:dyDescent="0.2">
      <c r="A102" s="13">
        <f t="shared" ca="1" si="1"/>
        <v>44233</v>
      </c>
      <c r="B102" s="26">
        <v>0.3997</v>
      </c>
      <c r="C102" s="27" t="s">
        <v>1413</v>
      </c>
      <c r="D102" s="28">
        <v>435</v>
      </c>
    </row>
    <row r="103" spans="1:4" x14ac:dyDescent="0.2">
      <c r="A103" s="13">
        <f t="shared" ca="1" si="1"/>
        <v>44234</v>
      </c>
      <c r="B103" s="26">
        <v>0.60609999999999997</v>
      </c>
      <c r="C103" s="27" t="s">
        <v>1413</v>
      </c>
      <c r="D103" s="28">
        <v>429</v>
      </c>
    </row>
    <row r="104" spans="1:4" x14ac:dyDescent="0.2">
      <c r="A104" s="13">
        <f t="shared" ca="1" si="1"/>
        <v>44235</v>
      </c>
      <c r="B104" s="26">
        <v>0.43469999999999998</v>
      </c>
      <c r="C104" s="27" t="s">
        <v>1423</v>
      </c>
      <c r="D104" s="28">
        <v>422</v>
      </c>
    </row>
    <row r="105" spans="1:4" x14ac:dyDescent="0.2">
      <c r="A105" s="13">
        <f t="shared" ca="1" si="1"/>
        <v>44236</v>
      </c>
      <c r="B105" s="26">
        <v>0.4617</v>
      </c>
      <c r="C105" s="27" t="s">
        <v>1419</v>
      </c>
      <c r="D105" s="28">
        <v>431</v>
      </c>
    </row>
    <row r="106" spans="1:4" x14ac:dyDescent="0.2">
      <c r="A106" s="13">
        <f t="shared" ca="1" si="1"/>
        <v>44237</v>
      </c>
      <c r="B106" s="26">
        <v>0.47139999999999999</v>
      </c>
      <c r="C106" s="27" t="s">
        <v>1414</v>
      </c>
      <c r="D106" s="28">
        <v>433</v>
      </c>
    </row>
    <row r="107" spans="1:4" x14ac:dyDescent="0.2">
      <c r="A107" s="13">
        <f t="shared" ca="1" si="1"/>
        <v>44238</v>
      </c>
      <c r="B107" s="26">
        <v>0.5</v>
      </c>
      <c r="C107" s="27" t="s">
        <v>1422</v>
      </c>
      <c r="D107" s="28">
        <v>430</v>
      </c>
    </row>
    <row r="108" spans="1:4" x14ac:dyDescent="0.2">
      <c r="A108" s="13">
        <f t="shared" ca="1" si="1"/>
        <v>44239</v>
      </c>
      <c r="B108" s="26">
        <v>0.6653</v>
      </c>
      <c r="C108" s="27" t="s">
        <v>1413</v>
      </c>
      <c r="D108" s="28">
        <v>431</v>
      </c>
    </row>
    <row r="109" spans="1:4" x14ac:dyDescent="0.2">
      <c r="A109" s="13">
        <f t="shared" ca="1" si="1"/>
        <v>44240</v>
      </c>
      <c r="B109" s="26">
        <v>0.65959999999999996</v>
      </c>
      <c r="C109" s="27" t="s">
        <v>1424</v>
      </c>
      <c r="D109" s="28">
        <v>434</v>
      </c>
    </row>
    <row r="110" spans="1:4" x14ac:dyDescent="0.2">
      <c r="A110" s="13">
        <f t="shared" ca="1" si="1"/>
        <v>44241</v>
      </c>
      <c r="B110" s="26">
        <v>0.54249999999999998</v>
      </c>
      <c r="C110" s="27" t="s">
        <v>1418</v>
      </c>
      <c r="D110" s="28">
        <v>426</v>
      </c>
    </row>
    <row r="111" spans="1:4" x14ac:dyDescent="0.2">
      <c r="A111" s="13">
        <f t="shared" ca="1" si="1"/>
        <v>44242</v>
      </c>
      <c r="B111" s="26">
        <v>0.375</v>
      </c>
      <c r="C111" s="27" t="s">
        <v>1422</v>
      </c>
      <c r="D111" s="28">
        <v>428</v>
      </c>
    </row>
    <row r="112" spans="1:4" x14ac:dyDescent="0.2">
      <c r="A112" s="13">
        <f t="shared" ca="1" si="1"/>
        <v>44243</v>
      </c>
      <c r="B112" s="26">
        <v>0.43709999999999999</v>
      </c>
      <c r="C112" s="27" t="s">
        <v>1417</v>
      </c>
      <c r="D112" s="28">
        <v>422</v>
      </c>
    </row>
    <row r="113" spans="1:4" x14ac:dyDescent="0.2">
      <c r="A113" s="13">
        <f t="shared" ca="1" si="1"/>
        <v>44244</v>
      </c>
      <c r="B113" s="26">
        <v>0.62619999999999998</v>
      </c>
      <c r="C113" s="27" t="s">
        <v>1423</v>
      </c>
      <c r="D113" s="28">
        <v>434</v>
      </c>
    </row>
    <row r="114" spans="1:4" x14ac:dyDescent="0.2">
      <c r="A114" s="13">
        <f t="shared" ca="1" si="1"/>
        <v>44245</v>
      </c>
      <c r="B114" s="26">
        <v>0.56620000000000004</v>
      </c>
      <c r="C114" s="27" t="s">
        <v>1421</v>
      </c>
      <c r="D114" s="28">
        <v>424</v>
      </c>
    </row>
    <row r="115" spans="1:4" x14ac:dyDescent="0.2">
      <c r="A115" s="13">
        <f t="shared" ca="1" si="1"/>
        <v>44246</v>
      </c>
      <c r="B115" s="26">
        <v>0.62190000000000001</v>
      </c>
      <c r="C115" s="27" t="s">
        <v>1416</v>
      </c>
      <c r="D115" s="28">
        <v>425</v>
      </c>
    </row>
    <row r="116" spans="1:4" x14ac:dyDescent="0.2">
      <c r="A116" s="13">
        <f t="shared" ca="1" si="1"/>
        <v>44247</v>
      </c>
      <c r="B116" s="26">
        <v>0.64070000000000005</v>
      </c>
      <c r="C116" s="27" t="s">
        <v>1413</v>
      </c>
      <c r="D116" s="28">
        <v>429</v>
      </c>
    </row>
    <row r="117" spans="1:4" x14ac:dyDescent="0.2">
      <c r="A117" s="13">
        <f t="shared" ca="1" si="1"/>
        <v>44248</v>
      </c>
      <c r="B117" s="26">
        <v>0.59060000000000001</v>
      </c>
      <c r="C117" s="27" t="s">
        <v>1419</v>
      </c>
      <c r="D117" s="28">
        <v>432</v>
      </c>
    </row>
    <row r="118" spans="1:4" x14ac:dyDescent="0.2">
      <c r="A118" s="13">
        <f t="shared" ca="1" si="1"/>
        <v>44249</v>
      </c>
      <c r="B118" s="26">
        <v>0.5181</v>
      </c>
      <c r="C118" s="27" t="s">
        <v>1420</v>
      </c>
      <c r="D118" s="28">
        <v>430</v>
      </c>
    </row>
    <row r="119" spans="1:4" x14ac:dyDescent="0.2">
      <c r="A119" s="13">
        <f t="shared" ca="1" si="1"/>
        <v>44250</v>
      </c>
      <c r="B119" s="26">
        <v>0.34510000000000002</v>
      </c>
      <c r="C119" s="27" t="s">
        <v>1418</v>
      </c>
      <c r="D119" s="28">
        <v>431</v>
      </c>
    </row>
    <row r="120" spans="1:4" x14ac:dyDescent="0.2">
      <c r="A120" s="13">
        <f t="shared" ca="1" si="1"/>
        <v>44251</v>
      </c>
      <c r="B120" s="26">
        <v>0.45910000000000001</v>
      </c>
      <c r="C120" s="27" t="s">
        <v>1417</v>
      </c>
      <c r="D120" s="28">
        <v>433</v>
      </c>
    </row>
    <row r="121" spans="1:4" x14ac:dyDescent="0.2">
      <c r="A121" s="13">
        <f t="shared" ca="1" si="1"/>
        <v>44252</v>
      </c>
      <c r="B121" s="26">
        <v>0.52239999999999998</v>
      </c>
      <c r="C121" s="27" t="s">
        <v>1420</v>
      </c>
      <c r="D121" s="28">
        <v>435</v>
      </c>
    </row>
    <row r="122" spans="1:4" x14ac:dyDescent="0.2">
      <c r="A122" s="13">
        <f t="shared" ca="1" si="1"/>
        <v>44253</v>
      </c>
      <c r="B122" s="26">
        <v>0.47060000000000002</v>
      </c>
      <c r="C122" s="27" t="s">
        <v>1412</v>
      </c>
      <c r="D122" s="28">
        <v>435</v>
      </c>
    </row>
    <row r="123" spans="1:4" x14ac:dyDescent="0.2">
      <c r="A123" s="13">
        <f t="shared" ca="1" si="1"/>
        <v>44254</v>
      </c>
      <c r="B123" s="26">
        <v>0.40720000000000001</v>
      </c>
      <c r="C123" s="27" t="s">
        <v>1418</v>
      </c>
      <c r="D123" s="28">
        <v>425</v>
      </c>
    </row>
    <row r="124" spans="1:4" x14ac:dyDescent="0.2">
      <c r="A124" s="13">
        <f t="shared" ca="1" si="1"/>
        <v>44255</v>
      </c>
      <c r="B124" s="26">
        <v>0.44209999999999999</v>
      </c>
      <c r="C124" s="27" t="s">
        <v>1420</v>
      </c>
      <c r="D124" s="28">
        <v>435</v>
      </c>
    </row>
    <row r="125" spans="1:4" x14ac:dyDescent="0.2">
      <c r="A125" s="13">
        <f t="shared" ca="1" si="1"/>
        <v>44256</v>
      </c>
      <c r="B125" s="26">
        <v>0.497</v>
      </c>
      <c r="C125" s="27" t="s">
        <v>1425</v>
      </c>
      <c r="D125" s="28">
        <v>422</v>
      </c>
    </row>
    <row r="126" spans="1:4" x14ac:dyDescent="0.2">
      <c r="A126" s="13">
        <f t="shared" ca="1" si="1"/>
        <v>44257</v>
      </c>
      <c r="B126" s="26">
        <v>0.59040000000000004</v>
      </c>
      <c r="C126" s="27" t="s">
        <v>1422</v>
      </c>
      <c r="D126" s="28">
        <v>433</v>
      </c>
    </row>
    <row r="127" spans="1:4" x14ac:dyDescent="0.2">
      <c r="A127" s="13">
        <f t="shared" ca="1" si="1"/>
        <v>44258</v>
      </c>
      <c r="B127" s="26">
        <v>0.36919999999999997</v>
      </c>
      <c r="C127" s="27" t="s">
        <v>1421</v>
      </c>
      <c r="D127" s="28">
        <v>430</v>
      </c>
    </row>
    <row r="128" spans="1:4" x14ac:dyDescent="0.2">
      <c r="A128" s="13">
        <f t="shared" ca="1" si="1"/>
        <v>44259</v>
      </c>
      <c r="B128" s="26">
        <v>0.61970000000000003</v>
      </c>
      <c r="C128" s="27" t="s">
        <v>1426</v>
      </c>
      <c r="D128" s="28">
        <v>430</v>
      </c>
    </row>
    <row r="129" spans="1:4" x14ac:dyDescent="0.2">
      <c r="A129" s="13">
        <f t="shared" ca="1" si="1"/>
        <v>44260</v>
      </c>
      <c r="B129" s="26">
        <v>0.34960000000000002</v>
      </c>
      <c r="C129" s="27" t="s">
        <v>1413</v>
      </c>
      <c r="D129" s="28">
        <v>433</v>
      </c>
    </row>
    <row r="130" spans="1:4" x14ac:dyDescent="0.2">
      <c r="A130" s="13">
        <f t="shared" ref="A130:A193" ca="1" si="2">TODAY()-(505-ROW())</f>
        <v>44261</v>
      </c>
      <c r="B130" s="26">
        <v>0.36430000000000001</v>
      </c>
      <c r="C130" s="27" t="s">
        <v>1424</v>
      </c>
      <c r="D130" s="28">
        <v>421</v>
      </c>
    </row>
    <row r="131" spans="1:4" x14ac:dyDescent="0.2">
      <c r="A131" s="13">
        <f t="shared" ca="1" si="2"/>
        <v>44262</v>
      </c>
      <c r="B131" s="26">
        <v>0.40589999999999998</v>
      </c>
      <c r="C131" s="27" t="s">
        <v>1421</v>
      </c>
      <c r="D131" s="28">
        <v>433</v>
      </c>
    </row>
    <row r="132" spans="1:4" x14ac:dyDescent="0.2">
      <c r="A132" s="13">
        <f t="shared" ca="1" si="2"/>
        <v>44263</v>
      </c>
      <c r="B132" s="26">
        <v>0.38179999999999997</v>
      </c>
      <c r="C132" s="27" t="s">
        <v>1419</v>
      </c>
      <c r="D132" s="28">
        <v>432</v>
      </c>
    </row>
    <row r="133" spans="1:4" x14ac:dyDescent="0.2">
      <c r="A133" s="13">
        <f t="shared" ca="1" si="2"/>
        <v>44264</v>
      </c>
      <c r="B133" s="26">
        <v>0.39200000000000002</v>
      </c>
      <c r="C133" s="27" t="s">
        <v>1424</v>
      </c>
      <c r="D133" s="28">
        <v>422</v>
      </c>
    </row>
    <row r="134" spans="1:4" x14ac:dyDescent="0.2">
      <c r="A134" s="13">
        <f t="shared" ca="1" si="2"/>
        <v>44265</v>
      </c>
      <c r="B134" s="26">
        <v>0.43130000000000002</v>
      </c>
      <c r="C134" s="27" t="s">
        <v>1414</v>
      </c>
      <c r="D134" s="28">
        <v>436</v>
      </c>
    </row>
    <row r="135" spans="1:4" x14ac:dyDescent="0.2">
      <c r="A135" s="13">
        <f t="shared" ca="1" si="2"/>
        <v>44266</v>
      </c>
      <c r="B135" s="26">
        <v>0.62</v>
      </c>
      <c r="C135" s="27" t="s">
        <v>1425</v>
      </c>
      <c r="D135" s="28">
        <v>426</v>
      </c>
    </row>
    <row r="136" spans="1:4" x14ac:dyDescent="0.2">
      <c r="A136" s="13">
        <f t="shared" ca="1" si="2"/>
        <v>44267</v>
      </c>
      <c r="B136" s="26">
        <v>0.44009999999999999</v>
      </c>
      <c r="C136" s="27" t="s">
        <v>1423</v>
      </c>
      <c r="D136" s="28">
        <v>422</v>
      </c>
    </row>
    <row r="137" spans="1:4" x14ac:dyDescent="0.2">
      <c r="A137" s="13">
        <f t="shared" ca="1" si="2"/>
        <v>44268</v>
      </c>
      <c r="B137" s="26">
        <v>0.3488</v>
      </c>
      <c r="C137" s="27" t="s">
        <v>1425</v>
      </c>
      <c r="D137" s="28">
        <v>431</v>
      </c>
    </row>
    <row r="138" spans="1:4" x14ac:dyDescent="0.2">
      <c r="A138" s="13">
        <f t="shared" ca="1" si="2"/>
        <v>44269</v>
      </c>
      <c r="B138" s="26">
        <v>0.45689999999999997</v>
      </c>
      <c r="C138" s="27" t="s">
        <v>1413</v>
      </c>
      <c r="D138" s="28">
        <v>426</v>
      </c>
    </row>
    <row r="139" spans="1:4" x14ac:dyDescent="0.2">
      <c r="A139" s="13">
        <f t="shared" ca="1" si="2"/>
        <v>44270</v>
      </c>
      <c r="B139" s="26">
        <v>0.59199999999999997</v>
      </c>
      <c r="C139" s="27" t="s">
        <v>1424</v>
      </c>
      <c r="D139" s="28">
        <v>423</v>
      </c>
    </row>
    <row r="140" spans="1:4" x14ac:dyDescent="0.2">
      <c r="A140" s="13">
        <f t="shared" ca="1" si="2"/>
        <v>44271</v>
      </c>
      <c r="B140" s="26">
        <v>0.35859999999999997</v>
      </c>
      <c r="C140" s="27" t="s">
        <v>1421</v>
      </c>
      <c r="D140" s="28">
        <v>432</v>
      </c>
    </row>
    <row r="141" spans="1:4" x14ac:dyDescent="0.2">
      <c r="A141" s="13">
        <f t="shared" ca="1" si="2"/>
        <v>44272</v>
      </c>
      <c r="B141" s="26">
        <v>0.39589999999999997</v>
      </c>
      <c r="C141" s="27" t="s">
        <v>1423</v>
      </c>
      <c r="D141" s="28">
        <v>427</v>
      </c>
    </row>
    <row r="142" spans="1:4" x14ac:dyDescent="0.2">
      <c r="A142" s="13">
        <f t="shared" ca="1" si="2"/>
        <v>44273</v>
      </c>
      <c r="B142" s="26">
        <v>0.66039999999999999</v>
      </c>
      <c r="C142" s="27" t="s">
        <v>1424</v>
      </c>
      <c r="D142" s="28">
        <v>431</v>
      </c>
    </row>
    <row r="143" spans="1:4" x14ac:dyDescent="0.2">
      <c r="A143" s="13">
        <f t="shared" ca="1" si="2"/>
        <v>44274</v>
      </c>
      <c r="B143" s="26">
        <v>0.54490000000000005</v>
      </c>
      <c r="C143" s="27" t="s">
        <v>1417</v>
      </c>
      <c r="D143" s="28">
        <v>422</v>
      </c>
    </row>
    <row r="144" spans="1:4" x14ac:dyDescent="0.2">
      <c r="A144" s="13">
        <f t="shared" ca="1" si="2"/>
        <v>44275</v>
      </c>
      <c r="B144" s="26">
        <v>0.5373</v>
      </c>
      <c r="C144" s="27" t="s">
        <v>1426</v>
      </c>
      <c r="D144" s="28">
        <v>436</v>
      </c>
    </row>
    <row r="145" spans="1:4" x14ac:dyDescent="0.2">
      <c r="A145" s="13">
        <f t="shared" ca="1" si="2"/>
        <v>44276</v>
      </c>
      <c r="B145" s="26">
        <v>0.66639999999999999</v>
      </c>
      <c r="C145" s="27" t="s">
        <v>1412</v>
      </c>
      <c r="D145" s="28">
        <v>421</v>
      </c>
    </row>
    <row r="146" spans="1:4" x14ac:dyDescent="0.2">
      <c r="A146" s="13">
        <f t="shared" ca="1" si="2"/>
        <v>44277</v>
      </c>
      <c r="B146" s="26">
        <v>0.45710000000000001</v>
      </c>
      <c r="C146" s="27" t="s">
        <v>1415</v>
      </c>
      <c r="D146" s="28">
        <v>429</v>
      </c>
    </row>
    <row r="147" spans="1:4" x14ac:dyDescent="0.2">
      <c r="A147" s="13">
        <f t="shared" ca="1" si="2"/>
        <v>44278</v>
      </c>
      <c r="B147" s="26">
        <v>0.58340000000000003</v>
      </c>
      <c r="C147" s="27" t="s">
        <v>1423</v>
      </c>
      <c r="D147" s="28">
        <v>428</v>
      </c>
    </row>
    <row r="148" spans="1:4" x14ac:dyDescent="0.2">
      <c r="A148" s="13">
        <f t="shared" ca="1" si="2"/>
        <v>44279</v>
      </c>
      <c r="B148" s="26">
        <v>0.4168</v>
      </c>
      <c r="C148" s="27" t="s">
        <v>1417</v>
      </c>
      <c r="D148" s="28">
        <v>427</v>
      </c>
    </row>
    <row r="149" spans="1:4" x14ac:dyDescent="0.2">
      <c r="A149" s="13">
        <f t="shared" ca="1" si="2"/>
        <v>44280</v>
      </c>
      <c r="B149" s="26">
        <v>0.43409999999999999</v>
      </c>
      <c r="C149" s="27" t="s">
        <v>1412</v>
      </c>
      <c r="D149" s="28">
        <v>430</v>
      </c>
    </row>
    <row r="150" spans="1:4" x14ac:dyDescent="0.2">
      <c r="A150" s="13">
        <f t="shared" ca="1" si="2"/>
        <v>44281</v>
      </c>
      <c r="B150" s="26">
        <v>0.6653</v>
      </c>
      <c r="C150" s="27" t="s">
        <v>1425</v>
      </c>
      <c r="D150" s="28">
        <v>431</v>
      </c>
    </row>
    <row r="151" spans="1:4" x14ac:dyDescent="0.2">
      <c r="A151" s="13">
        <f t="shared" ca="1" si="2"/>
        <v>44282</v>
      </c>
      <c r="B151" s="26">
        <v>0.51770000000000005</v>
      </c>
      <c r="C151" s="27" t="s">
        <v>1422</v>
      </c>
      <c r="D151" s="28">
        <v>433</v>
      </c>
    </row>
    <row r="152" spans="1:4" x14ac:dyDescent="0.2">
      <c r="A152" s="13">
        <f t="shared" ca="1" si="2"/>
        <v>44283</v>
      </c>
      <c r="B152" s="26">
        <v>0.46310000000000001</v>
      </c>
      <c r="C152" s="27" t="s">
        <v>1425</v>
      </c>
      <c r="D152" s="28">
        <v>426</v>
      </c>
    </row>
    <row r="153" spans="1:4" x14ac:dyDescent="0.2">
      <c r="A153" s="13">
        <f t="shared" ca="1" si="2"/>
        <v>44284</v>
      </c>
      <c r="B153" s="26">
        <v>0.41620000000000001</v>
      </c>
      <c r="C153" s="27" t="s">
        <v>1418</v>
      </c>
      <c r="D153" s="28">
        <v>436</v>
      </c>
    </row>
    <row r="154" spans="1:4" x14ac:dyDescent="0.2">
      <c r="A154" s="13">
        <f t="shared" ca="1" si="2"/>
        <v>44285</v>
      </c>
      <c r="B154" s="26">
        <v>0.50919999999999999</v>
      </c>
      <c r="C154" s="27" t="s">
        <v>1419</v>
      </c>
      <c r="D154" s="28">
        <v>431</v>
      </c>
    </row>
    <row r="155" spans="1:4" x14ac:dyDescent="0.2">
      <c r="A155" s="13">
        <f t="shared" ca="1" si="2"/>
        <v>44286</v>
      </c>
      <c r="B155" s="26">
        <v>0.3911</v>
      </c>
      <c r="C155" s="27" t="s">
        <v>1417</v>
      </c>
      <c r="D155" s="28">
        <v>426</v>
      </c>
    </row>
    <row r="156" spans="1:4" x14ac:dyDescent="0.2">
      <c r="A156" s="13">
        <f t="shared" ca="1" si="2"/>
        <v>44287</v>
      </c>
      <c r="B156" s="26">
        <v>0.46479999999999999</v>
      </c>
      <c r="C156" s="27" t="s">
        <v>1422</v>
      </c>
      <c r="D156" s="28">
        <v>433</v>
      </c>
    </row>
    <row r="157" spans="1:4" x14ac:dyDescent="0.2">
      <c r="A157" s="13">
        <f t="shared" ca="1" si="2"/>
        <v>44288</v>
      </c>
      <c r="B157" s="26">
        <v>0.64429999999999998</v>
      </c>
      <c r="C157" s="27" t="s">
        <v>1417</v>
      </c>
      <c r="D157" s="28">
        <v>423</v>
      </c>
    </row>
    <row r="158" spans="1:4" x14ac:dyDescent="0.2">
      <c r="A158" s="13">
        <f t="shared" ca="1" si="2"/>
        <v>44289</v>
      </c>
      <c r="B158" s="26">
        <v>0.64600000000000002</v>
      </c>
      <c r="C158" s="27" t="s">
        <v>1421</v>
      </c>
      <c r="D158" s="28">
        <v>422</v>
      </c>
    </row>
    <row r="159" spans="1:4" x14ac:dyDescent="0.2">
      <c r="A159" s="13">
        <f t="shared" ca="1" si="2"/>
        <v>44290</v>
      </c>
      <c r="B159" s="26">
        <v>0.51990000000000003</v>
      </c>
      <c r="C159" s="27" t="s">
        <v>1426</v>
      </c>
      <c r="D159" s="28">
        <v>429</v>
      </c>
    </row>
    <row r="160" spans="1:4" x14ac:dyDescent="0.2">
      <c r="A160" s="13">
        <f t="shared" ca="1" si="2"/>
        <v>44291</v>
      </c>
      <c r="B160" s="26">
        <v>0.63700000000000001</v>
      </c>
      <c r="C160" s="27" t="s">
        <v>1420</v>
      </c>
      <c r="D160" s="28">
        <v>421</v>
      </c>
    </row>
    <row r="161" spans="1:4" x14ac:dyDescent="0.2">
      <c r="A161" s="13">
        <f t="shared" ca="1" si="2"/>
        <v>44292</v>
      </c>
      <c r="B161" s="26">
        <v>0.63039999999999996</v>
      </c>
      <c r="C161" s="27" t="s">
        <v>1426</v>
      </c>
      <c r="D161" s="28">
        <v>423</v>
      </c>
    </row>
    <row r="162" spans="1:4" x14ac:dyDescent="0.2">
      <c r="A162" s="13">
        <f t="shared" ca="1" si="2"/>
        <v>44293</v>
      </c>
      <c r="B162" s="26">
        <v>0.53339999999999999</v>
      </c>
      <c r="C162" s="27" t="s">
        <v>1422</v>
      </c>
      <c r="D162" s="28">
        <v>422</v>
      </c>
    </row>
    <row r="163" spans="1:4" x14ac:dyDescent="0.2">
      <c r="A163" s="13">
        <f t="shared" ca="1" si="2"/>
        <v>44294</v>
      </c>
      <c r="B163" s="26">
        <v>0.65400000000000003</v>
      </c>
      <c r="C163" s="27" t="s">
        <v>1416</v>
      </c>
      <c r="D163" s="28">
        <v>430</v>
      </c>
    </row>
    <row r="164" spans="1:4" x14ac:dyDescent="0.2">
      <c r="A164" s="13">
        <f t="shared" ca="1" si="2"/>
        <v>44295</v>
      </c>
      <c r="B164" s="26">
        <v>0.38179999999999997</v>
      </c>
      <c r="C164" s="27" t="s">
        <v>1419</v>
      </c>
      <c r="D164" s="28">
        <v>426</v>
      </c>
    </row>
    <row r="165" spans="1:4" x14ac:dyDescent="0.2">
      <c r="A165" s="13">
        <f t="shared" ca="1" si="2"/>
        <v>44296</v>
      </c>
      <c r="B165" s="26">
        <v>0.60299999999999998</v>
      </c>
      <c r="C165" s="27" t="s">
        <v>1413</v>
      </c>
      <c r="D165" s="28">
        <v>435</v>
      </c>
    </row>
    <row r="166" spans="1:4" x14ac:dyDescent="0.2">
      <c r="A166" s="13">
        <f t="shared" ca="1" si="2"/>
        <v>44297</v>
      </c>
      <c r="B166" s="26">
        <v>0.64410000000000001</v>
      </c>
      <c r="C166" s="27" t="s">
        <v>1414</v>
      </c>
      <c r="D166" s="28">
        <v>422</v>
      </c>
    </row>
    <row r="167" spans="1:4" x14ac:dyDescent="0.2">
      <c r="A167" s="13">
        <f t="shared" ca="1" si="2"/>
        <v>44298</v>
      </c>
      <c r="B167" s="26">
        <v>0.59230000000000005</v>
      </c>
      <c r="C167" s="27" t="s">
        <v>1416</v>
      </c>
      <c r="D167" s="28">
        <v>436</v>
      </c>
    </row>
    <row r="168" spans="1:4" x14ac:dyDescent="0.2">
      <c r="A168" s="13">
        <f t="shared" ca="1" si="2"/>
        <v>44299</v>
      </c>
      <c r="B168" s="26">
        <v>0.38779999999999998</v>
      </c>
      <c r="C168" s="27" t="s">
        <v>1426</v>
      </c>
      <c r="D168" s="28">
        <v>427</v>
      </c>
    </row>
    <row r="169" spans="1:4" x14ac:dyDescent="0.2">
      <c r="A169" s="13">
        <f t="shared" ca="1" si="2"/>
        <v>44300</v>
      </c>
      <c r="B169" s="26">
        <v>0.39329999999999998</v>
      </c>
      <c r="C169" s="27" t="s">
        <v>1420</v>
      </c>
      <c r="D169" s="28">
        <v>436</v>
      </c>
    </row>
    <row r="170" spans="1:4" x14ac:dyDescent="0.2">
      <c r="A170" s="13">
        <f t="shared" ca="1" si="2"/>
        <v>44301</v>
      </c>
      <c r="B170" s="26">
        <v>0.61350000000000005</v>
      </c>
      <c r="C170" s="27" t="s">
        <v>1422</v>
      </c>
      <c r="D170" s="28">
        <v>427</v>
      </c>
    </row>
    <row r="171" spans="1:4" x14ac:dyDescent="0.2">
      <c r="A171" s="13">
        <f t="shared" ca="1" si="2"/>
        <v>44302</v>
      </c>
      <c r="B171" s="26">
        <v>0.502</v>
      </c>
      <c r="C171" s="27" t="s">
        <v>1425</v>
      </c>
      <c r="D171" s="28">
        <v>423</v>
      </c>
    </row>
    <row r="172" spans="1:4" x14ac:dyDescent="0.2">
      <c r="A172" s="13">
        <f t="shared" ca="1" si="2"/>
        <v>44303</v>
      </c>
      <c r="B172" s="26">
        <v>0.49880000000000002</v>
      </c>
      <c r="C172" s="27" t="s">
        <v>1418</v>
      </c>
      <c r="D172" s="28">
        <v>420</v>
      </c>
    </row>
    <row r="173" spans="1:4" x14ac:dyDescent="0.2">
      <c r="A173" s="13">
        <f t="shared" ca="1" si="2"/>
        <v>44304</v>
      </c>
      <c r="B173" s="26">
        <v>0.4592</v>
      </c>
      <c r="C173" s="27" t="s">
        <v>1412</v>
      </c>
      <c r="D173" s="28">
        <v>427</v>
      </c>
    </row>
    <row r="174" spans="1:4" x14ac:dyDescent="0.2">
      <c r="A174" s="13">
        <f t="shared" ca="1" si="2"/>
        <v>44305</v>
      </c>
      <c r="B174" s="26">
        <v>0.35880000000000001</v>
      </c>
      <c r="C174" s="27" t="s">
        <v>1426</v>
      </c>
      <c r="D174" s="28">
        <v>422</v>
      </c>
    </row>
    <row r="175" spans="1:4" x14ac:dyDescent="0.2">
      <c r="A175" s="13">
        <f t="shared" ca="1" si="2"/>
        <v>44306</v>
      </c>
      <c r="B175" s="26">
        <v>0.3674</v>
      </c>
      <c r="C175" s="27" t="s">
        <v>1413</v>
      </c>
      <c r="D175" s="28">
        <v>429</v>
      </c>
    </row>
    <row r="176" spans="1:4" x14ac:dyDescent="0.2">
      <c r="A176" s="13">
        <f t="shared" ca="1" si="2"/>
        <v>44307</v>
      </c>
      <c r="B176" s="26">
        <v>0.36020000000000002</v>
      </c>
      <c r="C176" s="27" t="s">
        <v>1416</v>
      </c>
      <c r="D176" s="28">
        <v>435</v>
      </c>
    </row>
    <row r="177" spans="1:4" x14ac:dyDescent="0.2">
      <c r="A177" s="13">
        <f t="shared" ca="1" si="2"/>
        <v>44308</v>
      </c>
      <c r="B177" s="26">
        <v>0.46110000000000001</v>
      </c>
      <c r="C177" s="27" t="s">
        <v>1416</v>
      </c>
      <c r="D177" s="28">
        <v>435</v>
      </c>
    </row>
    <row r="178" spans="1:4" x14ac:dyDescent="0.2">
      <c r="A178" s="13">
        <f t="shared" ca="1" si="2"/>
        <v>44309</v>
      </c>
      <c r="B178" s="26">
        <v>0.64329999999999998</v>
      </c>
      <c r="C178" s="27" t="s">
        <v>1414</v>
      </c>
      <c r="D178" s="28">
        <v>436</v>
      </c>
    </row>
    <row r="179" spans="1:4" x14ac:dyDescent="0.2">
      <c r="A179" s="13">
        <f t="shared" ca="1" si="2"/>
        <v>44310</v>
      </c>
      <c r="B179" s="26">
        <v>0.54690000000000005</v>
      </c>
      <c r="C179" s="27" t="s">
        <v>1420</v>
      </c>
      <c r="D179" s="28">
        <v>422</v>
      </c>
    </row>
    <row r="180" spans="1:4" x14ac:dyDescent="0.2">
      <c r="A180" s="13">
        <f t="shared" ca="1" si="2"/>
        <v>44311</v>
      </c>
      <c r="B180" s="26">
        <v>0.55210000000000004</v>
      </c>
      <c r="C180" s="27" t="s">
        <v>1413</v>
      </c>
      <c r="D180" s="28">
        <v>435</v>
      </c>
    </row>
    <row r="181" spans="1:4" x14ac:dyDescent="0.2">
      <c r="A181" s="13">
        <f t="shared" ca="1" si="2"/>
        <v>44312</v>
      </c>
      <c r="B181" s="26">
        <v>0.64900000000000002</v>
      </c>
      <c r="C181" s="27" t="s">
        <v>1419</v>
      </c>
      <c r="D181" s="28">
        <v>420</v>
      </c>
    </row>
    <row r="182" spans="1:4" x14ac:dyDescent="0.2">
      <c r="A182" s="13">
        <f t="shared" ca="1" si="2"/>
        <v>44313</v>
      </c>
      <c r="B182" s="26">
        <v>0.54769999999999996</v>
      </c>
      <c r="C182" s="27" t="s">
        <v>1425</v>
      </c>
      <c r="D182" s="28">
        <v>425</v>
      </c>
    </row>
    <row r="183" spans="1:4" x14ac:dyDescent="0.2">
      <c r="A183" s="13">
        <f t="shared" ca="1" si="2"/>
        <v>44314</v>
      </c>
      <c r="B183" s="26">
        <v>0.434</v>
      </c>
      <c r="C183" s="27" t="s">
        <v>1415</v>
      </c>
      <c r="D183" s="28">
        <v>428</v>
      </c>
    </row>
    <row r="184" spans="1:4" x14ac:dyDescent="0.2">
      <c r="A184" s="13">
        <f t="shared" ca="1" si="2"/>
        <v>44315</v>
      </c>
      <c r="B184" s="26">
        <v>0.39500000000000002</v>
      </c>
      <c r="C184" s="27" t="s">
        <v>1419</v>
      </c>
      <c r="D184" s="28">
        <v>424</v>
      </c>
    </row>
    <row r="185" spans="1:4" x14ac:dyDescent="0.2">
      <c r="A185" s="13">
        <f t="shared" ca="1" si="2"/>
        <v>44316</v>
      </c>
      <c r="B185" s="26">
        <v>0.62029999999999996</v>
      </c>
      <c r="C185" s="27" t="s">
        <v>1413</v>
      </c>
      <c r="D185" s="28">
        <v>423</v>
      </c>
    </row>
    <row r="186" spans="1:4" x14ac:dyDescent="0.2">
      <c r="A186" s="13">
        <f t="shared" ca="1" si="2"/>
        <v>44317</v>
      </c>
      <c r="B186" s="26">
        <v>0.33900000000000002</v>
      </c>
      <c r="C186" s="27" t="s">
        <v>1419</v>
      </c>
      <c r="D186" s="28">
        <v>428</v>
      </c>
    </row>
    <row r="187" spans="1:4" x14ac:dyDescent="0.2">
      <c r="A187" s="13">
        <f t="shared" ca="1" si="2"/>
        <v>44318</v>
      </c>
      <c r="B187" s="26">
        <v>0.4728</v>
      </c>
      <c r="C187" s="27" t="s">
        <v>1417</v>
      </c>
      <c r="D187" s="28">
        <v>426</v>
      </c>
    </row>
    <row r="188" spans="1:4" x14ac:dyDescent="0.2">
      <c r="A188" s="13">
        <f t="shared" ca="1" si="2"/>
        <v>44319</v>
      </c>
      <c r="B188" s="26">
        <v>0.36230000000000001</v>
      </c>
      <c r="C188" s="27" t="s">
        <v>1412</v>
      </c>
      <c r="D188" s="28">
        <v>425</v>
      </c>
    </row>
    <row r="189" spans="1:4" x14ac:dyDescent="0.2">
      <c r="A189" s="13">
        <f t="shared" ca="1" si="2"/>
        <v>44320</v>
      </c>
      <c r="B189" s="26">
        <v>0.36930000000000002</v>
      </c>
      <c r="C189" s="27" t="s">
        <v>1421</v>
      </c>
      <c r="D189" s="28">
        <v>427</v>
      </c>
    </row>
    <row r="190" spans="1:4" x14ac:dyDescent="0.2">
      <c r="A190" s="13">
        <f t="shared" ca="1" si="2"/>
        <v>44321</v>
      </c>
      <c r="B190" s="26">
        <v>0.51100000000000001</v>
      </c>
      <c r="C190" s="27" t="s">
        <v>1413</v>
      </c>
      <c r="D190" s="28">
        <v>431</v>
      </c>
    </row>
    <row r="191" spans="1:4" x14ac:dyDescent="0.2">
      <c r="A191" s="13">
        <f t="shared" ca="1" si="2"/>
        <v>44322</v>
      </c>
      <c r="B191" s="26">
        <v>0.6421</v>
      </c>
      <c r="C191" s="27" t="s">
        <v>1418</v>
      </c>
      <c r="D191" s="28">
        <v>423</v>
      </c>
    </row>
    <row r="192" spans="1:4" x14ac:dyDescent="0.2">
      <c r="A192" s="13">
        <f t="shared" ca="1" si="2"/>
        <v>44323</v>
      </c>
      <c r="B192" s="26">
        <v>0.38650000000000001</v>
      </c>
      <c r="C192" s="27" t="s">
        <v>1425</v>
      </c>
      <c r="D192" s="28">
        <v>424</v>
      </c>
    </row>
    <row r="193" spans="1:4" x14ac:dyDescent="0.2">
      <c r="A193" s="13">
        <f t="shared" ca="1" si="2"/>
        <v>44324</v>
      </c>
      <c r="B193" s="26">
        <v>0.65259999999999996</v>
      </c>
      <c r="C193" s="27" t="s">
        <v>1425</v>
      </c>
      <c r="D193" s="28">
        <v>434</v>
      </c>
    </row>
    <row r="194" spans="1:4" x14ac:dyDescent="0.2">
      <c r="A194" s="13">
        <f t="shared" ref="A194:A257" ca="1" si="3">TODAY()-(505-ROW())</f>
        <v>44325</v>
      </c>
      <c r="B194" s="26">
        <v>0.66549999999999998</v>
      </c>
      <c r="C194" s="27" t="s">
        <v>1425</v>
      </c>
      <c r="D194" s="28">
        <v>424</v>
      </c>
    </row>
    <row r="195" spans="1:4" x14ac:dyDescent="0.2">
      <c r="A195" s="13">
        <f t="shared" ca="1" si="3"/>
        <v>44326</v>
      </c>
      <c r="B195" s="26">
        <v>0.62480000000000002</v>
      </c>
      <c r="C195" s="27" t="s">
        <v>1424</v>
      </c>
      <c r="D195" s="28">
        <v>422</v>
      </c>
    </row>
    <row r="196" spans="1:4" x14ac:dyDescent="0.2">
      <c r="A196" s="13">
        <f t="shared" ca="1" si="3"/>
        <v>44327</v>
      </c>
      <c r="B196" s="26">
        <v>0.43049999999999999</v>
      </c>
      <c r="C196" s="27" t="s">
        <v>1413</v>
      </c>
      <c r="D196" s="28">
        <v>423</v>
      </c>
    </row>
    <row r="197" spans="1:4" x14ac:dyDescent="0.2">
      <c r="A197" s="13">
        <f t="shared" ca="1" si="3"/>
        <v>44328</v>
      </c>
      <c r="B197" s="26">
        <v>0.61550000000000005</v>
      </c>
      <c r="C197" s="27" t="s">
        <v>1418</v>
      </c>
      <c r="D197" s="28">
        <v>422</v>
      </c>
    </row>
    <row r="198" spans="1:4" x14ac:dyDescent="0.2">
      <c r="A198" s="13">
        <f t="shared" ca="1" si="3"/>
        <v>44329</v>
      </c>
      <c r="B198" s="26">
        <v>0.59450000000000003</v>
      </c>
      <c r="C198" s="27" t="s">
        <v>1419</v>
      </c>
      <c r="D198" s="28">
        <v>425</v>
      </c>
    </row>
    <row r="199" spans="1:4" x14ac:dyDescent="0.2">
      <c r="A199" s="13">
        <f t="shared" ca="1" si="3"/>
        <v>44330</v>
      </c>
      <c r="B199" s="26">
        <v>0.61119999999999997</v>
      </c>
      <c r="C199" s="27" t="s">
        <v>1425</v>
      </c>
      <c r="D199" s="28">
        <v>425</v>
      </c>
    </row>
    <row r="200" spans="1:4" x14ac:dyDescent="0.2">
      <c r="A200" s="13">
        <f t="shared" ca="1" si="3"/>
        <v>44331</v>
      </c>
      <c r="B200" s="26">
        <v>0.56389999999999996</v>
      </c>
      <c r="C200" s="27" t="s">
        <v>1422</v>
      </c>
      <c r="D200" s="28">
        <v>422</v>
      </c>
    </row>
    <row r="201" spans="1:4" x14ac:dyDescent="0.2">
      <c r="A201" s="13">
        <f t="shared" ca="1" si="3"/>
        <v>44332</v>
      </c>
      <c r="B201" s="26">
        <v>0.58040000000000003</v>
      </c>
      <c r="C201" s="27" t="s">
        <v>1415</v>
      </c>
      <c r="D201" s="28">
        <v>431</v>
      </c>
    </row>
    <row r="202" spans="1:4" x14ac:dyDescent="0.2">
      <c r="A202" s="13">
        <f t="shared" ca="1" si="3"/>
        <v>44333</v>
      </c>
      <c r="B202" s="26">
        <v>0.64419999999999999</v>
      </c>
      <c r="C202" s="27" t="s">
        <v>1417</v>
      </c>
      <c r="D202" s="28">
        <v>435</v>
      </c>
    </row>
    <row r="203" spans="1:4" x14ac:dyDescent="0.2">
      <c r="A203" s="13">
        <f t="shared" ca="1" si="3"/>
        <v>44334</v>
      </c>
      <c r="B203" s="26">
        <v>0.65210000000000001</v>
      </c>
      <c r="C203" s="27" t="s">
        <v>1419</v>
      </c>
      <c r="D203" s="28">
        <v>423</v>
      </c>
    </row>
    <row r="204" spans="1:4" x14ac:dyDescent="0.2">
      <c r="A204" s="13">
        <f t="shared" ca="1" si="3"/>
        <v>44335</v>
      </c>
      <c r="B204" s="26">
        <v>0.46760000000000002</v>
      </c>
      <c r="C204" s="27" t="s">
        <v>1412</v>
      </c>
      <c r="D204" s="28">
        <v>434</v>
      </c>
    </row>
    <row r="205" spans="1:4" x14ac:dyDescent="0.2">
      <c r="A205" s="13">
        <f t="shared" ca="1" si="3"/>
        <v>44336</v>
      </c>
      <c r="B205" s="26">
        <v>0.5837</v>
      </c>
      <c r="C205" s="27" t="s">
        <v>1414</v>
      </c>
      <c r="D205" s="28">
        <v>425</v>
      </c>
    </row>
    <row r="206" spans="1:4" x14ac:dyDescent="0.2">
      <c r="A206" s="13">
        <f t="shared" ca="1" si="3"/>
        <v>44337</v>
      </c>
      <c r="B206" s="26">
        <v>0.42370000000000002</v>
      </c>
      <c r="C206" s="27" t="s">
        <v>1412</v>
      </c>
      <c r="D206" s="28">
        <v>421</v>
      </c>
    </row>
    <row r="207" spans="1:4" x14ac:dyDescent="0.2">
      <c r="A207" s="13">
        <f t="shared" ca="1" si="3"/>
        <v>44338</v>
      </c>
      <c r="B207" s="26">
        <v>0.45540000000000003</v>
      </c>
      <c r="C207" s="27" t="s">
        <v>1419</v>
      </c>
      <c r="D207" s="28">
        <v>420</v>
      </c>
    </row>
    <row r="208" spans="1:4" x14ac:dyDescent="0.2">
      <c r="A208" s="13">
        <f t="shared" ca="1" si="3"/>
        <v>44339</v>
      </c>
      <c r="B208" s="26">
        <v>0.52039999999999997</v>
      </c>
      <c r="C208" s="27" t="s">
        <v>1413</v>
      </c>
      <c r="D208" s="28">
        <v>420</v>
      </c>
    </row>
    <row r="209" spans="1:4" x14ac:dyDescent="0.2">
      <c r="A209" s="13">
        <f t="shared" ca="1" si="3"/>
        <v>44340</v>
      </c>
      <c r="B209" s="26">
        <v>0.48770000000000002</v>
      </c>
      <c r="C209" s="27" t="s">
        <v>1413</v>
      </c>
      <c r="D209" s="28">
        <v>430</v>
      </c>
    </row>
    <row r="210" spans="1:4" x14ac:dyDescent="0.2">
      <c r="A210" s="13">
        <f t="shared" ca="1" si="3"/>
        <v>44341</v>
      </c>
      <c r="B210" s="26">
        <v>0.41589999999999999</v>
      </c>
      <c r="C210" s="27" t="s">
        <v>1412</v>
      </c>
      <c r="D210" s="28">
        <v>425</v>
      </c>
    </row>
    <row r="211" spans="1:4" x14ac:dyDescent="0.2">
      <c r="A211" s="13">
        <f t="shared" ca="1" si="3"/>
        <v>44342</v>
      </c>
      <c r="B211" s="26">
        <v>0.56230000000000002</v>
      </c>
      <c r="C211" s="27" t="s">
        <v>1426</v>
      </c>
      <c r="D211" s="28">
        <v>434</v>
      </c>
    </row>
    <row r="212" spans="1:4" x14ac:dyDescent="0.2">
      <c r="A212" s="13">
        <f t="shared" ca="1" si="3"/>
        <v>44343</v>
      </c>
      <c r="B212" s="26">
        <v>0.35720000000000002</v>
      </c>
      <c r="C212" s="27" t="s">
        <v>1421</v>
      </c>
      <c r="D212" s="28">
        <v>436</v>
      </c>
    </row>
    <row r="213" spans="1:4" x14ac:dyDescent="0.2">
      <c r="A213" s="13">
        <f t="shared" ca="1" si="3"/>
        <v>44344</v>
      </c>
      <c r="B213" s="26">
        <v>0.42359999999999998</v>
      </c>
      <c r="C213" s="27" t="s">
        <v>1420</v>
      </c>
      <c r="D213" s="28">
        <v>431</v>
      </c>
    </row>
    <row r="214" spans="1:4" x14ac:dyDescent="0.2">
      <c r="A214" s="13">
        <f t="shared" ca="1" si="3"/>
        <v>44345</v>
      </c>
      <c r="B214" s="26">
        <v>0.65049999999999997</v>
      </c>
      <c r="C214" s="27" t="s">
        <v>1424</v>
      </c>
      <c r="D214" s="28">
        <v>425</v>
      </c>
    </row>
    <row r="215" spans="1:4" x14ac:dyDescent="0.2">
      <c r="A215" s="13">
        <f t="shared" ca="1" si="3"/>
        <v>44346</v>
      </c>
      <c r="B215" s="26">
        <v>0.54979999999999996</v>
      </c>
      <c r="C215" s="27" t="s">
        <v>1412</v>
      </c>
      <c r="D215" s="28">
        <v>430</v>
      </c>
    </row>
    <row r="216" spans="1:4" x14ac:dyDescent="0.2">
      <c r="A216" s="13">
        <f t="shared" ca="1" si="3"/>
        <v>44347</v>
      </c>
      <c r="B216" s="26">
        <v>0.45860000000000001</v>
      </c>
      <c r="C216" s="27" t="s">
        <v>1425</v>
      </c>
      <c r="D216" s="28">
        <v>422</v>
      </c>
    </row>
    <row r="217" spans="1:4" x14ac:dyDescent="0.2">
      <c r="A217" s="13">
        <f t="shared" ca="1" si="3"/>
        <v>44348</v>
      </c>
      <c r="B217" s="26">
        <v>0.36649999999999999</v>
      </c>
      <c r="C217" s="27" t="s">
        <v>1418</v>
      </c>
      <c r="D217" s="28">
        <v>436</v>
      </c>
    </row>
    <row r="218" spans="1:4" x14ac:dyDescent="0.2">
      <c r="A218" s="13">
        <f t="shared" ca="1" si="3"/>
        <v>44349</v>
      </c>
      <c r="B218" s="26">
        <v>0.43819999999999998</v>
      </c>
      <c r="C218" s="27" t="s">
        <v>1425</v>
      </c>
      <c r="D218" s="28">
        <v>432</v>
      </c>
    </row>
    <row r="219" spans="1:4" x14ac:dyDescent="0.2">
      <c r="A219" s="13">
        <f t="shared" ca="1" si="3"/>
        <v>44350</v>
      </c>
      <c r="B219" s="26">
        <v>0.44800000000000001</v>
      </c>
      <c r="C219" s="27" t="s">
        <v>1415</v>
      </c>
      <c r="D219" s="28">
        <v>436</v>
      </c>
    </row>
    <row r="220" spans="1:4" x14ac:dyDescent="0.2">
      <c r="A220" s="13">
        <f t="shared" ca="1" si="3"/>
        <v>44351</v>
      </c>
      <c r="B220" s="26">
        <v>0.45900000000000002</v>
      </c>
      <c r="C220" s="27" t="s">
        <v>1422</v>
      </c>
      <c r="D220" s="28">
        <v>422</v>
      </c>
    </row>
    <row r="221" spans="1:4" x14ac:dyDescent="0.2">
      <c r="A221" s="13">
        <f t="shared" ca="1" si="3"/>
        <v>44352</v>
      </c>
      <c r="B221" s="26">
        <v>0.34810000000000002</v>
      </c>
      <c r="C221" s="27" t="s">
        <v>1425</v>
      </c>
      <c r="D221" s="28">
        <v>420</v>
      </c>
    </row>
    <row r="222" spans="1:4" x14ac:dyDescent="0.2">
      <c r="A222" s="13">
        <f t="shared" ca="1" si="3"/>
        <v>44353</v>
      </c>
      <c r="B222" s="26">
        <v>0.3337</v>
      </c>
      <c r="C222" s="27" t="s">
        <v>1424</v>
      </c>
      <c r="D222" s="28">
        <v>434</v>
      </c>
    </row>
    <row r="223" spans="1:4" x14ac:dyDescent="0.2">
      <c r="A223" s="13">
        <f t="shared" ca="1" si="3"/>
        <v>44354</v>
      </c>
      <c r="B223" s="26">
        <v>0.41020000000000001</v>
      </c>
      <c r="C223" s="27" t="s">
        <v>1420</v>
      </c>
      <c r="D223" s="28">
        <v>427</v>
      </c>
    </row>
    <row r="224" spans="1:4" x14ac:dyDescent="0.2">
      <c r="A224" s="13">
        <f t="shared" ca="1" si="3"/>
        <v>44355</v>
      </c>
      <c r="B224" s="26">
        <v>0.44080000000000003</v>
      </c>
      <c r="C224" s="27" t="s">
        <v>1419</v>
      </c>
      <c r="D224" s="28">
        <v>434</v>
      </c>
    </row>
    <row r="225" spans="1:4" x14ac:dyDescent="0.2">
      <c r="A225" s="13">
        <f t="shared" ca="1" si="3"/>
        <v>44356</v>
      </c>
      <c r="B225" s="26">
        <v>0.53320000000000001</v>
      </c>
      <c r="C225" s="27" t="s">
        <v>1426</v>
      </c>
      <c r="D225" s="28">
        <v>429</v>
      </c>
    </row>
    <row r="226" spans="1:4" x14ac:dyDescent="0.2">
      <c r="A226" s="13">
        <f t="shared" ca="1" si="3"/>
        <v>44357</v>
      </c>
      <c r="B226" s="26">
        <v>0.52690000000000003</v>
      </c>
      <c r="C226" s="27" t="s">
        <v>1426</v>
      </c>
      <c r="D226" s="28">
        <v>426</v>
      </c>
    </row>
    <row r="227" spans="1:4" x14ac:dyDescent="0.2">
      <c r="A227" s="13">
        <f t="shared" ca="1" si="3"/>
        <v>44358</v>
      </c>
      <c r="B227" s="26">
        <v>0.48559999999999998</v>
      </c>
      <c r="C227" s="27" t="s">
        <v>1421</v>
      </c>
      <c r="D227" s="28">
        <v>435</v>
      </c>
    </row>
    <row r="228" spans="1:4" x14ac:dyDescent="0.2">
      <c r="A228" s="13">
        <f t="shared" ca="1" si="3"/>
        <v>44359</v>
      </c>
      <c r="B228" s="26">
        <v>0.55059999999999998</v>
      </c>
      <c r="C228" s="27" t="s">
        <v>1416</v>
      </c>
      <c r="D228" s="28">
        <v>428</v>
      </c>
    </row>
    <row r="229" spans="1:4" x14ac:dyDescent="0.2">
      <c r="A229" s="13">
        <f t="shared" ca="1" si="3"/>
        <v>44360</v>
      </c>
      <c r="B229" s="26">
        <v>0.65249999999999997</v>
      </c>
      <c r="C229" s="27" t="s">
        <v>1423</v>
      </c>
      <c r="D229" s="28">
        <v>430</v>
      </c>
    </row>
    <row r="230" spans="1:4" x14ac:dyDescent="0.2">
      <c r="A230" s="13">
        <f t="shared" ca="1" si="3"/>
        <v>44361</v>
      </c>
      <c r="B230" s="26">
        <v>0.62539999999999996</v>
      </c>
      <c r="C230" s="27" t="s">
        <v>1415</v>
      </c>
      <c r="D230" s="28">
        <v>426</v>
      </c>
    </row>
    <row r="231" spans="1:4" x14ac:dyDescent="0.2">
      <c r="A231" s="13">
        <f t="shared" ca="1" si="3"/>
        <v>44362</v>
      </c>
      <c r="B231" s="26">
        <v>0.33589999999999998</v>
      </c>
      <c r="C231" s="27" t="s">
        <v>1413</v>
      </c>
      <c r="D231" s="28">
        <v>432</v>
      </c>
    </row>
    <row r="232" spans="1:4" x14ac:dyDescent="0.2">
      <c r="A232" s="13">
        <f t="shared" ca="1" si="3"/>
        <v>44363</v>
      </c>
      <c r="B232" s="26">
        <v>0.50739999999999996</v>
      </c>
      <c r="C232" s="27" t="s">
        <v>1423</v>
      </c>
      <c r="D232" s="28">
        <v>420</v>
      </c>
    </row>
    <row r="233" spans="1:4" x14ac:dyDescent="0.2">
      <c r="A233" s="13">
        <f t="shared" ca="1" si="3"/>
        <v>44364</v>
      </c>
      <c r="B233" s="26">
        <v>0.51370000000000005</v>
      </c>
      <c r="C233" s="27" t="s">
        <v>1424</v>
      </c>
      <c r="D233" s="28">
        <v>434</v>
      </c>
    </row>
    <row r="234" spans="1:4" x14ac:dyDescent="0.2">
      <c r="A234" s="13">
        <f t="shared" ca="1" si="3"/>
        <v>44365</v>
      </c>
      <c r="B234" s="26">
        <v>0.64200000000000002</v>
      </c>
      <c r="C234" s="27" t="s">
        <v>1421</v>
      </c>
      <c r="D234" s="28">
        <v>420</v>
      </c>
    </row>
    <row r="235" spans="1:4" x14ac:dyDescent="0.2">
      <c r="A235" s="13">
        <f t="shared" ca="1" si="3"/>
        <v>44366</v>
      </c>
      <c r="B235" s="26">
        <v>0.47199999999999998</v>
      </c>
      <c r="C235" s="27" t="s">
        <v>1419</v>
      </c>
      <c r="D235" s="28">
        <v>428</v>
      </c>
    </row>
    <row r="236" spans="1:4" x14ac:dyDescent="0.2">
      <c r="A236" s="13">
        <f t="shared" ca="1" si="3"/>
        <v>44367</v>
      </c>
      <c r="B236" s="26">
        <v>0.47439999999999999</v>
      </c>
      <c r="C236" s="27" t="s">
        <v>1425</v>
      </c>
      <c r="D236" s="28">
        <v>423</v>
      </c>
    </row>
    <row r="237" spans="1:4" x14ac:dyDescent="0.2">
      <c r="A237" s="13">
        <f t="shared" ca="1" si="3"/>
        <v>44368</v>
      </c>
      <c r="B237" s="26">
        <v>0.48599999999999999</v>
      </c>
      <c r="C237" s="27" t="s">
        <v>1414</v>
      </c>
      <c r="D237" s="28">
        <v>434</v>
      </c>
    </row>
    <row r="238" spans="1:4" x14ac:dyDescent="0.2">
      <c r="A238" s="13">
        <f t="shared" ca="1" si="3"/>
        <v>44369</v>
      </c>
      <c r="B238" s="26">
        <v>0.41170000000000001</v>
      </c>
      <c r="C238" s="27" t="s">
        <v>1426</v>
      </c>
      <c r="D238" s="28">
        <v>427</v>
      </c>
    </row>
    <row r="239" spans="1:4" x14ac:dyDescent="0.2">
      <c r="A239" s="13">
        <f t="shared" ca="1" si="3"/>
        <v>44370</v>
      </c>
      <c r="B239" s="26">
        <v>0.53039999999999998</v>
      </c>
      <c r="C239" s="27" t="s">
        <v>1414</v>
      </c>
      <c r="D239" s="28">
        <v>421</v>
      </c>
    </row>
    <row r="240" spans="1:4" x14ac:dyDescent="0.2">
      <c r="A240" s="13">
        <f t="shared" ca="1" si="3"/>
        <v>44371</v>
      </c>
      <c r="B240" s="26">
        <v>0.33739999999999998</v>
      </c>
      <c r="C240" s="27" t="s">
        <v>1413</v>
      </c>
      <c r="D240" s="28">
        <v>436</v>
      </c>
    </row>
    <row r="241" spans="1:4" x14ac:dyDescent="0.2">
      <c r="A241" s="13">
        <f t="shared" ca="1" si="3"/>
        <v>44372</v>
      </c>
      <c r="B241" s="26">
        <v>0.49070000000000003</v>
      </c>
      <c r="C241" s="27" t="s">
        <v>1421</v>
      </c>
      <c r="D241" s="28">
        <v>425</v>
      </c>
    </row>
    <row r="242" spans="1:4" x14ac:dyDescent="0.2">
      <c r="A242" s="13">
        <f t="shared" ca="1" si="3"/>
        <v>44373</v>
      </c>
      <c r="B242" s="26">
        <v>0.60619999999999996</v>
      </c>
      <c r="C242" s="27" t="s">
        <v>1426</v>
      </c>
      <c r="D242" s="28">
        <v>422</v>
      </c>
    </row>
    <row r="243" spans="1:4" x14ac:dyDescent="0.2">
      <c r="A243" s="13">
        <f t="shared" ca="1" si="3"/>
        <v>44374</v>
      </c>
      <c r="B243" s="26">
        <v>0.44879999999999998</v>
      </c>
      <c r="C243" s="27" t="s">
        <v>1425</v>
      </c>
      <c r="D243" s="28">
        <v>429</v>
      </c>
    </row>
    <row r="244" spans="1:4" x14ac:dyDescent="0.2">
      <c r="A244" s="13">
        <f t="shared" ca="1" si="3"/>
        <v>44375</v>
      </c>
      <c r="B244" s="26">
        <v>0.441</v>
      </c>
      <c r="C244" s="27" t="s">
        <v>1423</v>
      </c>
      <c r="D244" s="28">
        <v>427</v>
      </c>
    </row>
    <row r="245" spans="1:4" x14ac:dyDescent="0.2">
      <c r="A245" s="13">
        <f t="shared" ca="1" si="3"/>
        <v>44376</v>
      </c>
      <c r="B245" s="26">
        <v>0.35520000000000002</v>
      </c>
      <c r="C245" s="27" t="s">
        <v>1418</v>
      </c>
      <c r="D245" s="28">
        <v>435</v>
      </c>
    </row>
    <row r="246" spans="1:4" x14ac:dyDescent="0.2">
      <c r="A246" s="13">
        <f t="shared" ca="1" si="3"/>
        <v>44377</v>
      </c>
      <c r="B246" s="26">
        <v>0.57869999999999999</v>
      </c>
      <c r="C246" s="27" t="s">
        <v>1412</v>
      </c>
      <c r="D246" s="28">
        <v>430</v>
      </c>
    </row>
    <row r="247" spans="1:4" x14ac:dyDescent="0.2">
      <c r="A247" s="13">
        <f t="shared" ca="1" si="3"/>
        <v>44378</v>
      </c>
      <c r="B247" s="26">
        <v>0.47360000000000002</v>
      </c>
      <c r="C247" s="27" t="s">
        <v>1412</v>
      </c>
      <c r="D247" s="28">
        <v>423</v>
      </c>
    </row>
    <row r="248" spans="1:4" x14ac:dyDescent="0.2">
      <c r="A248" s="13">
        <f t="shared" ca="1" si="3"/>
        <v>44379</v>
      </c>
      <c r="B248" s="26">
        <v>0.51190000000000002</v>
      </c>
      <c r="C248" s="27" t="s">
        <v>1426</v>
      </c>
      <c r="D248" s="28">
        <v>420</v>
      </c>
    </row>
    <row r="249" spans="1:4" x14ac:dyDescent="0.2">
      <c r="A249" s="13">
        <f t="shared" ca="1" si="3"/>
        <v>44380</v>
      </c>
      <c r="B249" s="26">
        <v>0.58020000000000005</v>
      </c>
      <c r="C249" s="27" t="s">
        <v>1424</v>
      </c>
      <c r="D249" s="28">
        <v>434</v>
      </c>
    </row>
    <row r="250" spans="1:4" x14ac:dyDescent="0.2">
      <c r="A250" s="13">
        <f t="shared" ca="1" si="3"/>
        <v>44381</v>
      </c>
      <c r="B250" s="26">
        <v>0.39539999999999997</v>
      </c>
      <c r="C250" s="27" t="s">
        <v>1423</v>
      </c>
      <c r="D250" s="28">
        <v>422</v>
      </c>
    </row>
    <row r="251" spans="1:4" x14ac:dyDescent="0.2">
      <c r="A251" s="13">
        <f t="shared" ca="1" si="3"/>
        <v>44382</v>
      </c>
      <c r="B251" s="26">
        <v>0.66059999999999997</v>
      </c>
      <c r="C251" s="27" t="s">
        <v>1425</v>
      </c>
      <c r="D251" s="28">
        <v>432</v>
      </c>
    </row>
    <row r="252" spans="1:4" x14ac:dyDescent="0.2">
      <c r="A252" s="13">
        <f t="shared" ca="1" si="3"/>
        <v>44383</v>
      </c>
      <c r="B252" s="26">
        <v>0.441</v>
      </c>
      <c r="C252" s="27" t="s">
        <v>1422</v>
      </c>
      <c r="D252" s="28">
        <v>434</v>
      </c>
    </row>
    <row r="253" spans="1:4" x14ac:dyDescent="0.2">
      <c r="A253" s="13">
        <f t="shared" ca="1" si="3"/>
        <v>44384</v>
      </c>
      <c r="B253" s="26">
        <v>0.65080000000000005</v>
      </c>
      <c r="C253" s="27" t="s">
        <v>1418</v>
      </c>
      <c r="D253" s="28">
        <v>436</v>
      </c>
    </row>
    <row r="254" spans="1:4" x14ac:dyDescent="0.2">
      <c r="A254" s="13">
        <f t="shared" ca="1" si="3"/>
        <v>44385</v>
      </c>
      <c r="B254" s="26">
        <v>0.4985</v>
      </c>
      <c r="C254" s="27" t="s">
        <v>1420</v>
      </c>
      <c r="D254" s="28">
        <v>422</v>
      </c>
    </row>
    <row r="255" spans="1:4" x14ac:dyDescent="0.2">
      <c r="A255" s="13">
        <f t="shared" ca="1" si="3"/>
        <v>44386</v>
      </c>
      <c r="B255" s="26">
        <v>0.60140000000000005</v>
      </c>
      <c r="C255" s="27" t="s">
        <v>1424</v>
      </c>
      <c r="D255" s="28">
        <v>426</v>
      </c>
    </row>
    <row r="256" spans="1:4" x14ac:dyDescent="0.2">
      <c r="A256" s="13">
        <f t="shared" ca="1" si="3"/>
        <v>44387</v>
      </c>
      <c r="B256" s="26">
        <v>0.55259999999999998</v>
      </c>
      <c r="C256" s="27" t="s">
        <v>1415</v>
      </c>
      <c r="D256" s="28">
        <v>423</v>
      </c>
    </row>
    <row r="257" spans="1:4" x14ac:dyDescent="0.2">
      <c r="A257" s="13">
        <f t="shared" ca="1" si="3"/>
        <v>44388</v>
      </c>
      <c r="B257" s="26">
        <v>0.33739999999999998</v>
      </c>
      <c r="C257" s="27" t="s">
        <v>1415</v>
      </c>
      <c r="D257" s="28">
        <v>426</v>
      </c>
    </row>
    <row r="258" spans="1:4" x14ac:dyDescent="0.2">
      <c r="A258" s="13">
        <f t="shared" ref="A258:A321" ca="1" si="4">TODAY()-(505-ROW())</f>
        <v>44389</v>
      </c>
      <c r="B258" s="26">
        <v>0.61170000000000002</v>
      </c>
      <c r="C258" s="27" t="s">
        <v>1416</v>
      </c>
      <c r="D258" s="28">
        <v>436</v>
      </c>
    </row>
    <row r="259" spans="1:4" x14ac:dyDescent="0.2">
      <c r="A259" s="13">
        <f t="shared" ca="1" si="4"/>
        <v>44390</v>
      </c>
      <c r="B259" s="26">
        <v>0.37140000000000001</v>
      </c>
      <c r="C259" s="27" t="s">
        <v>1423</v>
      </c>
      <c r="D259" s="28">
        <v>436</v>
      </c>
    </row>
    <row r="260" spans="1:4" x14ac:dyDescent="0.2">
      <c r="A260" s="13">
        <f t="shared" ca="1" si="4"/>
        <v>44391</v>
      </c>
      <c r="B260" s="26">
        <v>0.38619999999999999</v>
      </c>
      <c r="C260" s="27" t="s">
        <v>1422</v>
      </c>
      <c r="D260" s="28">
        <v>432</v>
      </c>
    </row>
    <row r="261" spans="1:4" x14ac:dyDescent="0.2">
      <c r="A261" s="13">
        <f t="shared" ca="1" si="4"/>
        <v>44392</v>
      </c>
      <c r="B261" s="26">
        <v>0.49640000000000001</v>
      </c>
      <c r="C261" s="27" t="s">
        <v>1415</v>
      </c>
      <c r="D261" s="28">
        <v>431</v>
      </c>
    </row>
    <row r="262" spans="1:4" x14ac:dyDescent="0.2">
      <c r="A262" s="13">
        <f t="shared" ca="1" si="4"/>
        <v>44393</v>
      </c>
      <c r="B262" s="26">
        <v>0.57779999999999998</v>
      </c>
      <c r="C262" s="27" t="s">
        <v>1418</v>
      </c>
      <c r="D262" s="28">
        <v>426</v>
      </c>
    </row>
    <row r="263" spans="1:4" x14ac:dyDescent="0.2">
      <c r="A263" s="13">
        <f t="shared" ca="1" si="4"/>
        <v>44394</v>
      </c>
      <c r="B263" s="26">
        <v>0.38150000000000001</v>
      </c>
      <c r="C263" s="27" t="s">
        <v>1420</v>
      </c>
      <c r="D263" s="28">
        <v>432</v>
      </c>
    </row>
    <row r="264" spans="1:4" x14ac:dyDescent="0.2">
      <c r="A264" s="13">
        <f t="shared" ca="1" si="4"/>
        <v>44395</v>
      </c>
      <c r="B264" s="26">
        <v>0.54449999999999998</v>
      </c>
      <c r="C264" s="27" t="s">
        <v>1424</v>
      </c>
      <c r="D264" s="28">
        <v>433</v>
      </c>
    </row>
    <row r="265" spans="1:4" x14ac:dyDescent="0.2">
      <c r="A265" s="13">
        <f t="shared" ca="1" si="4"/>
        <v>44396</v>
      </c>
      <c r="B265" s="26">
        <v>0.54900000000000004</v>
      </c>
      <c r="C265" s="27" t="s">
        <v>1422</v>
      </c>
      <c r="D265" s="28">
        <v>422</v>
      </c>
    </row>
    <row r="266" spans="1:4" x14ac:dyDescent="0.2">
      <c r="A266" s="13">
        <f t="shared" ca="1" si="4"/>
        <v>44397</v>
      </c>
      <c r="B266" s="26">
        <v>0.40539999999999998</v>
      </c>
      <c r="C266" s="27" t="s">
        <v>1418</v>
      </c>
      <c r="D266" s="28">
        <v>435</v>
      </c>
    </row>
    <row r="267" spans="1:4" x14ac:dyDescent="0.2">
      <c r="A267" s="13">
        <f t="shared" ca="1" si="4"/>
        <v>44398</v>
      </c>
      <c r="B267" s="26">
        <v>0.33539999999999998</v>
      </c>
      <c r="C267" s="27" t="s">
        <v>1416</v>
      </c>
      <c r="D267" s="28">
        <v>435</v>
      </c>
    </row>
    <row r="268" spans="1:4" x14ac:dyDescent="0.2">
      <c r="A268" s="13">
        <f t="shared" ca="1" si="4"/>
        <v>44399</v>
      </c>
      <c r="B268" s="26">
        <v>0.58279999999999998</v>
      </c>
      <c r="C268" s="27" t="s">
        <v>1418</v>
      </c>
      <c r="D268" s="28">
        <v>432</v>
      </c>
    </row>
    <row r="269" spans="1:4" x14ac:dyDescent="0.2">
      <c r="A269" s="13">
        <f t="shared" ca="1" si="4"/>
        <v>44400</v>
      </c>
      <c r="B269" s="26">
        <v>0.47349999999999998</v>
      </c>
      <c r="C269" s="27" t="s">
        <v>1414</v>
      </c>
      <c r="D269" s="28">
        <v>433</v>
      </c>
    </row>
    <row r="270" spans="1:4" x14ac:dyDescent="0.2">
      <c r="A270" s="13">
        <f t="shared" ca="1" si="4"/>
        <v>44401</v>
      </c>
      <c r="B270" s="26">
        <v>0.5504</v>
      </c>
      <c r="C270" s="27" t="s">
        <v>1418</v>
      </c>
      <c r="D270" s="28">
        <v>431</v>
      </c>
    </row>
    <row r="271" spans="1:4" x14ac:dyDescent="0.2">
      <c r="A271" s="13">
        <f t="shared" ca="1" si="4"/>
        <v>44402</v>
      </c>
      <c r="B271" s="26">
        <v>0.65859999999999996</v>
      </c>
      <c r="C271" s="27" t="s">
        <v>1412</v>
      </c>
      <c r="D271" s="28">
        <v>434</v>
      </c>
    </row>
    <row r="272" spans="1:4" x14ac:dyDescent="0.2">
      <c r="A272" s="13">
        <f t="shared" ca="1" si="4"/>
        <v>44403</v>
      </c>
      <c r="B272" s="26">
        <v>0.60819999999999996</v>
      </c>
      <c r="C272" s="27" t="s">
        <v>1419</v>
      </c>
      <c r="D272" s="28">
        <v>426</v>
      </c>
    </row>
    <row r="273" spans="1:4" x14ac:dyDescent="0.2">
      <c r="A273" s="13">
        <f t="shared" ca="1" si="4"/>
        <v>44404</v>
      </c>
      <c r="B273" s="26">
        <v>0.65739999999999998</v>
      </c>
      <c r="C273" s="27" t="s">
        <v>1413</v>
      </c>
      <c r="D273" s="28">
        <v>433</v>
      </c>
    </row>
    <row r="274" spans="1:4" x14ac:dyDescent="0.2">
      <c r="A274" s="13">
        <f t="shared" ca="1" si="4"/>
        <v>44405</v>
      </c>
      <c r="B274" s="26">
        <v>0.58850000000000002</v>
      </c>
      <c r="C274" s="27" t="s">
        <v>1423</v>
      </c>
      <c r="D274" s="28">
        <v>432</v>
      </c>
    </row>
    <row r="275" spans="1:4" x14ac:dyDescent="0.2">
      <c r="A275" s="13">
        <f t="shared" ca="1" si="4"/>
        <v>44406</v>
      </c>
      <c r="B275" s="26">
        <v>0.41489999999999999</v>
      </c>
      <c r="C275" s="27" t="s">
        <v>1417</v>
      </c>
      <c r="D275" s="28">
        <v>431</v>
      </c>
    </row>
    <row r="276" spans="1:4" x14ac:dyDescent="0.2">
      <c r="A276" s="13">
        <f t="shared" ca="1" si="4"/>
        <v>44407</v>
      </c>
      <c r="B276" s="26">
        <v>0.62860000000000005</v>
      </c>
      <c r="C276" s="27" t="s">
        <v>1415</v>
      </c>
      <c r="D276" s="28">
        <v>430</v>
      </c>
    </row>
    <row r="277" spans="1:4" x14ac:dyDescent="0.2">
      <c r="A277" s="13">
        <f t="shared" ca="1" si="4"/>
        <v>44408</v>
      </c>
      <c r="B277" s="26">
        <v>0.42920000000000003</v>
      </c>
      <c r="C277" s="27" t="s">
        <v>1416</v>
      </c>
      <c r="D277" s="28">
        <v>430</v>
      </c>
    </row>
    <row r="278" spans="1:4" x14ac:dyDescent="0.2">
      <c r="A278" s="13">
        <f t="shared" ca="1" si="4"/>
        <v>44409</v>
      </c>
      <c r="B278" s="26">
        <v>0.47889999999999999</v>
      </c>
      <c r="C278" s="27" t="s">
        <v>1414</v>
      </c>
      <c r="D278" s="28">
        <v>427</v>
      </c>
    </row>
    <row r="279" spans="1:4" x14ac:dyDescent="0.2">
      <c r="A279" s="13">
        <f t="shared" ca="1" si="4"/>
        <v>44410</v>
      </c>
      <c r="B279" s="26">
        <v>0.59699999999999998</v>
      </c>
      <c r="C279" s="27" t="s">
        <v>1423</v>
      </c>
      <c r="D279" s="28">
        <v>433</v>
      </c>
    </row>
    <row r="280" spans="1:4" x14ac:dyDescent="0.2">
      <c r="A280" s="13">
        <f t="shared" ca="1" si="4"/>
        <v>44411</v>
      </c>
      <c r="B280" s="26">
        <v>0.37259999999999999</v>
      </c>
      <c r="C280" s="27" t="s">
        <v>1426</v>
      </c>
      <c r="D280" s="28">
        <v>431</v>
      </c>
    </row>
    <row r="281" spans="1:4" x14ac:dyDescent="0.2">
      <c r="A281" s="13">
        <f t="shared" ca="1" si="4"/>
        <v>44412</v>
      </c>
      <c r="B281" s="26">
        <v>0.4677</v>
      </c>
      <c r="C281" s="27" t="s">
        <v>1421</v>
      </c>
      <c r="D281" s="28">
        <v>422</v>
      </c>
    </row>
    <row r="282" spans="1:4" x14ac:dyDescent="0.2">
      <c r="A282" s="13">
        <f t="shared" ca="1" si="4"/>
        <v>44413</v>
      </c>
      <c r="B282" s="26">
        <v>0.35220000000000001</v>
      </c>
      <c r="C282" s="27" t="s">
        <v>1424</v>
      </c>
      <c r="D282" s="28">
        <v>420</v>
      </c>
    </row>
    <row r="283" spans="1:4" x14ac:dyDescent="0.2">
      <c r="A283" s="13">
        <f t="shared" ca="1" si="4"/>
        <v>44414</v>
      </c>
      <c r="B283" s="26">
        <v>0.39140000000000003</v>
      </c>
      <c r="C283" s="27" t="s">
        <v>1415</v>
      </c>
      <c r="D283" s="28">
        <v>429</v>
      </c>
    </row>
    <row r="284" spans="1:4" x14ac:dyDescent="0.2">
      <c r="A284" s="13">
        <f t="shared" ca="1" si="4"/>
        <v>44415</v>
      </c>
      <c r="B284" s="26">
        <v>0.64690000000000003</v>
      </c>
      <c r="C284" s="27" t="s">
        <v>1423</v>
      </c>
      <c r="D284" s="28">
        <v>432</v>
      </c>
    </row>
    <row r="285" spans="1:4" x14ac:dyDescent="0.2">
      <c r="A285" s="13">
        <f t="shared" ca="1" si="4"/>
        <v>44416</v>
      </c>
      <c r="B285" s="26">
        <v>0.40429999999999999</v>
      </c>
      <c r="C285" s="27" t="s">
        <v>1413</v>
      </c>
      <c r="D285" s="28">
        <v>421</v>
      </c>
    </row>
    <row r="286" spans="1:4" x14ac:dyDescent="0.2">
      <c r="A286" s="13">
        <f t="shared" ca="1" si="4"/>
        <v>44417</v>
      </c>
      <c r="B286" s="26">
        <v>0.4622</v>
      </c>
      <c r="C286" s="27" t="s">
        <v>1425</v>
      </c>
      <c r="D286" s="28">
        <v>436</v>
      </c>
    </row>
    <row r="287" spans="1:4" x14ac:dyDescent="0.2">
      <c r="A287" s="13">
        <f t="shared" ca="1" si="4"/>
        <v>44418</v>
      </c>
      <c r="B287" s="26">
        <v>0.41460000000000002</v>
      </c>
      <c r="C287" s="27" t="s">
        <v>1423</v>
      </c>
      <c r="D287" s="28">
        <v>422</v>
      </c>
    </row>
    <row r="288" spans="1:4" x14ac:dyDescent="0.2">
      <c r="A288" s="13">
        <f t="shared" ca="1" si="4"/>
        <v>44419</v>
      </c>
      <c r="B288" s="26">
        <v>0.56769999999999998</v>
      </c>
      <c r="C288" s="27" t="s">
        <v>1426</v>
      </c>
      <c r="D288" s="28">
        <v>435</v>
      </c>
    </row>
    <row r="289" spans="1:4" x14ac:dyDescent="0.2">
      <c r="A289" s="13">
        <f t="shared" ca="1" si="4"/>
        <v>44420</v>
      </c>
      <c r="B289" s="26">
        <v>0.55449999999999999</v>
      </c>
      <c r="C289" s="27" t="s">
        <v>1416</v>
      </c>
      <c r="D289" s="28">
        <v>420</v>
      </c>
    </row>
    <row r="290" spans="1:4" x14ac:dyDescent="0.2">
      <c r="A290" s="13">
        <f t="shared" ca="1" si="4"/>
        <v>44421</v>
      </c>
      <c r="B290" s="26">
        <v>0.64259999999999995</v>
      </c>
      <c r="C290" s="27" t="s">
        <v>1414</v>
      </c>
      <c r="D290" s="28">
        <v>430</v>
      </c>
    </row>
    <row r="291" spans="1:4" x14ac:dyDescent="0.2">
      <c r="A291" s="13">
        <f t="shared" ca="1" si="4"/>
        <v>44422</v>
      </c>
      <c r="B291" s="26">
        <v>0.50160000000000005</v>
      </c>
      <c r="C291" s="27" t="s">
        <v>1416</v>
      </c>
      <c r="D291" s="28">
        <v>422</v>
      </c>
    </row>
    <row r="292" spans="1:4" x14ac:dyDescent="0.2">
      <c r="A292" s="13">
        <f t="shared" ca="1" si="4"/>
        <v>44423</v>
      </c>
      <c r="B292" s="26">
        <v>0.3821</v>
      </c>
      <c r="C292" s="27" t="s">
        <v>1420</v>
      </c>
      <c r="D292" s="28">
        <v>432</v>
      </c>
    </row>
    <row r="293" spans="1:4" x14ac:dyDescent="0.2">
      <c r="A293" s="13">
        <f t="shared" ca="1" si="4"/>
        <v>44424</v>
      </c>
      <c r="B293" s="26">
        <v>0.4012</v>
      </c>
      <c r="C293" s="27" t="s">
        <v>1424</v>
      </c>
      <c r="D293" s="28">
        <v>423</v>
      </c>
    </row>
    <row r="294" spans="1:4" x14ac:dyDescent="0.2">
      <c r="A294" s="13">
        <f t="shared" ca="1" si="4"/>
        <v>44425</v>
      </c>
      <c r="B294" s="26">
        <v>0.4375</v>
      </c>
      <c r="C294" s="27" t="s">
        <v>1413</v>
      </c>
      <c r="D294" s="28">
        <v>426</v>
      </c>
    </row>
    <row r="295" spans="1:4" x14ac:dyDescent="0.2">
      <c r="A295" s="13">
        <f t="shared" ca="1" si="4"/>
        <v>44426</v>
      </c>
      <c r="B295" s="26">
        <v>0.36449999999999999</v>
      </c>
      <c r="C295" s="27" t="s">
        <v>1425</v>
      </c>
      <c r="D295" s="28">
        <v>432</v>
      </c>
    </row>
    <row r="296" spans="1:4" x14ac:dyDescent="0.2">
      <c r="A296" s="13">
        <f t="shared" ca="1" si="4"/>
        <v>44427</v>
      </c>
      <c r="B296" s="26">
        <v>0.51090000000000002</v>
      </c>
      <c r="C296" s="27" t="s">
        <v>1419</v>
      </c>
      <c r="D296" s="28">
        <v>421</v>
      </c>
    </row>
    <row r="297" spans="1:4" x14ac:dyDescent="0.2">
      <c r="A297" s="13">
        <f t="shared" ca="1" si="4"/>
        <v>44428</v>
      </c>
      <c r="B297" s="26">
        <v>0.38479999999999998</v>
      </c>
      <c r="C297" s="27" t="s">
        <v>1424</v>
      </c>
      <c r="D297" s="28">
        <v>428</v>
      </c>
    </row>
    <row r="298" spans="1:4" x14ac:dyDescent="0.2">
      <c r="A298" s="13">
        <f t="shared" ca="1" si="4"/>
        <v>44429</v>
      </c>
      <c r="B298" s="26">
        <v>0.55210000000000004</v>
      </c>
      <c r="C298" s="27" t="s">
        <v>1421</v>
      </c>
      <c r="D298" s="28">
        <v>427</v>
      </c>
    </row>
    <row r="299" spans="1:4" x14ac:dyDescent="0.2">
      <c r="A299" s="13">
        <f t="shared" ca="1" si="4"/>
        <v>44430</v>
      </c>
      <c r="B299" s="26">
        <v>0.36120000000000002</v>
      </c>
      <c r="C299" s="27" t="s">
        <v>1416</v>
      </c>
      <c r="D299" s="28">
        <v>421</v>
      </c>
    </row>
    <row r="300" spans="1:4" x14ac:dyDescent="0.2">
      <c r="A300" s="13">
        <f t="shared" ca="1" si="4"/>
        <v>44431</v>
      </c>
      <c r="B300" s="26">
        <v>0.48809999999999998</v>
      </c>
      <c r="C300" s="27" t="s">
        <v>1420</v>
      </c>
      <c r="D300" s="28">
        <v>422</v>
      </c>
    </row>
    <row r="301" spans="1:4" x14ac:dyDescent="0.2">
      <c r="A301" s="13">
        <f t="shared" ca="1" si="4"/>
        <v>44432</v>
      </c>
      <c r="B301" s="26">
        <v>0.59660000000000002</v>
      </c>
      <c r="C301" s="27" t="s">
        <v>1426</v>
      </c>
      <c r="D301" s="28">
        <v>428</v>
      </c>
    </row>
    <row r="302" spans="1:4" x14ac:dyDescent="0.2">
      <c r="A302" s="13">
        <f t="shared" ca="1" si="4"/>
        <v>44433</v>
      </c>
      <c r="B302" s="26">
        <v>0.50800000000000001</v>
      </c>
      <c r="C302" s="27" t="s">
        <v>1426</v>
      </c>
      <c r="D302" s="28">
        <v>431</v>
      </c>
    </row>
    <row r="303" spans="1:4" x14ac:dyDescent="0.2">
      <c r="A303" s="13">
        <f t="shared" ca="1" si="4"/>
        <v>44434</v>
      </c>
      <c r="B303" s="26">
        <v>0.43469999999999998</v>
      </c>
      <c r="C303" s="27" t="s">
        <v>1423</v>
      </c>
      <c r="D303" s="28">
        <v>428</v>
      </c>
    </row>
    <row r="304" spans="1:4" x14ac:dyDescent="0.2">
      <c r="A304" s="13">
        <f t="shared" ca="1" si="4"/>
        <v>44435</v>
      </c>
      <c r="B304" s="26">
        <v>0.58189999999999997</v>
      </c>
      <c r="C304" s="27" t="s">
        <v>1424</v>
      </c>
      <c r="D304" s="28">
        <v>425</v>
      </c>
    </row>
    <row r="305" spans="1:4" x14ac:dyDescent="0.2">
      <c r="A305" s="13">
        <f t="shared" ca="1" si="4"/>
        <v>44436</v>
      </c>
      <c r="B305" s="26">
        <v>0.56969999999999998</v>
      </c>
      <c r="C305" s="27" t="s">
        <v>1426</v>
      </c>
      <c r="D305" s="28">
        <v>420</v>
      </c>
    </row>
    <row r="306" spans="1:4" x14ac:dyDescent="0.2">
      <c r="A306" s="13">
        <f t="shared" ca="1" si="4"/>
        <v>44437</v>
      </c>
      <c r="B306" s="26">
        <v>0.41589999999999999</v>
      </c>
      <c r="C306" s="27" t="s">
        <v>1420</v>
      </c>
      <c r="D306" s="28">
        <v>436</v>
      </c>
    </row>
    <row r="307" spans="1:4" x14ac:dyDescent="0.2">
      <c r="A307" s="13">
        <f t="shared" ca="1" si="4"/>
        <v>44438</v>
      </c>
      <c r="B307" s="26">
        <v>0.38729999999999998</v>
      </c>
      <c r="C307" s="27" t="s">
        <v>1414</v>
      </c>
      <c r="D307" s="28">
        <v>420</v>
      </c>
    </row>
    <row r="308" spans="1:4" x14ac:dyDescent="0.2">
      <c r="A308" s="13">
        <f t="shared" ca="1" si="4"/>
        <v>44439</v>
      </c>
      <c r="B308" s="26">
        <v>0.51129999999999998</v>
      </c>
      <c r="C308" s="27" t="s">
        <v>1415</v>
      </c>
      <c r="D308" s="28">
        <v>434</v>
      </c>
    </row>
    <row r="309" spans="1:4" x14ac:dyDescent="0.2">
      <c r="A309" s="13">
        <f t="shared" ca="1" si="4"/>
        <v>44440</v>
      </c>
      <c r="B309" s="26">
        <v>0.37159999999999999</v>
      </c>
      <c r="C309" s="27" t="s">
        <v>1417</v>
      </c>
      <c r="D309" s="28">
        <v>425</v>
      </c>
    </row>
    <row r="310" spans="1:4" x14ac:dyDescent="0.2">
      <c r="A310" s="13">
        <f t="shared" ca="1" si="4"/>
        <v>44441</v>
      </c>
      <c r="B310" s="26">
        <v>0.50129999999999997</v>
      </c>
      <c r="C310" s="27" t="s">
        <v>1419</v>
      </c>
      <c r="D310" s="28">
        <v>433</v>
      </c>
    </row>
    <row r="311" spans="1:4" x14ac:dyDescent="0.2">
      <c r="A311" s="13">
        <f t="shared" ca="1" si="4"/>
        <v>44442</v>
      </c>
      <c r="B311" s="26">
        <v>0.54349999999999998</v>
      </c>
      <c r="C311" s="27" t="s">
        <v>1418</v>
      </c>
      <c r="D311" s="28">
        <v>425</v>
      </c>
    </row>
    <row r="312" spans="1:4" x14ac:dyDescent="0.2">
      <c r="A312" s="13">
        <f t="shared" ca="1" si="4"/>
        <v>44443</v>
      </c>
      <c r="B312" s="26">
        <v>0.57310000000000005</v>
      </c>
      <c r="C312" s="27" t="s">
        <v>1426</v>
      </c>
      <c r="D312" s="28">
        <v>426</v>
      </c>
    </row>
    <row r="313" spans="1:4" x14ac:dyDescent="0.2">
      <c r="A313" s="13">
        <f t="shared" ca="1" si="4"/>
        <v>44444</v>
      </c>
      <c r="B313" s="26">
        <v>0.4667</v>
      </c>
      <c r="C313" s="27" t="s">
        <v>1420</v>
      </c>
      <c r="D313" s="28">
        <v>435</v>
      </c>
    </row>
    <row r="314" spans="1:4" x14ac:dyDescent="0.2">
      <c r="A314" s="13">
        <f t="shared" ca="1" si="4"/>
        <v>44445</v>
      </c>
      <c r="B314" s="26">
        <v>0.41210000000000002</v>
      </c>
      <c r="C314" s="27" t="s">
        <v>1418</v>
      </c>
      <c r="D314" s="28">
        <v>424</v>
      </c>
    </row>
    <row r="315" spans="1:4" x14ac:dyDescent="0.2">
      <c r="A315" s="13">
        <f t="shared" ca="1" si="4"/>
        <v>44446</v>
      </c>
      <c r="B315" s="26">
        <v>0.59809999999999997</v>
      </c>
      <c r="C315" s="27" t="s">
        <v>1424</v>
      </c>
      <c r="D315" s="28">
        <v>427</v>
      </c>
    </row>
    <row r="316" spans="1:4" x14ac:dyDescent="0.2">
      <c r="A316" s="13">
        <f t="shared" ca="1" si="4"/>
        <v>44447</v>
      </c>
      <c r="B316" s="26">
        <v>0.35089999999999999</v>
      </c>
      <c r="C316" s="27" t="s">
        <v>1418</v>
      </c>
      <c r="D316" s="28">
        <v>434</v>
      </c>
    </row>
    <row r="317" spans="1:4" x14ac:dyDescent="0.2">
      <c r="A317" s="13">
        <f t="shared" ca="1" si="4"/>
        <v>44448</v>
      </c>
      <c r="B317" s="26">
        <v>0.43769999999999998</v>
      </c>
      <c r="C317" s="27" t="s">
        <v>1421</v>
      </c>
      <c r="D317" s="28">
        <v>425</v>
      </c>
    </row>
    <row r="318" spans="1:4" x14ac:dyDescent="0.2">
      <c r="A318" s="13">
        <f t="shared" ca="1" si="4"/>
        <v>44449</v>
      </c>
      <c r="B318" s="26">
        <v>0.3594</v>
      </c>
      <c r="C318" s="27" t="s">
        <v>1425</v>
      </c>
      <c r="D318" s="28">
        <v>436</v>
      </c>
    </row>
    <row r="319" spans="1:4" x14ac:dyDescent="0.2">
      <c r="A319" s="13">
        <f t="shared" ca="1" si="4"/>
        <v>44450</v>
      </c>
      <c r="B319" s="26">
        <v>0.43559999999999999</v>
      </c>
      <c r="C319" s="27" t="s">
        <v>1424</v>
      </c>
      <c r="D319" s="28">
        <v>431</v>
      </c>
    </row>
    <row r="320" spans="1:4" x14ac:dyDescent="0.2">
      <c r="A320" s="13">
        <f t="shared" ca="1" si="4"/>
        <v>44451</v>
      </c>
      <c r="B320" s="26">
        <v>0.3619</v>
      </c>
      <c r="C320" s="27" t="s">
        <v>1423</v>
      </c>
      <c r="D320" s="28">
        <v>432</v>
      </c>
    </row>
    <row r="321" spans="1:4" x14ac:dyDescent="0.2">
      <c r="A321" s="13">
        <f t="shared" ca="1" si="4"/>
        <v>44452</v>
      </c>
      <c r="B321" s="26">
        <v>0.40749999999999997</v>
      </c>
      <c r="C321" s="27" t="s">
        <v>1423</v>
      </c>
      <c r="D321" s="28">
        <v>431</v>
      </c>
    </row>
    <row r="322" spans="1:4" x14ac:dyDescent="0.2">
      <c r="A322" s="13">
        <f t="shared" ref="A322:A385" ca="1" si="5">TODAY()-(505-ROW())</f>
        <v>44453</v>
      </c>
      <c r="B322" s="26">
        <v>0.47489999999999999</v>
      </c>
      <c r="C322" s="27" t="s">
        <v>1421</v>
      </c>
      <c r="D322" s="28">
        <v>429</v>
      </c>
    </row>
    <row r="323" spans="1:4" x14ac:dyDescent="0.2">
      <c r="A323" s="13">
        <f t="shared" ca="1" si="5"/>
        <v>44454</v>
      </c>
      <c r="B323" s="26">
        <v>0.41760000000000003</v>
      </c>
      <c r="C323" s="27" t="s">
        <v>1423</v>
      </c>
      <c r="D323" s="28">
        <v>424</v>
      </c>
    </row>
    <row r="324" spans="1:4" x14ac:dyDescent="0.2">
      <c r="A324" s="13">
        <f t="shared" ca="1" si="5"/>
        <v>44455</v>
      </c>
      <c r="B324" s="26">
        <v>0.57440000000000002</v>
      </c>
      <c r="C324" s="27" t="s">
        <v>1412</v>
      </c>
      <c r="D324" s="28">
        <v>431</v>
      </c>
    </row>
    <row r="325" spans="1:4" x14ac:dyDescent="0.2">
      <c r="A325" s="13">
        <f t="shared" ca="1" si="5"/>
        <v>44456</v>
      </c>
      <c r="B325" s="26">
        <v>0.35139999999999999</v>
      </c>
      <c r="C325" s="27" t="s">
        <v>1421</v>
      </c>
      <c r="D325" s="28">
        <v>424</v>
      </c>
    </row>
    <row r="326" spans="1:4" x14ac:dyDescent="0.2">
      <c r="A326" s="13">
        <f t="shared" ca="1" si="5"/>
        <v>44457</v>
      </c>
      <c r="B326" s="26">
        <v>0.60119999999999996</v>
      </c>
      <c r="C326" s="27" t="s">
        <v>1422</v>
      </c>
      <c r="D326" s="28">
        <v>425</v>
      </c>
    </row>
    <row r="327" spans="1:4" x14ac:dyDescent="0.2">
      <c r="A327" s="13">
        <f t="shared" ca="1" si="5"/>
        <v>44458</v>
      </c>
      <c r="B327" s="26">
        <v>0.4073</v>
      </c>
      <c r="C327" s="27" t="s">
        <v>1422</v>
      </c>
      <c r="D327" s="28">
        <v>423</v>
      </c>
    </row>
    <row r="328" spans="1:4" x14ac:dyDescent="0.2">
      <c r="A328" s="13">
        <f t="shared" ca="1" si="5"/>
        <v>44459</v>
      </c>
      <c r="B328" s="26">
        <v>0.55379999999999996</v>
      </c>
      <c r="C328" s="27" t="s">
        <v>1415</v>
      </c>
      <c r="D328" s="28">
        <v>436</v>
      </c>
    </row>
    <row r="329" spans="1:4" x14ac:dyDescent="0.2">
      <c r="A329" s="13">
        <f t="shared" ca="1" si="5"/>
        <v>44460</v>
      </c>
      <c r="B329" s="26">
        <v>0.57330000000000003</v>
      </c>
      <c r="C329" s="27" t="s">
        <v>1421</v>
      </c>
      <c r="D329" s="28">
        <v>423</v>
      </c>
    </row>
    <row r="330" spans="1:4" x14ac:dyDescent="0.2">
      <c r="A330" s="13">
        <f t="shared" ca="1" si="5"/>
        <v>44461</v>
      </c>
      <c r="B330" s="26">
        <v>0.65590000000000004</v>
      </c>
      <c r="C330" s="27" t="s">
        <v>1423</v>
      </c>
      <c r="D330" s="28">
        <v>420</v>
      </c>
    </row>
    <row r="331" spans="1:4" x14ac:dyDescent="0.2">
      <c r="A331" s="13">
        <f t="shared" ca="1" si="5"/>
        <v>44462</v>
      </c>
      <c r="B331" s="26">
        <v>0.4304</v>
      </c>
      <c r="C331" s="27" t="s">
        <v>1425</v>
      </c>
      <c r="D331" s="28">
        <v>433</v>
      </c>
    </row>
    <row r="332" spans="1:4" x14ac:dyDescent="0.2">
      <c r="A332" s="13">
        <f t="shared" ca="1" si="5"/>
        <v>44463</v>
      </c>
      <c r="B332" s="26">
        <v>0.59909999999999997</v>
      </c>
      <c r="C332" s="27" t="s">
        <v>1425</v>
      </c>
      <c r="D332" s="28">
        <v>423</v>
      </c>
    </row>
    <row r="333" spans="1:4" x14ac:dyDescent="0.2">
      <c r="A333" s="13">
        <f t="shared" ca="1" si="5"/>
        <v>44464</v>
      </c>
      <c r="B333" s="26">
        <v>0.64539999999999997</v>
      </c>
      <c r="C333" s="27" t="s">
        <v>1413</v>
      </c>
      <c r="D333" s="28">
        <v>436</v>
      </c>
    </row>
    <row r="334" spans="1:4" x14ac:dyDescent="0.2">
      <c r="A334" s="13">
        <f t="shared" ca="1" si="5"/>
        <v>44465</v>
      </c>
      <c r="B334" s="26">
        <v>0.47039999999999998</v>
      </c>
      <c r="C334" s="27" t="s">
        <v>1422</v>
      </c>
      <c r="D334" s="28">
        <v>422</v>
      </c>
    </row>
    <row r="335" spans="1:4" x14ac:dyDescent="0.2">
      <c r="A335" s="13">
        <f t="shared" ca="1" si="5"/>
        <v>44466</v>
      </c>
      <c r="B335" s="26">
        <v>0.40139999999999998</v>
      </c>
      <c r="C335" s="27" t="s">
        <v>1412</v>
      </c>
      <c r="D335" s="28">
        <v>428</v>
      </c>
    </row>
    <row r="336" spans="1:4" x14ac:dyDescent="0.2">
      <c r="A336" s="13">
        <f t="shared" ca="1" si="5"/>
        <v>44467</v>
      </c>
      <c r="B336" s="26">
        <v>0.60440000000000005</v>
      </c>
      <c r="C336" s="27" t="s">
        <v>1423</v>
      </c>
      <c r="D336" s="28">
        <v>436</v>
      </c>
    </row>
    <row r="337" spans="1:4" x14ac:dyDescent="0.2">
      <c r="A337" s="13">
        <f t="shared" ca="1" si="5"/>
        <v>44468</v>
      </c>
      <c r="B337" s="26">
        <v>0.57120000000000004</v>
      </c>
      <c r="C337" s="27" t="s">
        <v>1420</v>
      </c>
      <c r="D337" s="28">
        <v>423</v>
      </c>
    </row>
    <row r="338" spans="1:4" x14ac:dyDescent="0.2">
      <c r="A338" s="13">
        <f t="shared" ca="1" si="5"/>
        <v>44469</v>
      </c>
      <c r="B338" s="26">
        <v>0.54259999999999997</v>
      </c>
      <c r="C338" s="27" t="s">
        <v>1426</v>
      </c>
      <c r="D338" s="28">
        <v>421</v>
      </c>
    </row>
    <row r="339" spans="1:4" x14ac:dyDescent="0.2">
      <c r="A339" s="13">
        <f t="shared" ca="1" si="5"/>
        <v>44470</v>
      </c>
      <c r="B339" s="26">
        <v>0.39489999999999997</v>
      </c>
      <c r="C339" s="27" t="s">
        <v>1414</v>
      </c>
      <c r="D339" s="28">
        <v>421</v>
      </c>
    </row>
    <row r="340" spans="1:4" x14ac:dyDescent="0.2">
      <c r="A340" s="13">
        <f t="shared" ca="1" si="5"/>
        <v>44471</v>
      </c>
      <c r="B340" s="26">
        <v>0.54730000000000001</v>
      </c>
      <c r="C340" s="27" t="s">
        <v>1414</v>
      </c>
      <c r="D340" s="28">
        <v>435</v>
      </c>
    </row>
    <row r="341" spans="1:4" x14ac:dyDescent="0.2">
      <c r="A341" s="13">
        <f t="shared" ca="1" si="5"/>
        <v>44472</v>
      </c>
      <c r="B341" s="26">
        <v>0.61060000000000003</v>
      </c>
      <c r="C341" s="27" t="s">
        <v>1418</v>
      </c>
      <c r="D341" s="28">
        <v>436</v>
      </c>
    </row>
    <row r="342" spans="1:4" x14ac:dyDescent="0.2">
      <c r="A342" s="13">
        <f t="shared" ca="1" si="5"/>
        <v>44473</v>
      </c>
      <c r="B342" s="26">
        <v>0.5524</v>
      </c>
      <c r="C342" s="27" t="s">
        <v>1417</v>
      </c>
      <c r="D342" s="28">
        <v>436</v>
      </c>
    </row>
    <row r="343" spans="1:4" x14ac:dyDescent="0.2">
      <c r="A343" s="13">
        <f t="shared" ca="1" si="5"/>
        <v>44474</v>
      </c>
      <c r="B343" s="26">
        <v>0.63260000000000005</v>
      </c>
      <c r="C343" s="27" t="s">
        <v>1418</v>
      </c>
      <c r="D343" s="28">
        <v>433</v>
      </c>
    </row>
    <row r="344" spans="1:4" x14ac:dyDescent="0.2">
      <c r="A344" s="13">
        <f t="shared" ca="1" si="5"/>
        <v>44475</v>
      </c>
      <c r="B344" s="26">
        <v>0.46200000000000002</v>
      </c>
      <c r="C344" s="27" t="s">
        <v>1424</v>
      </c>
      <c r="D344" s="28">
        <v>420</v>
      </c>
    </row>
    <row r="345" spans="1:4" x14ac:dyDescent="0.2">
      <c r="A345" s="13">
        <f t="shared" ca="1" si="5"/>
        <v>44476</v>
      </c>
      <c r="B345" s="26">
        <v>0.50060000000000004</v>
      </c>
      <c r="C345" s="27" t="s">
        <v>1426</v>
      </c>
      <c r="D345" s="28">
        <v>429</v>
      </c>
    </row>
    <row r="346" spans="1:4" x14ac:dyDescent="0.2">
      <c r="A346" s="13">
        <f t="shared" ca="1" si="5"/>
        <v>44477</v>
      </c>
      <c r="B346" s="26">
        <v>0.36570000000000003</v>
      </c>
      <c r="C346" s="27" t="s">
        <v>1422</v>
      </c>
      <c r="D346" s="28">
        <v>424</v>
      </c>
    </row>
    <row r="347" spans="1:4" x14ac:dyDescent="0.2">
      <c r="A347" s="13">
        <f t="shared" ca="1" si="5"/>
        <v>44478</v>
      </c>
      <c r="B347" s="26">
        <v>0.4269</v>
      </c>
      <c r="C347" s="27" t="s">
        <v>1423</v>
      </c>
      <c r="D347" s="28">
        <v>421</v>
      </c>
    </row>
    <row r="348" spans="1:4" x14ac:dyDescent="0.2">
      <c r="A348" s="13">
        <f t="shared" ca="1" si="5"/>
        <v>44479</v>
      </c>
      <c r="B348" s="26">
        <v>0.57809999999999995</v>
      </c>
      <c r="C348" s="27" t="s">
        <v>1415</v>
      </c>
      <c r="D348" s="28">
        <v>420</v>
      </c>
    </row>
    <row r="349" spans="1:4" x14ac:dyDescent="0.2">
      <c r="A349" s="13">
        <f t="shared" ca="1" si="5"/>
        <v>44480</v>
      </c>
      <c r="B349" s="26">
        <v>0.3861</v>
      </c>
      <c r="C349" s="27" t="s">
        <v>1417</v>
      </c>
      <c r="D349" s="28">
        <v>433</v>
      </c>
    </row>
    <row r="350" spans="1:4" x14ac:dyDescent="0.2">
      <c r="A350" s="13">
        <f t="shared" ca="1" si="5"/>
        <v>44481</v>
      </c>
      <c r="B350" s="26">
        <v>0.53510000000000002</v>
      </c>
      <c r="C350" s="27" t="s">
        <v>1423</v>
      </c>
      <c r="D350" s="28">
        <v>425</v>
      </c>
    </row>
    <row r="351" spans="1:4" x14ac:dyDescent="0.2">
      <c r="A351" s="13">
        <f t="shared" ca="1" si="5"/>
        <v>44482</v>
      </c>
      <c r="B351" s="26">
        <v>0.44779999999999998</v>
      </c>
      <c r="C351" s="27" t="s">
        <v>1415</v>
      </c>
      <c r="D351" s="28">
        <v>435</v>
      </c>
    </row>
    <row r="352" spans="1:4" x14ac:dyDescent="0.2">
      <c r="A352" s="13">
        <f t="shared" ca="1" si="5"/>
        <v>44483</v>
      </c>
      <c r="B352" s="26">
        <v>0.33750000000000002</v>
      </c>
      <c r="C352" s="27" t="s">
        <v>1423</v>
      </c>
      <c r="D352" s="28">
        <v>426</v>
      </c>
    </row>
    <row r="353" spans="1:4" x14ac:dyDescent="0.2">
      <c r="A353" s="13">
        <f t="shared" ca="1" si="5"/>
        <v>44484</v>
      </c>
      <c r="B353" s="26">
        <v>0.59930000000000005</v>
      </c>
      <c r="C353" s="27" t="s">
        <v>1417</v>
      </c>
      <c r="D353" s="28">
        <v>422</v>
      </c>
    </row>
    <row r="354" spans="1:4" x14ac:dyDescent="0.2">
      <c r="A354" s="13">
        <f t="shared" ca="1" si="5"/>
        <v>44485</v>
      </c>
      <c r="B354" s="26">
        <v>0.65880000000000005</v>
      </c>
      <c r="C354" s="27" t="s">
        <v>1419</v>
      </c>
      <c r="D354" s="28">
        <v>426</v>
      </c>
    </row>
    <row r="355" spans="1:4" x14ac:dyDescent="0.2">
      <c r="A355" s="13">
        <f t="shared" ca="1" si="5"/>
        <v>44486</v>
      </c>
      <c r="B355" s="26">
        <v>0.38419999999999999</v>
      </c>
      <c r="C355" s="27" t="s">
        <v>1422</v>
      </c>
      <c r="D355" s="28">
        <v>427</v>
      </c>
    </row>
    <row r="356" spans="1:4" x14ac:dyDescent="0.2">
      <c r="A356" s="13">
        <f t="shared" ca="1" si="5"/>
        <v>44487</v>
      </c>
      <c r="B356" s="26">
        <v>0.58799999999999997</v>
      </c>
      <c r="C356" s="27" t="s">
        <v>1416</v>
      </c>
      <c r="D356" s="28">
        <v>425</v>
      </c>
    </row>
    <row r="357" spans="1:4" x14ac:dyDescent="0.2">
      <c r="A357" s="13">
        <f t="shared" ca="1" si="5"/>
        <v>44488</v>
      </c>
      <c r="B357" s="26">
        <v>0.56679999999999997</v>
      </c>
      <c r="C357" s="27" t="s">
        <v>1419</v>
      </c>
      <c r="D357" s="28">
        <v>420</v>
      </c>
    </row>
    <row r="358" spans="1:4" x14ac:dyDescent="0.2">
      <c r="A358" s="13">
        <f t="shared" ca="1" si="5"/>
        <v>44489</v>
      </c>
      <c r="B358" s="26">
        <v>0.39389999999999997</v>
      </c>
      <c r="C358" s="27" t="s">
        <v>1413</v>
      </c>
      <c r="D358" s="28">
        <v>434</v>
      </c>
    </row>
    <row r="359" spans="1:4" x14ac:dyDescent="0.2">
      <c r="A359" s="13">
        <f t="shared" ca="1" si="5"/>
        <v>44490</v>
      </c>
      <c r="B359" s="26">
        <v>0.54559999999999997</v>
      </c>
      <c r="C359" s="27" t="s">
        <v>1422</v>
      </c>
      <c r="D359" s="28">
        <v>426</v>
      </c>
    </row>
    <row r="360" spans="1:4" x14ac:dyDescent="0.2">
      <c r="A360" s="13">
        <f t="shared" ca="1" si="5"/>
        <v>44491</v>
      </c>
      <c r="B360" s="26">
        <v>0.34920000000000001</v>
      </c>
      <c r="C360" s="27" t="s">
        <v>1413</v>
      </c>
      <c r="D360" s="28">
        <v>420</v>
      </c>
    </row>
    <row r="361" spans="1:4" x14ac:dyDescent="0.2">
      <c r="A361" s="13">
        <f t="shared" ca="1" si="5"/>
        <v>44492</v>
      </c>
      <c r="B361" s="26">
        <v>0.59519999999999995</v>
      </c>
      <c r="C361" s="27" t="s">
        <v>1415</v>
      </c>
      <c r="D361" s="28">
        <v>421</v>
      </c>
    </row>
    <row r="362" spans="1:4" x14ac:dyDescent="0.2">
      <c r="A362" s="13">
        <f t="shared" ca="1" si="5"/>
        <v>44493</v>
      </c>
      <c r="B362" s="26">
        <v>0.45200000000000001</v>
      </c>
      <c r="C362" s="27" t="s">
        <v>1416</v>
      </c>
      <c r="D362" s="28">
        <v>426</v>
      </c>
    </row>
    <row r="363" spans="1:4" x14ac:dyDescent="0.2">
      <c r="A363" s="13">
        <f t="shared" ca="1" si="5"/>
        <v>44494</v>
      </c>
      <c r="B363" s="26">
        <v>0.47610000000000002</v>
      </c>
      <c r="C363" s="27" t="s">
        <v>1422</v>
      </c>
      <c r="D363" s="28">
        <v>427</v>
      </c>
    </row>
    <row r="364" spans="1:4" x14ac:dyDescent="0.2">
      <c r="A364" s="13">
        <f t="shared" ca="1" si="5"/>
        <v>44495</v>
      </c>
      <c r="B364" s="26">
        <v>0.48870000000000002</v>
      </c>
      <c r="C364" s="27" t="s">
        <v>1424</v>
      </c>
      <c r="D364" s="28">
        <v>420</v>
      </c>
    </row>
    <row r="365" spans="1:4" x14ac:dyDescent="0.2">
      <c r="A365" s="13">
        <f t="shared" ca="1" si="5"/>
        <v>44496</v>
      </c>
      <c r="B365" s="26">
        <v>0.33710000000000001</v>
      </c>
      <c r="C365" s="27" t="s">
        <v>1420</v>
      </c>
      <c r="D365" s="28">
        <v>433</v>
      </c>
    </row>
    <row r="366" spans="1:4" x14ac:dyDescent="0.2">
      <c r="A366" s="13">
        <f t="shared" ca="1" si="5"/>
        <v>44497</v>
      </c>
      <c r="B366" s="26">
        <v>0.66220000000000001</v>
      </c>
      <c r="C366" s="27" t="s">
        <v>1414</v>
      </c>
      <c r="D366" s="28">
        <v>428</v>
      </c>
    </row>
    <row r="367" spans="1:4" x14ac:dyDescent="0.2">
      <c r="A367" s="13">
        <f t="shared" ca="1" si="5"/>
        <v>44498</v>
      </c>
      <c r="B367" s="26">
        <v>0.53920000000000001</v>
      </c>
      <c r="C367" s="27" t="s">
        <v>1419</v>
      </c>
      <c r="D367" s="28">
        <v>427</v>
      </c>
    </row>
    <row r="368" spans="1:4" x14ac:dyDescent="0.2">
      <c r="A368" s="13">
        <f t="shared" ca="1" si="5"/>
        <v>44499</v>
      </c>
      <c r="B368" s="26">
        <v>0.62760000000000005</v>
      </c>
      <c r="C368" s="27" t="s">
        <v>1425</v>
      </c>
      <c r="D368" s="28">
        <v>426</v>
      </c>
    </row>
    <row r="369" spans="1:4" x14ac:dyDescent="0.2">
      <c r="A369" s="13">
        <f t="shared" ca="1" si="5"/>
        <v>44500</v>
      </c>
      <c r="B369" s="26">
        <v>0.66520000000000001</v>
      </c>
      <c r="C369" s="27" t="s">
        <v>1422</v>
      </c>
      <c r="D369" s="28">
        <v>427</v>
      </c>
    </row>
    <row r="370" spans="1:4" x14ac:dyDescent="0.2">
      <c r="A370" s="13">
        <f t="shared" ca="1" si="5"/>
        <v>44501</v>
      </c>
      <c r="B370" s="26">
        <v>0.57969999999999999</v>
      </c>
      <c r="C370" s="27" t="s">
        <v>1417</v>
      </c>
      <c r="D370" s="28">
        <v>434</v>
      </c>
    </row>
    <row r="371" spans="1:4" x14ac:dyDescent="0.2">
      <c r="A371" s="13">
        <f t="shared" ca="1" si="5"/>
        <v>44502</v>
      </c>
      <c r="B371" s="26">
        <v>0.35320000000000001</v>
      </c>
      <c r="C371" s="27" t="s">
        <v>1416</v>
      </c>
      <c r="D371" s="28">
        <v>422</v>
      </c>
    </row>
    <row r="372" spans="1:4" x14ac:dyDescent="0.2">
      <c r="A372" s="13">
        <f t="shared" ca="1" si="5"/>
        <v>44503</v>
      </c>
      <c r="B372" s="26">
        <v>0.34150000000000003</v>
      </c>
      <c r="C372" s="27" t="s">
        <v>1421</v>
      </c>
      <c r="D372" s="28">
        <v>434</v>
      </c>
    </row>
    <row r="373" spans="1:4" x14ac:dyDescent="0.2">
      <c r="A373" s="13">
        <f t="shared" ca="1" si="5"/>
        <v>44504</v>
      </c>
      <c r="B373" s="26">
        <v>0.49590000000000001</v>
      </c>
      <c r="C373" s="27" t="s">
        <v>1414</v>
      </c>
      <c r="D373" s="28">
        <v>423</v>
      </c>
    </row>
    <row r="374" spans="1:4" x14ac:dyDescent="0.2">
      <c r="A374" s="13">
        <f t="shared" ca="1" si="5"/>
        <v>44505</v>
      </c>
      <c r="B374" s="26">
        <v>0.34079999999999999</v>
      </c>
      <c r="C374" s="27" t="s">
        <v>1423</v>
      </c>
      <c r="D374" s="28">
        <v>434</v>
      </c>
    </row>
    <row r="375" spans="1:4" x14ac:dyDescent="0.2">
      <c r="A375" s="13">
        <f t="shared" ca="1" si="5"/>
        <v>44506</v>
      </c>
      <c r="B375" s="26">
        <v>0.42930000000000001</v>
      </c>
      <c r="C375" s="27" t="s">
        <v>1414</v>
      </c>
      <c r="D375" s="28">
        <v>434</v>
      </c>
    </row>
    <row r="376" spans="1:4" x14ac:dyDescent="0.2">
      <c r="A376" s="13">
        <f t="shared" ca="1" si="5"/>
        <v>44507</v>
      </c>
      <c r="B376" s="26">
        <v>0.4587</v>
      </c>
      <c r="C376" s="27" t="s">
        <v>1415</v>
      </c>
      <c r="D376" s="28">
        <v>426</v>
      </c>
    </row>
    <row r="377" spans="1:4" x14ac:dyDescent="0.2">
      <c r="A377" s="13">
        <f t="shared" ca="1" si="5"/>
        <v>44508</v>
      </c>
      <c r="B377" s="26">
        <v>0.39169999999999999</v>
      </c>
      <c r="C377" s="27" t="s">
        <v>1421</v>
      </c>
      <c r="D377" s="28">
        <v>423</v>
      </c>
    </row>
    <row r="378" spans="1:4" x14ac:dyDescent="0.2">
      <c r="A378" s="13">
        <f t="shared" ca="1" si="5"/>
        <v>44509</v>
      </c>
      <c r="B378" s="26">
        <v>0.38519999999999999</v>
      </c>
      <c r="C378" s="27" t="s">
        <v>1425</v>
      </c>
      <c r="D378" s="28">
        <v>432</v>
      </c>
    </row>
    <row r="379" spans="1:4" x14ac:dyDescent="0.2">
      <c r="A379" s="13">
        <f t="shared" ca="1" si="5"/>
        <v>44510</v>
      </c>
      <c r="B379" s="26">
        <v>0.47920000000000001</v>
      </c>
      <c r="C379" s="27" t="s">
        <v>1420</v>
      </c>
      <c r="D379" s="28">
        <v>423</v>
      </c>
    </row>
    <row r="380" spans="1:4" x14ac:dyDescent="0.2">
      <c r="A380" s="13">
        <f t="shared" ca="1" si="5"/>
        <v>44511</v>
      </c>
      <c r="B380" s="26">
        <v>0.6331</v>
      </c>
      <c r="C380" s="27" t="s">
        <v>1423</v>
      </c>
      <c r="D380" s="28">
        <v>427</v>
      </c>
    </row>
    <row r="381" spans="1:4" x14ac:dyDescent="0.2">
      <c r="A381" s="13">
        <f t="shared" ca="1" si="5"/>
        <v>44512</v>
      </c>
      <c r="B381" s="26">
        <v>0.63290000000000002</v>
      </c>
      <c r="C381" s="27" t="s">
        <v>1416</v>
      </c>
      <c r="D381" s="28">
        <v>434</v>
      </c>
    </row>
    <row r="382" spans="1:4" x14ac:dyDescent="0.2">
      <c r="A382" s="13">
        <f t="shared" ca="1" si="5"/>
        <v>44513</v>
      </c>
      <c r="B382" s="26">
        <v>0.4229</v>
      </c>
      <c r="C382" s="27" t="s">
        <v>1420</v>
      </c>
      <c r="D382" s="28">
        <v>421</v>
      </c>
    </row>
    <row r="383" spans="1:4" x14ac:dyDescent="0.2">
      <c r="A383" s="13">
        <f t="shared" ca="1" si="5"/>
        <v>44514</v>
      </c>
      <c r="B383" s="26">
        <v>0.56089999999999995</v>
      </c>
      <c r="C383" s="27" t="s">
        <v>1420</v>
      </c>
      <c r="D383" s="28">
        <v>425</v>
      </c>
    </row>
    <row r="384" spans="1:4" x14ac:dyDescent="0.2">
      <c r="A384" s="13">
        <f t="shared" ca="1" si="5"/>
        <v>44515</v>
      </c>
      <c r="B384" s="26">
        <v>0.46700000000000003</v>
      </c>
      <c r="C384" s="27" t="s">
        <v>1421</v>
      </c>
      <c r="D384" s="28">
        <v>436</v>
      </c>
    </row>
    <row r="385" spans="1:4" x14ac:dyDescent="0.2">
      <c r="A385" s="13">
        <f t="shared" ca="1" si="5"/>
        <v>44516</v>
      </c>
      <c r="B385" s="26">
        <v>0.44629999999999997</v>
      </c>
      <c r="C385" s="27" t="s">
        <v>1415</v>
      </c>
      <c r="D385" s="28">
        <v>423</v>
      </c>
    </row>
    <row r="386" spans="1:4" x14ac:dyDescent="0.2">
      <c r="A386" s="13">
        <f t="shared" ref="A386:A449" ca="1" si="6">TODAY()-(505-ROW())</f>
        <v>44517</v>
      </c>
      <c r="B386" s="26">
        <v>0.44950000000000001</v>
      </c>
      <c r="C386" s="27" t="s">
        <v>1413</v>
      </c>
      <c r="D386" s="28">
        <v>426</v>
      </c>
    </row>
    <row r="387" spans="1:4" x14ac:dyDescent="0.2">
      <c r="A387" s="13">
        <f t="shared" ca="1" si="6"/>
        <v>44518</v>
      </c>
      <c r="B387" s="26">
        <v>0.503</v>
      </c>
      <c r="C387" s="27" t="s">
        <v>1417</v>
      </c>
      <c r="D387" s="28">
        <v>425</v>
      </c>
    </row>
    <row r="388" spans="1:4" x14ac:dyDescent="0.2">
      <c r="A388" s="13">
        <f t="shared" ca="1" si="6"/>
        <v>44519</v>
      </c>
      <c r="B388" s="26">
        <v>0.48809999999999998</v>
      </c>
      <c r="C388" s="27" t="s">
        <v>1417</v>
      </c>
      <c r="D388" s="28">
        <v>425</v>
      </c>
    </row>
    <row r="389" spans="1:4" x14ac:dyDescent="0.2">
      <c r="A389" s="13">
        <f t="shared" ca="1" si="6"/>
        <v>44520</v>
      </c>
      <c r="B389" s="26">
        <v>0.63</v>
      </c>
      <c r="C389" s="27" t="s">
        <v>1421</v>
      </c>
      <c r="D389" s="28">
        <v>423</v>
      </c>
    </row>
    <row r="390" spans="1:4" x14ac:dyDescent="0.2">
      <c r="A390" s="13">
        <f t="shared" ca="1" si="6"/>
        <v>44521</v>
      </c>
      <c r="B390" s="26">
        <v>0.43240000000000001</v>
      </c>
      <c r="C390" s="27" t="s">
        <v>1423</v>
      </c>
      <c r="D390" s="28">
        <v>433</v>
      </c>
    </row>
    <row r="391" spans="1:4" x14ac:dyDescent="0.2">
      <c r="A391" s="13">
        <f t="shared" ca="1" si="6"/>
        <v>44522</v>
      </c>
      <c r="B391" s="26">
        <v>0.55940000000000001</v>
      </c>
      <c r="C391" s="27" t="s">
        <v>1421</v>
      </c>
      <c r="D391" s="28">
        <v>432</v>
      </c>
    </row>
    <row r="392" spans="1:4" x14ac:dyDescent="0.2">
      <c r="A392" s="13">
        <f t="shared" ca="1" si="6"/>
        <v>44523</v>
      </c>
      <c r="B392" s="26">
        <v>0.48770000000000002</v>
      </c>
      <c r="C392" s="27" t="s">
        <v>1412</v>
      </c>
      <c r="D392" s="28">
        <v>427</v>
      </c>
    </row>
    <row r="393" spans="1:4" x14ac:dyDescent="0.2">
      <c r="A393" s="13">
        <f t="shared" ca="1" si="6"/>
        <v>44524</v>
      </c>
      <c r="B393" s="26">
        <v>0.57730000000000004</v>
      </c>
      <c r="C393" s="27" t="s">
        <v>1416</v>
      </c>
      <c r="D393" s="28">
        <v>424</v>
      </c>
    </row>
    <row r="394" spans="1:4" x14ac:dyDescent="0.2">
      <c r="A394" s="13">
        <f t="shared" ca="1" si="6"/>
        <v>44525</v>
      </c>
      <c r="B394" s="26">
        <v>0.434</v>
      </c>
      <c r="C394" s="27" t="s">
        <v>1426</v>
      </c>
      <c r="D394" s="28">
        <v>432</v>
      </c>
    </row>
    <row r="395" spans="1:4" x14ac:dyDescent="0.2">
      <c r="A395" s="13">
        <f t="shared" ca="1" si="6"/>
        <v>44526</v>
      </c>
      <c r="B395" s="26">
        <v>0.64290000000000003</v>
      </c>
      <c r="C395" s="27" t="s">
        <v>1416</v>
      </c>
      <c r="D395" s="28">
        <v>420</v>
      </c>
    </row>
    <row r="396" spans="1:4" x14ac:dyDescent="0.2">
      <c r="A396" s="13">
        <f t="shared" ca="1" si="6"/>
        <v>44527</v>
      </c>
      <c r="B396" s="26">
        <v>0.56859999999999999</v>
      </c>
      <c r="C396" s="27" t="s">
        <v>1413</v>
      </c>
      <c r="D396" s="28">
        <v>429</v>
      </c>
    </row>
    <row r="397" spans="1:4" x14ac:dyDescent="0.2">
      <c r="A397" s="13">
        <f t="shared" ca="1" si="6"/>
        <v>44528</v>
      </c>
      <c r="B397" s="26">
        <v>0.3458</v>
      </c>
      <c r="C397" s="27" t="s">
        <v>1425</v>
      </c>
      <c r="D397" s="28">
        <v>424</v>
      </c>
    </row>
    <row r="398" spans="1:4" x14ac:dyDescent="0.2">
      <c r="A398" s="13">
        <f t="shared" ca="1" si="6"/>
        <v>44529</v>
      </c>
      <c r="B398" s="26">
        <v>0.51400000000000001</v>
      </c>
      <c r="C398" s="27" t="s">
        <v>1417</v>
      </c>
      <c r="D398" s="28">
        <v>434</v>
      </c>
    </row>
    <row r="399" spans="1:4" x14ac:dyDescent="0.2">
      <c r="A399" s="13">
        <f t="shared" ca="1" si="6"/>
        <v>44530</v>
      </c>
      <c r="B399" s="26">
        <v>0.44750000000000001</v>
      </c>
      <c r="C399" s="27" t="s">
        <v>1417</v>
      </c>
      <c r="D399" s="28">
        <v>424</v>
      </c>
    </row>
    <row r="400" spans="1:4" x14ac:dyDescent="0.2">
      <c r="A400" s="13">
        <f t="shared" ca="1" si="6"/>
        <v>44531</v>
      </c>
      <c r="B400" s="26">
        <v>0.57909999999999995</v>
      </c>
      <c r="C400" s="27" t="s">
        <v>1415</v>
      </c>
      <c r="D400" s="28">
        <v>422</v>
      </c>
    </row>
    <row r="401" spans="1:4" x14ac:dyDescent="0.2">
      <c r="A401" s="13">
        <f t="shared" ca="1" si="6"/>
        <v>44532</v>
      </c>
      <c r="B401" s="26">
        <v>0.57889999999999997</v>
      </c>
      <c r="C401" s="27" t="s">
        <v>1414</v>
      </c>
      <c r="D401" s="28">
        <v>427</v>
      </c>
    </row>
    <row r="402" spans="1:4" x14ac:dyDescent="0.2">
      <c r="A402" s="13">
        <f t="shared" ca="1" si="6"/>
        <v>44533</v>
      </c>
      <c r="B402" s="26">
        <v>0.62180000000000002</v>
      </c>
      <c r="C402" s="27" t="s">
        <v>1420</v>
      </c>
      <c r="D402" s="28">
        <v>425</v>
      </c>
    </row>
    <row r="403" spans="1:4" x14ac:dyDescent="0.2">
      <c r="A403" s="13">
        <f t="shared" ca="1" si="6"/>
        <v>44534</v>
      </c>
      <c r="B403" s="26">
        <v>0.53180000000000005</v>
      </c>
      <c r="C403" s="27" t="s">
        <v>1421</v>
      </c>
      <c r="D403" s="28">
        <v>427</v>
      </c>
    </row>
    <row r="404" spans="1:4" x14ac:dyDescent="0.2">
      <c r="A404" s="13">
        <f t="shared" ca="1" si="6"/>
        <v>44535</v>
      </c>
      <c r="B404" s="26">
        <v>0.51739999999999997</v>
      </c>
      <c r="C404" s="27" t="s">
        <v>1412</v>
      </c>
      <c r="D404" s="28">
        <v>424</v>
      </c>
    </row>
    <row r="405" spans="1:4" x14ac:dyDescent="0.2">
      <c r="A405" s="13">
        <f t="shared" ca="1" si="6"/>
        <v>44536</v>
      </c>
      <c r="B405" s="26">
        <v>0.44640000000000002</v>
      </c>
      <c r="C405" s="27" t="s">
        <v>1425</v>
      </c>
      <c r="D405" s="28">
        <v>432</v>
      </c>
    </row>
    <row r="406" spans="1:4" x14ac:dyDescent="0.2">
      <c r="A406" s="13">
        <f t="shared" ca="1" si="6"/>
        <v>44537</v>
      </c>
      <c r="B406" s="26">
        <v>0.36349999999999999</v>
      </c>
      <c r="C406" s="27" t="s">
        <v>1420</v>
      </c>
      <c r="D406" s="28">
        <v>420</v>
      </c>
    </row>
    <row r="407" spans="1:4" x14ac:dyDescent="0.2">
      <c r="A407" s="13">
        <f t="shared" ca="1" si="6"/>
        <v>44538</v>
      </c>
      <c r="B407" s="26">
        <v>0.48159999999999997</v>
      </c>
      <c r="C407" s="27" t="s">
        <v>1414</v>
      </c>
      <c r="D407" s="28">
        <v>420</v>
      </c>
    </row>
    <row r="408" spans="1:4" x14ac:dyDescent="0.2">
      <c r="A408" s="13">
        <f t="shared" ca="1" si="6"/>
        <v>44539</v>
      </c>
      <c r="B408" s="26">
        <v>0.61780000000000002</v>
      </c>
      <c r="C408" s="27" t="s">
        <v>1424</v>
      </c>
      <c r="D408" s="28">
        <v>421</v>
      </c>
    </row>
    <row r="409" spans="1:4" x14ac:dyDescent="0.2">
      <c r="A409" s="13">
        <f t="shared" ca="1" si="6"/>
        <v>44540</v>
      </c>
      <c r="B409" s="26">
        <v>0.34150000000000003</v>
      </c>
      <c r="C409" s="27" t="s">
        <v>1424</v>
      </c>
      <c r="D409" s="28">
        <v>425</v>
      </c>
    </row>
    <row r="410" spans="1:4" x14ac:dyDescent="0.2">
      <c r="A410" s="13">
        <f t="shared" ca="1" si="6"/>
        <v>44541</v>
      </c>
      <c r="B410" s="26">
        <v>0.3664</v>
      </c>
      <c r="C410" s="27" t="s">
        <v>1415</v>
      </c>
      <c r="D410" s="28">
        <v>427</v>
      </c>
    </row>
    <row r="411" spans="1:4" x14ac:dyDescent="0.2">
      <c r="A411" s="13">
        <f t="shared" ca="1" si="6"/>
        <v>44542</v>
      </c>
      <c r="B411" s="26">
        <v>0.53410000000000002</v>
      </c>
      <c r="C411" s="27" t="s">
        <v>1420</v>
      </c>
      <c r="D411" s="28">
        <v>436</v>
      </c>
    </row>
    <row r="412" spans="1:4" x14ac:dyDescent="0.2">
      <c r="A412" s="13">
        <f t="shared" ca="1" si="6"/>
        <v>44543</v>
      </c>
      <c r="B412" s="26">
        <v>0.44469999999999998</v>
      </c>
      <c r="C412" s="27" t="s">
        <v>1422</v>
      </c>
      <c r="D412" s="28">
        <v>429</v>
      </c>
    </row>
    <row r="413" spans="1:4" x14ac:dyDescent="0.2">
      <c r="A413" s="13">
        <f t="shared" ca="1" si="6"/>
        <v>44544</v>
      </c>
      <c r="B413" s="26">
        <v>0.60570000000000002</v>
      </c>
      <c r="C413" s="27" t="s">
        <v>1415</v>
      </c>
      <c r="D413" s="28">
        <v>422</v>
      </c>
    </row>
    <row r="414" spans="1:4" x14ac:dyDescent="0.2">
      <c r="A414" s="13">
        <f t="shared" ca="1" si="6"/>
        <v>44545</v>
      </c>
      <c r="B414" s="26">
        <v>0.62970000000000004</v>
      </c>
      <c r="C414" s="27" t="s">
        <v>1419</v>
      </c>
      <c r="D414" s="28">
        <v>424</v>
      </c>
    </row>
    <row r="415" spans="1:4" x14ac:dyDescent="0.2">
      <c r="A415" s="13">
        <f t="shared" ca="1" si="6"/>
        <v>44546</v>
      </c>
      <c r="B415" s="26">
        <v>0.57750000000000001</v>
      </c>
      <c r="C415" s="27" t="s">
        <v>1423</v>
      </c>
      <c r="D415" s="28">
        <v>424</v>
      </c>
    </row>
    <row r="416" spans="1:4" x14ac:dyDescent="0.2">
      <c r="A416" s="13">
        <f t="shared" ca="1" si="6"/>
        <v>44547</v>
      </c>
      <c r="B416" s="26">
        <v>0.62919999999999998</v>
      </c>
      <c r="C416" s="27" t="s">
        <v>1416</v>
      </c>
      <c r="D416" s="28">
        <v>429</v>
      </c>
    </row>
    <row r="417" spans="1:4" x14ac:dyDescent="0.2">
      <c r="A417" s="13">
        <f t="shared" ca="1" si="6"/>
        <v>44548</v>
      </c>
      <c r="B417" s="26">
        <v>0.53669999999999995</v>
      </c>
      <c r="C417" s="27" t="s">
        <v>1414</v>
      </c>
      <c r="D417" s="28">
        <v>430</v>
      </c>
    </row>
    <row r="418" spans="1:4" x14ac:dyDescent="0.2">
      <c r="A418" s="13">
        <f t="shared" ca="1" si="6"/>
        <v>44549</v>
      </c>
      <c r="B418" s="26">
        <v>0.53310000000000002</v>
      </c>
      <c r="C418" s="27" t="s">
        <v>1424</v>
      </c>
      <c r="D418" s="28">
        <v>436</v>
      </c>
    </row>
    <row r="419" spans="1:4" x14ac:dyDescent="0.2">
      <c r="A419" s="13">
        <f t="shared" ca="1" si="6"/>
        <v>44550</v>
      </c>
      <c r="B419" s="26">
        <v>0.50780000000000003</v>
      </c>
      <c r="C419" s="27" t="s">
        <v>1412</v>
      </c>
      <c r="D419" s="28">
        <v>424</v>
      </c>
    </row>
    <row r="420" spans="1:4" x14ac:dyDescent="0.2">
      <c r="A420" s="13">
        <f t="shared" ca="1" si="6"/>
        <v>44551</v>
      </c>
      <c r="B420" s="26">
        <v>0.37219999999999998</v>
      </c>
      <c r="C420" s="27" t="s">
        <v>1422</v>
      </c>
      <c r="D420" s="28">
        <v>424</v>
      </c>
    </row>
    <row r="421" spans="1:4" x14ac:dyDescent="0.2">
      <c r="A421" s="13">
        <f t="shared" ca="1" si="6"/>
        <v>44552</v>
      </c>
      <c r="B421" s="26">
        <v>0.45379999999999998</v>
      </c>
      <c r="C421" s="27" t="s">
        <v>1420</v>
      </c>
      <c r="D421" s="28">
        <v>434</v>
      </c>
    </row>
    <row r="422" spans="1:4" x14ac:dyDescent="0.2">
      <c r="A422" s="13">
        <f t="shared" ca="1" si="6"/>
        <v>44553</v>
      </c>
      <c r="B422" s="26">
        <v>0.50080000000000002</v>
      </c>
      <c r="C422" s="27" t="s">
        <v>1420</v>
      </c>
      <c r="D422" s="28">
        <v>421</v>
      </c>
    </row>
    <row r="423" spans="1:4" x14ac:dyDescent="0.2">
      <c r="A423" s="13">
        <f t="shared" ca="1" si="6"/>
        <v>44554</v>
      </c>
      <c r="B423" s="26">
        <v>0.36359999999999998</v>
      </c>
      <c r="C423" s="27" t="s">
        <v>1420</v>
      </c>
      <c r="D423" s="28">
        <v>434</v>
      </c>
    </row>
    <row r="424" spans="1:4" x14ac:dyDescent="0.2">
      <c r="A424" s="13">
        <f t="shared" ca="1" si="6"/>
        <v>44555</v>
      </c>
      <c r="B424" s="26">
        <v>0.4304</v>
      </c>
      <c r="C424" s="27" t="s">
        <v>1419</v>
      </c>
      <c r="D424" s="28">
        <v>423</v>
      </c>
    </row>
    <row r="425" spans="1:4" x14ac:dyDescent="0.2">
      <c r="A425" s="13">
        <f t="shared" ca="1" si="6"/>
        <v>44556</v>
      </c>
      <c r="B425" s="26">
        <v>0.33360000000000001</v>
      </c>
      <c r="C425" s="27" t="s">
        <v>1423</v>
      </c>
      <c r="D425" s="28">
        <v>434</v>
      </c>
    </row>
    <row r="426" spans="1:4" x14ac:dyDescent="0.2">
      <c r="A426" s="13">
        <f t="shared" ca="1" si="6"/>
        <v>44557</v>
      </c>
      <c r="B426" s="26">
        <v>0.35</v>
      </c>
      <c r="C426" s="27" t="s">
        <v>1413</v>
      </c>
      <c r="D426" s="28">
        <v>421</v>
      </c>
    </row>
    <row r="427" spans="1:4" x14ac:dyDescent="0.2">
      <c r="A427" s="13">
        <f t="shared" ca="1" si="6"/>
        <v>44558</v>
      </c>
      <c r="B427" s="26">
        <v>0.39369999999999999</v>
      </c>
      <c r="C427" s="27" t="s">
        <v>1412</v>
      </c>
      <c r="D427" s="28">
        <v>420</v>
      </c>
    </row>
    <row r="428" spans="1:4" x14ac:dyDescent="0.2">
      <c r="A428" s="13">
        <f t="shared" ca="1" si="6"/>
        <v>44559</v>
      </c>
      <c r="B428" s="26">
        <v>0.53979999999999995</v>
      </c>
      <c r="C428" s="27" t="s">
        <v>1415</v>
      </c>
      <c r="D428" s="28">
        <v>423</v>
      </c>
    </row>
    <row r="429" spans="1:4" x14ac:dyDescent="0.2">
      <c r="A429" s="13">
        <f t="shared" ca="1" si="6"/>
        <v>44560</v>
      </c>
      <c r="B429" s="26">
        <v>0.64119999999999999</v>
      </c>
      <c r="C429" s="27" t="s">
        <v>1416</v>
      </c>
      <c r="D429" s="28">
        <v>435</v>
      </c>
    </row>
    <row r="430" spans="1:4" x14ac:dyDescent="0.2">
      <c r="A430" s="13">
        <f t="shared" ca="1" si="6"/>
        <v>44561</v>
      </c>
      <c r="B430" s="26">
        <v>0.47820000000000001</v>
      </c>
      <c r="C430" s="27" t="s">
        <v>1424</v>
      </c>
      <c r="D430" s="28">
        <v>434</v>
      </c>
    </row>
    <row r="431" spans="1:4" x14ac:dyDescent="0.2">
      <c r="A431" s="13">
        <f t="shared" ca="1" si="6"/>
        <v>44562</v>
      </c>
      <c r="B431" s="26">
        <v>0.51380000000000003</v>
      </c>
      <c r="C431" s="27" t="s">
        <v>1425</v>
      </c>
      <c r="D431" s="28">
        <v>425</v>
      </c>
    </row>
    <row r="432" spans="1:4" x14ac:dyDescent="0.2">
      <c r="A432" s="13">
        <f t="shared" ca="1" si="6"/>
        <v>44563</v>
      </c>
      <c r="B432" s="26">
        <v>0.56720000000000004</v>
      </c>
      <c r="C432" s="27" t="s">
        <v>1417</v>
      </c>
      <c r="D432" s="28">
        <v>435</v>
      </c>
    </row>
    <row r="433" spans="1:4" x14ac:dyDescent="0.2">
      <c r="A433" s="13">
        <f t="shared" ca="1" si="6"/>
        <v>44564</v>
      </c>
      <c r="B433" s="26">
        <v>0.48199999999999998</v>
      </c>
      <c r="C433" s="27" t="s">
        <v>1420</v>
      </c>
      <c r="D433" s="28">
        <v>433</v>
      </c>
    </row>
    <row r="434" spans="1:4" x14ac:dyDescent="0.2">
      <c r="A434" s="13">
        <f t="shared" ca="1" si="6"/>
        <v>44565</v>
      </c>
      <c r="B434" s="26">
        <v>0.49919999999999998</v>
      </c>
      <c r="C434" s="27" t="s">
        <v>1413</v>
      </c>
      <c r="D434" s="28">
        <v>435</v>
      </c>
    </row>
    <row r="435" spans="1:4" x14ac:dyDescent="0.2">
      <c r="A435" s="13">
        <f t="shared" ca="1" si="6"/>
        <v>44566</v>
      </c>
      <c r="B435" s="26">
        <v>0.38179999999999997</v>
      </c>
      <c r="C435" s="27" t="s">
        <v>1425</v>
      </c>
      <c r="D435" s="28">
        <v>428</v>
      </c>
    </row>
    <row r="436" spans="1:4" x14ac:dyDescent="0.2">
      <c r="A436" s="13">
        <f t="shared" ca="1" si="6"/>
        <v>44567</v>
      </c>
      <c r="B436" s="26">
        <v>0.57189999999999996</v>
      </c>
      <c r="C436" s="27" t="s">
        <v>1419</v>
      </c>
      <c r="D436" s="28">
        <v>435</v>
      </c>
    </row>
    <row r="437" spans="1:4" x14ac:dyDescent="0.2">
      <c r="A437" s="13">
        <f t="shared" ca="1" si="6"/>
        <v>44568</v>
      </c>
      <c r="B437" s="26">
        <v>0.53620000000000001</v>
      </c>
      <c r="C437" s="27" t="s">
        <v>1425</v>
      </c>
      <c r="D437" s="28">
        <v>425</v>
      </c>
    </row>
    <row r="438" spans="1:4" x14ac:dyDescent="0.2">
      <c r="A438" s="13">
        <f t="shared" ca="1" si="6"/>
        <v>44569</v>
      </c>
      <c r="B438" s="26">
        <v>0.43380000000000002</v>
      </c>
      <c r="C438" s="27" t="s">
        <v>1418</v>
      </c>
      <c r="D438" s="28">
        <v>435</v>
      </c>
    </row>
    <row r="439" spans="1:4" x14ac:dyDescent="0.2">
      <c r="A439" s="13">
        <f t="shared" ca="1" si="6"/>
        <v>44570</v>
      </c>
      <c r="B439" s="26">
        <v>0.41889999999999999</v>
      </c>
      <c r="C439" s="27" t="s">
        <v>1425</v>
      </c>
      <c r="D439" s="28">
        <v>430</v>
      </c>
    </row>
    <row r="440" spans="1:4" x14ac:dyDescent="0.2">
      <c r="A440" s="13">
        <f t="shared" ca="1" si="6"/>
        <v>44571</v>
      </c>
      <c r="B440" s="26">
        <v>0.43609999999999999</v>
      </c>
      <c r="C440" s="27" t="s">
        <v>1424</v>
      </c>
      <c r="D440" s="28">
        <v>432</v>
      </c>
    </row>
    <row r="441" spans="1:4" x14ac:dyDescent="0.2">
      <c r="A441" s="13">
        <f t="shared" ca="1" si="6"/>
        <v>44572</v>
      </c>
      <c r="B441" s="26">
        <v>0.3543</v>
      </c>
      <c r="C441" s="27" t="s">
        <v>1426</v>
      </c>
      <c r="D441" s="28">
        <v>430</v>
      </c>
    </row>
    <row r="442" spans="1:4" x14ac:dyDescent="0.2">
      <c r="A442" s="13">
        <f t="shared" ca="1" si="6"/>
        <v>44573</v>
      </c>
      <c r="B442" s="26">
        <v>0.39190000000000003</v>
      </c>
      <c r="C442" s="27" t="s">
        <v>1423</v>
      </c>
      <c r="D442" s="28">
        <v>431</v>
      </c>
    </row>
    <row r="443" spans="1:4" x14ac:dyDescent="0.2">
      <c r="A443" s="13">
        <f t="shared" ca="1" si="6"/>
        <v>44574</v>
      </c>
      <c r="B443" s="26">
        <v>0.35520000000000002</v>
      </c>
      <c r="C443" s="27" t="s">
        <v>1418</v>
      </c>
      <c r="D443" s="28">
        <v>432</v>
      </c>
    </row>
    <row r="444" spans="1:4" x14ac:dyDescent="0.2">
      <c r="A444" s="13">
        <f t="shared" ca="1" si="6"/>
        <v>44575</v>
      </c>
      <c r="B444" s="26">
        <v>0.4657</v>
      </c>
      <c r="C444" s="27" t="s">
        <v>1425</v>
      </c>
      <c r="D444" s="28">
        <v>424</v>
      </c>
    </row>
    <row r="445" spans="1:4" x14ac:dyDescent="0.2">
      <c r="A445" s="13">
        <f t="shared" ca="1" si="6"/>
        <v>44576</v>
      </c>
      <c r="B445" s="26">
        <v>0.40689999999999998</v>
      </c>
      <c r="C445" s="27" t="s">
        <v>1424</v>
      </c>
      <c r="D445" s="28">
        <v>430</v>
      </c>
    </row>
    <row r="446" spans="1:4" x14ac:dyDescent="0.2">
      <c r="A446" s="13">
        <f t="shared" ca="1" si="6"/>
        <v>44577</v>
      </c>
      <c r="B446" s="26">
        <v>0.59940000000000004</v>
      </c>
      <c r="C446" s="27" t="s">
        <v>1420</v>
      </c>
      <c r="D446" s="28">
        <v>420</v>
      </c>
    </row>
    <row r="447" spans="1:4" x14ac:dyDescent="0.2">
      <c r="A447" s="13">
        <f t="shared" ca="1" si="6"/>
        <v>44578</v>
      </c>
      <c r="B447" s="26">
        <v>0.40429999999999999</v>
      </c>
      <c r="C447" s="27" t="s">
        <v>1421</v>
      </c>
      <c r="D447" s="28">
        <v>430</v>
      </c>
    </row>
    <row r="448" spans="1:4" x14ac:dyDescent="0.2">
      <c r="A448" s="13">
        <f t="shared" ca="1" si="6"/>
        <v>44579</v>
      </c>
      <c r="B448" s="26">
        <v>0.47889999999999999</v>
      </c>
      <c r="C448" s="27" t="s">
        <v>1424</v>
      </c>
      <c r="D448" s="28">
        <v>424</v>
      </c>
    </row>
    <row r="449" spans="1:4" x14ac:dyDescent="0.2">
      <c r="A449" s="13">
        <f t="shared" ca="1" si="6"/>
        <v>44580</v>
      </c>
      <c r="B449" s="26">
        <v>0.47520000000000001</v>
      </c>
      <c r="C449" s="27" t="s">
        <v>1418</v>
      </c>
      <c r="D449" s="28">
        <v>434</v>
      </c>
    </row>
    <row r="450" spans="1:4" x14ac:dyDescent="0.2">
      <c r="A450" s="13">
        <f t="shared" ref="A450:A503" ca="1" si="7">TODAY()-(505-ROW())</f>
        <v>44581</v>
      </c>
      <c r="B450" s="26">
        <v>0.35610000000000003</v>
      </c>
      <c r="C450" s="27" t="s">
        <v>1425</v>
      </c>
      <c r="D450" s="28">
        <v>422</v>
      </c>
    </row>
    <row r="451" spans="1:4" x14ac:dyDescent="0.2">
      <c r="A451" s="13">
        <f t="shared" ca="1" si="7"/>
        <v>44582</v>
      </c>
      <c r="B451" s="26">
        <v>0.38729999999999998</v>
      </c>
      <c r="C451" s="27" t="s">
        <v>1421</v>
      </c>
      <c r="D451" s="28">
        <v>424</v>
      </c>
    </row>
    <row r="452" spans="1:4" x14ac:dyDescent="0.2">
      <c r="A452" s="13">
        <f t="shared" ca="1" si="7"/>
        <v>44583</v>
      </c>
      <c r="B452" s="26">
        <v>0.6109</v>
      </c>
      <c r="C452" s="27" t="s">
        <v>1414</v>
      </c>
      <c r="D452" s="28">
        <v>436</v>
      </c>
    </row>
    <row r="453" spans="1:4" x14ac:dyDescent="0.2">
      <c r="A453" s="13">
        <f t="shared" ca="1" si="7"/>
        <v>44584</v>
      </c>
      <c r="B453" s="26">
        <v>0.3422</v>
      </c>
      <c r="C453" s="27" t="s">
        <v>1415</v>
      </c>
      <c r="D453" s="28">
        <v>436</v>
      </c>
    </row>
    <row r="454" spans="1:4" x14ac:dyDescent="0.2">
      <c r="A454" s="13">
        <f t="shared" ca="1" si="7"/>
        <v>44585</v>
      </c>
      <c r="B454" s="26">
        <v>0.35360000000000003</v>
      </c>
      <c r="C454" s="27" t="s">
        <v>1416</v>
      </c>
      <c r="D454" s="28">
        <v>420</v>
      </c>
    </row>
    <row r="455" spans="1:4" x14ac:dyDescent="0.2">
      <c r="A455" s="13">
        <f t="shared" ca="1" si="7"/>
        <v>44586</v>
      </c>
      <c r="B455" s="26">
        <v>0.65149999999999997</v>
      </c>
      <c r="C455" s="27" t="s">
        <v>1412</v>
      </c>
      <c r="D455" s="28">
        <v>429</v>
      </c>
    </row>
    <row r="456" spans="1:4" x14ac:dyDescent="0.2">
      <c r="A456" s="13">
        <f t="shared" ca="1" si="7"/>
        <v>44587</v>
      </c>
      <c r="B456" s="26">
        <v>0.44309999999999999</v>
      </c>
      <c r="C456" s="27" t="s">
        <v>1423</v>
      </c>
      <c r="D456" s="28">
        <v>423</v>
      </c>
    </row>
    <row r="457" spans="1:4" x14ac:dyDescent="0.2">
      <c r="A457" s="13">
        <f t="shared" ca="1" si="7"/>
        <v>44588</v>
      </c>
      <c r="B457" s="26">
        <v>0.45369999999999999</v>
      </c>
      <c r="C457" s="27" t="s">
        <v>1418</v>
      </c>
      <c r="D457" s="28">
        <v>429</v>
      </c>
    </row>
    <row r="458" spans="1:4" x14ac:dyDescent="0.2">
      <c r="A458" s="13">
        <f t="shared" ca="1" si="7"/>
        <v>44589</v>
      </c>
      <c r="B458" s="26">
        <v>0.52949999999999997</v>
      </c>
      <c r="C458" s="27" t="s">
        <v>1421</v>
      </c>
      <c r="D458" s="28">
        <v>431</v>
      </c>
    </row>
    <row r="459" spans="1:4" x14ac:dyDescent="0.2">
      <c r="A459" s="13">
        <f t="shared" ca="1" si="7"/>
        <v>44590</v>
      </c>
      <c r="B459" s="26">
        <v>0.54359999999999997</v>
      </c>
      <c r="C459" s="27" t="s">
        <v>1412</v>
      </c>
      <c r="D459" s="28">
        <v>424</v>
      </c>
    </row>
    <row r="460" spans="1:4" x14ac:dyDescent="0.2">
      <c r="A460" s="13">
        <f t="shared" ca="1" si="7"/>
        <v>44591</v>
      </c>
      <c r="B460" s="26">
        <v>0.61939999999999995</v>
      </c>
      <c r="C460" s="27" t="s">
        <v>1414</v>
      </c>
      <c r="D460" s="28">
        <v>426</v>
      </c>
    </row>
    <row r="461" spans="1:4" x14ac:dyDescent="0.2">
      <c r="A461" s="13">
        <f t="shared" ca="1" si="7"/>
        <v>44592</v>
      </c>
      <c r="B461" s="26">
        <v>0.40770000000000001</v>
      </c>
      <c r="C461" s="27" t="s">
        <v>1413</v>
      </c>
      <c r="D461" s="28">
        <v>431</v>
      </c>
    </row>
    <row r="462" spans="1:4" x14ac:dyDescent="0.2">
      <c r="A462" s="13">
        <f t="shared" ca="1" si="7"/>
        <v>44593</v>
      </c>
      <c r="B462" s="26">
        <v>0.4889</v>
      </c>
      <c r="C462" s="27" t="s">
        <v>1414</v>
      </c>
      <c r="D462" s="28">
        <v>429</v>
      </c>
    </row>
    <row r="463" spans="1:4" x14ac:dyDescent="0.2">
      <c r="A463" s="13">
        <f t="shared" ca="1" si="7"/>
        <v>44594</v>
      </c>
      <c r="B463" s="26">
        <v>0.33679999999999999</v>
      </c>
      <c r="C463" s="27" t="s">
        <v>1420</v>
      </c>
      <c r="D463" s="28">
        <v>427</v>
      </c>
    </row>
    <row r="464" spans="1:4" x14ac:dyDescent="0.2">
      <c r="A464" s="13">
        <f t="shared" ca="1" si="7"/>
        <v>44595</v>
      </c>
      <c r="B464" s="26">
        <v>0.45779999999999998</v>
      </c>
      <c r="C464" s="27" t="s">
        <v>1417</v>
      </c>
      <c r="D464" s="28">
        <v>431</v>
      </c>
    </row>
    <row r="465" spans="1:4" x14ac:dyDescent="0.2">
      <c r="A465" s="13">
        <f t="shared" ca="1" si="7"/>
        <v>44596</v>
      </c>
      <c r="B465" s="26">
        <v>0.4234</v>
      </c>
      <c r="C465" s="27" t="s">
        <v>1418</v>
      </c>
      <c r="D465" s="28">
        <v>420</v>
      </c>
    </row>
    <row r="466" spans="1:4" x14ac:dyDescent="0.2">
      <c r="A466" s="13">
        <f t="shared" ca="1" si="7"/>
        <v>44597</v>
      </c>
      <c r="B466" s="26">
        <v>0.62780000000000002</v>
      </c>
      <c r="C466" s="27" t="s">
        <v>1419</v>
      </c>
      <c r="D466" s="28">
        <v>424</v>
      </c>
    </row>
    <row r="467" spans="1:4" x14ac:dyDescent="0.2">
      <c r="A467" s="13">
        <f t="shared" ca="1" si="7"/>
        <v>44598</v>
      </c>
      <c r="B467" s="26">
        <v>0.3493</v>
      </c>
      <c r="C467" s="27" t="s">
        <v>1415</v>
      </c>
      <c r="D467" s="28">
        <v>432</v>
      </c>
    </row>
    <row r="468" spans="1:4" x14ac:dyDescent="0.2">
      <c r="A468" s="13">
        <f t="shared" ca="1" si="7"/>
        <v>44599</v>
      </c>
      <c r="B468" s="26">
        <v>0.46700000000000003</v>
      </c>
      <c r="C468" s="27" t="s">
        <v>1418</v>
      </c>
      <c r="D468" s="28">
        <v>432</v>
      </c>
    </row>
    <row r="469" spans="1:4" x14ac:dyDescent="0.2">
      <c r="A469" s="13">
        <f t="shared" ca="1" si="7"/>
        <v>44600</v>
      </c>
      <c r="B469" s="26">
        <v>0.42880000000000001</v>
      </c>
      <c r="C469" s="27" t="s">
        <v>1421</v>
      </c>
      <c r="D469" s="28">
        <v>427</v>
      </c>
    </row>
    <row r="470" spans="1:4" x14ac:dyDescent="0.2">
      <c r="A470" s="13">
        <f t="shared" ca="1" si="7"/>
        <v>44601</v>
      </c>
      <c r="B470" s="26">
        <v>0.53210000000000002</v>
      </c>
      <c r="C470" s="27" t="s">
        <v>1412</v>
      </c>
      <c r="D470" s="28">
        <v>432</v>
      </c>
    </row>
    <row r="471" spans="1:4" x14ac:dyDescent="0.2">
      <c r="A471" s="13">
        <f t="shared" ca="1" si="7"/>
        <v>44602</v>
      </c>
      <c r="B471" s="26">
        <v>0.64300000000000002</v>
      </c>
      <c r="C471" s="27" t="s">
        <v>1413</v>
      </c>
      <c r="D471" s="28">
        <v>435</v>
      </c>
    </row>
    <row r="472" spans="1:4" x14ac:dyDescent="0.2">
      <c r="A472" s="13">
        <f t="shared" ca="1" si="7"/>
        <v>44603</v>
      </c>
      <c r="B472" s="26">
        <v>0.4415</v>
      </c>
      <c r="C472" s="27" t="s">
        <v>1417</v>
      </c>
      <c r="D472" s="28">
        <v>436</v>
      </c>
    </row>
    <row r="473" spans="1:4" x14ac:dyDescent="0.2">
      <c r="A473" s="13">
        <f t="shared" ca="1" si="7"/>
        <v>44604</v>
      </c>
      <c r="B473" s="26">
        <v>0.33960000000000001</v>
      </c>
      <c r="C473" s="27" t="s">
        <v>1415</v>
      </c>
      <c r="D473" s="28">
        <v>435</v>
      </c>
    </row>
    <row r="474" spans="1:4" x14ac:dyDescent="0.2">
      <c r="A474" s="13">
        <f t="shared" ca="1" si="7"/>
        <v>44605</v>
      </c>
      <c r="B474" s="26">
        <v>0.40289999999999998</v>
      </c>
      <c r="C474" s="27" t="s">
        <v>1413</v>
      </c>
      <c r="D474" s="28">
        <v>425</v>
      </c>
    </row>
    <row r="475" spans="1:4" x14ac:dyDescent="0.2">
      <c r="A475" s="13">
        <f t="shared" ca="1" si="7"/>
        <v>44606</v>
      </c>
      <c r="B475" s="26">
        <v>0.44429999999999997</v>
      </c>
      <c r="C475" s="27" t="s">
        <v>1422</v>
      </c>
      <c r="D475" s="28">
        <v>432</v>
      </c>
    </row>
    <row r="476" spans="1:4" x14ac:dyDescent="0.2">
      <c r="A476" s="13">
        <f t="shared" ca="1" si="7"/>
        <v>44607</v>
      </c>
      <c r="B476" s="26">
        <v>0.47</v>
      </c>
      <c r="C476" s="27" t="s">
        <v>1418</v>
      </c>
      <c r="D476" s="28">
        <v>436</v>
      </c>
    </row>
    <row r="477" spans="1:4" x14ac:dyDescent="0.2">
      <c r="A477" s="13">
        <f t="shared" ca="1" si="7"/>
        <v>44608</v>
      </c>
      <c r="B477" s="26">
        <v>0.57550000000000001</v>
      </c>
      <c r="C477" s="27" t="s">
        <v>1417</v>
      </c>
      <c r="D477" s="28">
        <v>423</v>
      </c>
    </row>
    <row r="478" spans="1:4" x14ac:dyDescent="0.2">
      <c r="A478" s="13">
        <f t="shared" ca="1" si="7"/>
        <v>44609</v>
      </c>
      <c r="B478" s="26">
        <v>0.60809999999999997</v>
      </c>
      <c r="C478" s="27" t="s">
        <v>1421</v>
      </c>
      <c r="D478" s="28">
        <v>426</v>
      </c>
    </row>
    <row r="479" spans="1:4" x14ac:dyDescent="0.2">
      <c r="A479" s="13">
        <f t="shared" ca="1" si="7"/>
        <v>44610</v>
      </c>
      <c r="B479" s="26">
        <v>0.44719999999999999</v>
      </c>
      <c r="C479" s="27" t="s">
        <v>1424</v>
      </c>
      <c r="D479" s="28">
        <v>430</v>
      </c>
    </row>
    <row r="480" spans="1:4" x14ac:dyDescent="0.2">
      <c r="A480" s="13">
        <f t="shared" ca="1" si="7"/>
        <v>44611</v>
      </c>
      <c r="B480" s="26">
        <v>0.65969999999999995</v>
      </c>
      <c r="C480" s="27" t="s">
        <v>1415</v>
      </c>
      <c r="D480" s="28">
        <v>430</v>
      </c>
    </row>
    <row r="481" spans="1:4" x14ac:dyDescent="0.2">
      <c r="A481" s="13">
        <f t="shared" ca="1" si="7"/>
        <v>44612</v>
      </c>
      <c r="B481" s="26">
        <v>0.37980000000000003</v>
      </c>
      <c r="C481" s="27" t="s">
        <v>1414</v>
      </c>
      <c r="D481" s="28">
        <v>432</v>
      </c>
    </row>
    <row r="482" spans="1:4" x14ac:dyDescent="0.2">
      <c r="A482" s="13">
        <f t="shared" ca="1" si="7"/>
        <v>44613</v>
      </c>
      <c r="B482" s="26">
        <v>0.65169999999999995</v>
      </c>
      <c r="C482" s="27" t="s">
        <v>1419</v>
      </c>
      <c r="D482" s="28">
        <v>421</v>
      </c>
    </row>
    <row r="483" spans="1:4" x14ac:dyDescent="0.2">
      <c r="A483" s="13">
        <f t="shared" ca="1" si="7"/>
        <v>44614</v>
      </c>
      <c r="B483" s="26">
        <v>0.55710000000000004</v>
      </c>
      <c r="C483" s="27" t="s">
        <v>1417</v>
      </c>
      <c r="D483" s="28">
        <v>423</v>
      </c>
    </row>
    <row r="484" spans="1:4" x14ac:dyDescent="0.2">
      <c r="A484" s="13">
        <f t="shared" ca="1" si="7"/>
        <v>44615</v>
      </c>
      <c r="B484" s="26">
        <v>0.63849999999999996</v>
      </c>
      <c r="C484" s="27" t="s">
        <v>1417</v>
      </c>
      <c r="D484" s="28">
        <v>432</v>
      </c>
    </row>
    <row r="485" spans="1:4" x14ac:dyDescent="0.2">
      <c r="A485" s="13">
        <f t="shared" ca="1" si="7"/>
        <v>44616</v>
      </c>
      <c r="B485" s="26">
        <v>0.6462</v>
      </c>
      <c r="C485" s="27" t="s">
        <v>1418</v>
      </c>
      <c r="D485" s="28">
        <v>436</v>
      </c>
    </row>
    <row r="486" spans="1:4" x14ac:dyDescent="0.2">
      <c r="A486" s="13">
        <f t="shared" ca="1" si="7"/>
        <v>44617</v>
      </c>
      <c r="B486" s="26">
        <v>0.42409999999999998</v>
      </c>
      <c r="C486" s="27" t="s">
        <v>1426</v>
      </c>
      <c r="D486" s="28">
        <v>421</v>
      </c>
    </row>
    <row r="487" spans="1:4" x14ac:dyDescent="0.2">
      <c r="A487" s="13">
        <f t="shared" ca="1" si="7"/>
        <v>44618</v>
      </c>
      <c r="B487" s="26">
        <v>0.4894</v>
      </c>
      <c r="C487" s="27" t="s">
        <v>1424</v>
      </c>
      <c r="D487" s="28">
        <v>423</v>
      </c>
    </row>
    <row r="488" spans="1:4" x14ac:dyDescent="0.2">
      <c r="A488" s="13">
        <f t="shared" ca="1" si="7"/>
        <v>44619</v>
      </c>
      <c r="B488" s="26">
        <v>0.4456</v>
      </c>
      <c r="C488" s="27" t="s">
        <v>1424</v>
      </c>
      <c r="D488" s="28">
        <v>422</v>
      </c>
    </row>
    <row r="489" spans="1:4" x14ac:dyDescent="0.2">
      <c r="A489" s="13">
        <f t="shared" ca="1" si="7"/>
        <v>44620</v>
      </c>
      <c r="B489" s="26">
        <v>0.45429999999999998</v>
      </c>
      <c r="C489" s="27" t="s">
        <v>1418</v>
      </c>
      <c r="D489" s="28">
        <v>426</v>
      </c>
    </row>
    <row r="490" spans="1:4" x14ac:dyDescent="0.2">
      <c r="A490" s="13">
        <f t="shared" ca="1" si="7"/>
        <v>44621</v>
      </c>
      <c r="B490" s="26">
        <v>0.60199999999999998</v>
      </c>
      <c r="C490" s="27" t="s">
        <v>1417</v>
      </c>
      <c r="D490" s="28">
        <v>430</v>
      </c>
    </row>
    <row r="491" spans="1:4" x14ac:dyDescent="0.2">
      <c r="A491" s="13">
        <f t="shared" ca="1" si="7"/>
        <v>44622</v>
      </c>
      <c r="B491" s="26">
        <v>0.45329999999999998</v>
      </c>
      <c r="C491" s="27" t="s">
        <v>1423</v>
      </c>
      <c r="D491" s="28">
        <v>423</v>
      </c>
    </row>
    <row r="492" spans="1:4" x14ac:dyDescent="0.2">
      <c r="A492" s="13">
        <f t="shared" ca="1" si="7"/>
        <v>44623</v>
      </c>
      <c r="B492" s="26">
        <v>0.38290000000000002</v>
      </c>
      <c r="C492" s="27" t="s">
        <v>1425</v>
      </c>
      <c r="D492" s="28">
        <v>432</v>
      </c>
    </row>
    <row r="493" spans="1:4" x14ac:dyDescent="0.2">
      <c r="A493" s="13">
        <f t="shared" ca="1" si="7"/>
        <v>44624</v>
      </c>
      <c r="B493" s="26">
        <v>0.5615</v>
      </c>
      <c r="C493" s="27" t="s">
        <v>1425</v>
      </c>
      <c r="D493" s="28">
        <v>430</v>
      </c>
    </row>
    <row r="494" spans="1:4" x14ac:dyDescent="0.2">
      <c r="A494" s="13">
        <f t="shared" ca="1" si="7"/>
        <v>44625</v>
      </c>
      <c r="B494" s="26">
        <v>0.49080000000000001</v>
      </c>
      <c r="C494" s="27" t="s">
        <v>1421</v>
      </c>
      <c r="D494" s="28">
        <v>432</v>
      </c>
    </row>
    <row r="495" spans="1:4" x14ac:dyDescent="0.2">
      <c r="A495" s="13">
        <f t="shared" ca="1" si="7"/>
        <v>44626</v>
      </c>
      <c r="B495" s="26">
        <v>0.43490000000000001</v>
      </c>
      <c r="C495" s="27" t="s">
        <v>1420</v>
      </c>
      <c r="D495" s="28">
        <v>435</v>
      </c>
    </row>
    <row r="496" spans="1:4" x14ac:dyDescent="0.2">
      <c r="A496" s="13">
        <f t="shared" ca="1" si="7"/>
        <v>44627</v>
      </c>
      <c r="B496" s="26">
        <v>0.6452</v>
      </c>
      <c r="C496" s="27" t="s">
        <v>1423</v>
      </c>
      <c r="D496" s="28">
        <v>432</v>
      </c>
    </row>
    <row r="497" spans="1:4" x14ac:dyDescent="0.2">
      <c r="A497" s="13">
        <f t="shared" ca="1" si="7"/>
        <v>44628</v>
      </c>
      <c r="B497" s="26">
        <v>0.61680000000000001</v>
      </c>
      <c r="C497" s="27" t="s">
        <v>1419</v>
      </c>
      <c r="D497" s="28">
        <v>428</v>
      </c>
    </row>
    <row r="498" spans="1:4" x14ac:dyDescent="0.2">
      <c r="A498" s="13">
        <f t="shared" ca="1" si="7"/>
        <v>44629</v>
      </c>
      <c r="B498" s="26">
        <v>0.42809999999999998</v>
      </c>
      <c r="C498" s="27" t="s">
        <v>1426</v>
      </c>
      <c r="D498" s="28">
        <v>422</v>
      </c>
    </row>
    <row r="499" spans="1:4" x14ac:dyDescent="0.2">
      <c r="A499" s="13">
        <f t="shared" ca="1" si="7"/>
        <v>44630</v>
      </c>
      <c r="B499" s="26">
        <v>0.5978</v>
      </c>
      <c r="C499" s="27" t="s">
        <v>1422</v>
      </c>
      <c r="D499" s="28">
        <v>430</v>
      </c>
    </row>
    <row r="500" spans="1:4" x14ac:dyDescent="0.2">
      <c r="A500" s="13">
        <f t="shared" ca="1" si="7"/>
        <v>44631</v>
      </c>
      <c r="B500" s="26">
        <v>0.35170000000000001</v>
      </c>
      <c r="C500" s="27" t="s">
        <v>1421</v>
      </c>
      <c r="D500" s="28">
        <v>422</v>
      </c>
    </row>
    <row r="501" spans="1:4" x14ac:dyDescent="0.2">
      <c r="A501" s="13">
        <f t="shared" ca="1" si="7"/>
        <v>44632</v>
      </c>
      <c r="B501" s="26">
        <v>0.64859999999999995</v>
      </c>
      <c r="C501" s="27" t="s">
        <v>1412</v>
      </c>
      <c r="D501" s="28">
        <v>427</v>
      </c>
    </row>
    <row r="502" spans="1:4" x14ac:dyDescent="0.2">
      <c r="A502" s="13">
        <f t="shared" ca="1" si="7"/>
        <v>44633</v>
      </c>
      <c r="B502" s="26">
        <v>0.42230000000000001</v>
      </c>
      <c r="C502" s="27" t="s">
        <v>1416</v>
      </c>
      <c r="D502" s="28">
        <v>425</v>
      </c>
    </row>
    <row r="503" spans="1:4" x14ac:dyDescent="0.2">
      <c r="A503" s="13">
        <f t="shared" ca="1" si="7"/>
        <v>44634</v>
      </c>
      <c r="B503" s="26">
        <v>0.62109999999999999</v>
      </c>
      <c r="C503" s="27" t="s">
        <v>1418</v>
      </c>
      <c r="D503" s="28">
        <v>425</v>
      </c>
    </row>
    <row r="504" spans="1:4" x14ac:dyDescent="0.2">
      <c r="A504" s="13">
        <f ca="1">TODAY()-(505-ROW())</f>
        <v>44635</v>
      </c>
      <c r="B504" s="26">
        <v>0.47639999999999999</v>
      </c>
      <c r="C504" s="27" t="s">
        <v>1416</v>
      </c>
      <c r="D504" s="28">
        <v>427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5337-155A-42AC-8464-641BF221F4E6}">
  <dimension ref="A1:I546"/>
  <sheetViews>
    <sheetView workbookViewId="0">
      <selection activeCell="E17" sqref="E17"/>
    </sheetView>
  </sheetViews>
  <sheetFormatPr defaultRowHeight="12" x14ac:dyDescent="0.2"/>
  <cols>
    <col min="1" max="1" width="11.83203125" customWidth="1"/>
    <col min="2" max="2" width="11.83203125" style="6" customWidth="1"/>
    <col min="3" max="6" width="11.83203125" customWidth="1"/>
    <col min="7" max="7" width="19.83203125" customWidth="1"/>
    <col min="8" max="13" width="9.33203125" customWidth="1"/>
  </cols>
  <sheetData>
    <row r="1" spans="1:9" x14ac:dyDescent="0.2">
      <c r="A1" s="38" t="s">
        <v>1599</v>
      </c>
      <c r="B1" s="35" t="s">
        <v>1598</v>
      </c>
      <c r="C1" s="35" t="s">
        <v>1597</v>
      </c>
      <c r="D1" s="35" t="s">
        <v>1596</v>
      </c>
      <c r="E1" s="35" t="s">
        <v>1595</v>
      </c>
      <c r="F1" s="35" t="s">
        <v>1594</v>
      </c>
      <c r="G1" s="35" t="s">
        <v>1593</v>
      </c>
    </row>
    <row r="2" spans="1:9" x14ac:dyDescent="0.2">
      <c r="A2" s="32">
        <v>1</v>
      </c>
      <c r="B2" s="33" t="s">
        <v>1586</v>
      </c>
      <c r="C2" s="36">
        <f ca="1">TODAY()-5675</f>
        <v>38961</v>
      </c>
      <c r="D2" s="36">
        <f ca="1">TODAY()-5665</f>
        <v>38971</v>
      </c>
      <c r="E2" s="37">
        <v>583200</v>
      </c>
      <c r="F2" s="31" t="b">
        <v>0</v>
      </c>
      <c r="G2" s="34" t="s">
        <v>1520</v>
      </c>
    </row>
    <row r="3" spans="1:9" x14ac:dyDescent="0.2">
      <c r="A3" s="32">
        <v>2</v>
      </c>
      <c r="B3" s="33" t="s">
        <v>1590</v>
      </c>
      <c r="C3" s="36">
        <f ca="1">TODAY()-5651</f>
        <v>38985</v>
      </c>
      <c r="D3" s="36">
        <f ca="1">TODAY()-5641</f>
        <v>38995</v>
      </c>
      <c r="E3" s="37">
        <v>599500</v>
      </c>
      <c r="F3" s="31" t="b">
        <v>1</v>
      </c>
      <c r="G3" s="34" t="s">
        <v>1443</v>
      </c>
    </row>
    <row r="4" spans="1:9" x14ac:dyDescent="0.2">
      <c r="A4" s="32">
        <v>3</v>
      </c>
      <c r="B4" s="33" t="s">
        <v>1568</v>
      </c>
      <c r="C4" s="36">
        <f ca="1">TODAY()-5615</f>
        <v>39021</v>
      </c>
      <c r="D4" s="36">
        <f ca="1">TODAY()-5607</f>
        <v>39029</v>
      </c>
      <c r="E4" s="37">
        <v>804500</v>
      </c>
      <c r="F4" s="31" t="b">
        <v>0</v>
      </c>
      <c r="G4" s="34" t="s">
        <v>1520</v>
      </c>
      <c r="I4" s="3" t="s">
        <v>1601</v>
      </c>
    </row>
    <row r="5" spans="1:9" x14ac:dyDescent="0.2">
      <c r="A5" s="32">
        <v>4</v>
      </c>
      <c r="B5" s="33" t="s">
        <v>1556</v>
      </c>
      <c r="C5" s="36">
        <f ca="1">TODAY()-5578</f>
        <v>39058</v>
      </c>
      <c r="D5" s="36">
        <f ca="1">TODAY()-5568</f>
        <v>39068</v>
      </c>
      <c r="E5" s="37">
        <v>806100</v>
      </c>
      <c r="F5" s="31" t="b">
        <v>0</v>
      </c>
      <c r="G5" s="34" t="s">
        <v>1443</v>
      </c>
      <c r="I5" s="3" t="s">
        <v>1602</v>
      </c>
    </row>
    <row r="6" spans="1:9" x14ac:dyDescent="0.2">
      <c r="A6" s="32">
        <v>5</v>
      </c>
      <c r="B6" s="34" t="s">
        <v>1569</v>
      </c>
      <c r="C6" s="36">
        <f ca="1">TODAY()-5522</f>
        <v>39114</v>
      </c>
      <c r="D6" s="36">
        <f ca="1">TODAY()-5519</f>
        <v>39117</v>
      </c>
      <c r="E6" s="37">
        <v>66300</v>
      </c>
      <c r="F6" s="31" t="b">
        <v>0</v>
      </c>
      <c r="G6" s="34" t="s">
        <v>1443</v>
      </c>
      <c r="I6" s="3" t="s">
        <v>1603</v>
      </c>
    </row>
    <row r="7" spans="1:9" x14ac:dyDescent="0.2">
      <c r="A7" s="32">
        <v>6</v>
      </c>
      <c r="B7" s="33" t="s">
        <v>1543</v>
      </c>
      <c r="C7" s="36">
        <f ca="1">TODAY()-5505</f>
        <v>39131</v>
      </c>
      <c r="D7" s="36">
        <f ca="1">TODAY()-5504</f>
        <v>39132</v>
      </c>
      <c r="E7" s="37">
        <v>79000</v>
      </c>
      <c r="F7" s="31" t="b">
        <v>1</v>
      </c>
      <c r="G7" s="34" t="s">
        <v>1435</v>
      </c>
      <c r="I7" s="3" t="s">
        <v>1604</v>
      </c>
    </row>
    <row r="8" spans="1:9" x14ac:dyDescent="0.2">
      <c r="A8" s="32">
        <v>7</v>
      </c>
      <c r="B8" s="33" t="s">
        <v>1577</v>
      </c>
      <c r="C8" s="36">
        <f ca="1">TODAY()-5491</f>
        <v>39145</v>
      </c>
      <c r="D8" s="36">
        <f ca="1">TODAY()-5482</f>
        <v>39154</v>
      </c>
      <c r="E8" s="37">
        <v>766600</v>
      </c>
      <c r="F8" s="31" t="b">
        <v>1</v>
      </c>
      <c r="G8" s="34" t="s">
        <v>1443</v>
      </c>
    </row>
    <row r="9" spans="1:9" x14ac:dyDescent="0.2">
      <c r="A9" s="32">
        <v>8</v>
      </c>
      <c r="B9" s="33" t="s">
        <v>1550</v>
      </c>
      <c r="C9" s="36">
        <f ca="1">TODAY()-5474</f>
        <v>39162</v>
      </c>
      <c r="D9" s="36">
        <f ca="1">TODAY()-5471</f>
        <v>39165</v>
      </c>
      <c r="E9" s="37">
        <v>172500</v>
      </c>
      <c r="F9" s="31" t="b">
        <v>1</v>
      </c>
      <c r="G9" s="34" t="s">
        <v>1435</v>
      </c>
    </row>
    <row r="10" spans="1:9" x14ac:dyDescent="0.2">
      <c r="A10" s="32">
        <v>9</v>
      </c>
      <c r="B10" s="34" t="s">
        <v>1579</v>
      </c>
      <c r="C10" s="36">
        <f ca="1">TODAY()-5453</f>
        <v>39183</v>
      </c>
      <c r="D10" s="36">
        <f ca="1">TODAY()-5453</f>
        <v>39183</v>
      </c>
      <c r="E10" s="37">
        <v>182900</v>
      </c>
      <c r="F10" s="31" t="b">
        <v>0</v>
      </c>
      <c r="G10" s="34" t="s">
        <v>1443</v>
      </c>
    </row>
    <row r="11" spans="1:9" x14ac:dyDescent="0.2">
      <c r="A11" s="32">
        <v>10</v>
      </c>
      <c r="B11" s="34" t="s">
        <v>1570</v>
      </c>
      <c r="C11" s="36">
        <f ca="1">TODAY()-5429</f>
        <v>39207</v>
      </c>
      <c r="D11" s="36">
        <f ca="1">TODAY()-5428</f>
        <v>39208</v>
      </c>
      <c r="E11" s="37">
        <v>214100</v>
      </c>
      <c r="F11" s="31" t="b">
        <v>1</v>
      </c>
      <c r="G11" s="34" t="s">
        <v>1443</v>
      </c>
    </row>
    <row r="12" spans="1:9" x14ac:dyDescent="0.2">
      <c r="A12" s="32">
        <v>11</v>
      </c>
      <c r="B12" s="33" t="s">
        <v>1588</v>
      </c>
      <c r="C12" s="36">
        <f ca="1">TODAY()-5417</f>
        <v>39219</v>
      </c>
      <c r="D12" s="36">
        <f ca="1">TODAY()-5405</f>
        <v>39231</v>
      </c>
      <c r="E12" s="37">
        <v>832800</v>
      </c>
      <c r="F12" s="31" t="b">
        <v>1</v>
      </c>
      <c r="G12" s="34" t="s">
        <v>1443</v>
      </c>
    </row>
    <row r="13" spans="1:9" x14ac:dyDescent="0.2">
      <c r="A13" s="32">
        <v>12</v>
      </c>
      <c r="B13" s="33" t="s">
        <v>1549</v>
      </c>
      <c r="C13" s="36">
        <f ca="1">TODAY()-5404</f>
        <v>39232</v>
      </c>
      <c r="D13" s="36">
        <f ca="1">TODAY()-5396</f>
        <v>39240</v>
      </c>
      <c r="E13" s="37">
        <v>558500</v>
      </c>
      <c r="F13" s="31" t="b">
        <v>0</v>
      </c>
      <c r="G13" s="34" t="s">
        <v>1520</v>
      </c>
    </row>
    <row r="14" spans="1:9" x14ac:dyDescent="0.2">
      <c r="A14" s="32">
        <v>13</v>
      </c>
      <c r="B14" s="34" t="s">
        <v>1562</v>
      </c>
      <c r="C14" s="36">
        <f ca="1">TODAY()-5386</f>
        <v>39250</v>
      </c>
      <c r="D14" s="36">
        <f ca="1">TODAY()-5385</f>
        <v>39251</v>
      </c>
      <c r="E14" s="37">
        <v>100400</v>
      </c>
      <c r="F14" s="31" t="b">
        <v>0</v>
      </c>
      <c r="G14" s="34" t="s">
        <v>1520</v>
      </c>
    </row>
    <row r="15" spans="1:9" x14ac:dyDescent="0.2">
      <c r="A15" s="32">
        <v>14</v>
      </c>
      <c r="B15" s="33" t="s">
        <v>1526</v>
      </c>
      <c r="C15" s="36">
        <f ca="1">TODAY()-5376</f>
        <v>39260</v>
      </c>
      <c r="D15" s="36">
        <f ca="1">TODAY()-5367</f>
        <v>39269</v>
      </c>
      <c r="E15" s="37">
        <v>821300</v>
      </c>
      <c r="F15" s="31" t="b">
        <v>0</v>
      </c>
      <c r="G15" s="34" t="s">
        <v>1443</v>
      </c>
    </row>
    <row r="16" spans="1:9" x14ac:dyDescent="0.2">
      <c r="A16" s="32">
        <v>15</v>
      </c>
      <c r="B16" s="34" t="s">
        <v>1560</v>
      </c>
      <c r="C16" s="36">
        <f ca="1">TODAY()-5360</f>
        <v>39276</v>
      </c>
      <c r="D16" s="36">
        <f ca="1">TODAY()-5353</f>
        <v>39283</v>
      </c>
      <c r="E16" s="37">
        <v>397100</v>
      </c>
      <c r="F16" s="31" t="b">
        <v>1</v>
      </c>
      <c r="G16" s="34" t="s">
        <v>1443</v>
      </c>
    </row>
    <row r="17" spans="1:7" x14ac:dyDescent="0.2">
      <c r="A17" s="32">
        <v>16</v>
      </c>
      <c r="B17" s="34" t="s">
        <v>1571</v>
      </c>
      <c r="C17" s="36">
        <f ca="1">TODAY()-5345</f>
        <v>39291</v>
      </c>
      <c r="D17" s="36">
        <f ca="1">TODAY()-5343</f>
        <v>39293</v>
      </c>
      <c r="E17" s="37">
        <v>145300</v>
      </c>
      <c r="F17" s="31" t="b">
        <v>1</v>
      </c>
      <c r="G17" s="34" t="s">
        <v>1520</v>
      </c>
    </row>
    <row r="18" spans="1:7" x14ac:dyDescent="0.2">
      <c r="A18" s="32">
        <v>17</v>
      </c>
      <c r="B18" s="34" t="s">
        <v>1551</v>
      </c>
      <c r="C18" s="36">
        <f ca="1">TODAY()-5319</f>
        <v>39317</v>
      </c>
      <c r="D18" s="36">
        <f ca="1">TODAY()-5317</f>
        <v>39319</v>
      </c>
      <c r="E18" s="37">
        <v>99100</v>
      </c>
      <c r="F18" s="31" t="b">
        <v>0</v>
      </c>
      <c r="G18" s="34" t="s">
        <v>1520</v>
      </c>
    </row>
    <row r="19" spans="1:7" x14ac:dyDescent="0.2">
      <c r="A19" s="32">
        <v>18</v>
      </c>
      <c r="B19" s="34" t="s">
        <v>1566</v>
      </c>
      <c r="C19" s="36">
        <f ca="1">TODAY()-5303</f>
        <v>39333</v>
      </c>
      <c r="D19" s="36">
        <f ca="1">TODAY()-5296</f>
        <v>39340</v>
      </c>
      <c r="E19" s="37">
        <v>431200</v>
      </c>
      <c r="F19" s="31" t="b">
        <v>1</v>
      </c>
      <c r="G19" s="34" t="s">
        <v>1443</v>
      </c>
    </row>
    <row r="20" spans="1:7" x14ac:dyDescent="0.2">
      <c r="A20" s="32">
        <v>19</v>
      </c>
      <c r="B20" s="34" t="s">
        <v>1548</v>
      </c>
      <c r="C20" s="36">
        <f ca="1">TODAY()-5301</f>
        <v>39335</v>
      </c>
      <c r="D20" s="36">
        <f ca="1">TODAY()-5289</f>
        <v>39347</v>
      </c>
      <c r="E20" s="37">
        <v>919900</v>
      </c>
      <c r="F20" s="31" t="b">
        <v>0</v>
      </c>
      <c r="G20" s="34" t="s">
        <v>1520</v>
      </c>
    </row>
    <row r="21" spans="1:7" x14ac:dyDescent="0.2">
      <c r="A21" s="32">
        <v>20</v>
      </c>
      <c r="B21" s="34" t="s">
        <v>1592</v>
      </c>
      <c r="C21" s="36">
        <f ca="1">TODAY()-5282</f>
        <v>39354</v>
      </c>
      <c r="D21" s="36">
        <f ca="1">TODAY()-5273</f>
        <v>39363</v>
      </c>
      <c r="E21" s="37">
        <v>569500</v>
      </c>
      <c r="F21" s="31" t="b">
        <v>0</v>
      </c>
      <c r="G21" s="34" t="s">
        <v>1443</v>
      </c>
    </row>
    <row r="22" spans="1:7" x14ac:dyDescent="0.2">
      <c r="A22" s="32">
        <v>21</v>
      </c>
      <c r="B22" s="34" t="s">
        <v>1547</v>
      </c>
      <c r="C22" s="36">
        <f ca="1">TODAY()-5257</f>
        <v>39379</v>
      </c>
      <c r="D22" s="36">
        <f ca="1">TODAY()-5255</f>
        <v>39381</v>
      </c>
      <c r="E22" s="37">
        <v>74600</v>
      </c>
      <c r="F22" s="31" t="b">
        <v>1</v>
      </c>
      <c r="G22" s="34" t="s">
        <v>1520</v>
      </c>
    </row>
    <row r="23" spans="1:7" x14ac:dyDescent="0.2">
      <c r="A23" s="32">
        <v>22</v>
      </c>
      <c r="B23" s="34" t="s">
        <v>1568</v>
      </c>
      <c r="C23" s="36">
        <f ca="1">TODAY()-5246</f>
        <v>39390</v>
      </c>
      <c r="D23" s="36">
        <f ca="1">TODAY()-5244</f>
        <v>39392</v>
      </c>
      <c r="E23" s="37">
        <v>180500</v>
      </c>
      <c r="F23" s="31" t="b">
        <v>0</v>
      </c>
      <c r="G23" s="34" t="s">
        <v>1520</v>
      </c>
    </row>
    <row r="24" spans="1:7" x14ac:dyDescent="0.2">
      <c r="A24" s="32">
        <v>23</v>
      </c>
      <c r="B24" s="34" t="s">
        <v>1573</v>
      </c>
      <c r="C24" s="36">
        <f ca="1">TODAY()-5243</f>
        <v>39393</v>
      </c>
      <c r="D24" s="36">
        <f ca="1">TODAY()-5234</f>
        <v>39402</v>
      </c>
      <c r="E24" s="37">
        <v>589900</v>
      </c>
      <c r="F24" s="31" t="b">
        <v>1</v>
      </c>
      <c r="G24" s="34" t="s">
        <v>1443</v>
      </c>
    </row>
    <row r="25" spans="1:7" x14ac:dyDescent="0.2">
      <c r="A25" s="32">
        <v>24</v>
      </c>
      <c r="B25" s="34" t="s">
        <v>1567</v>
      </c>
      <c r="C25" s="36">
        <f ca="1">TODAY()-5219</f>
        <v>39417</v>
      </c>
      <c r="D25" s="36">
        <f ca="1">TODAY()-5209</f>
        <v>39427</v>
      </c>
      <c r="E25" s="37">
        <v>826600</v>
      </c>
      <c r="F25" s="31" t="b">
        <v>1</v>
      </c>
      <c r="G25" s="34" t="s">
        <v>1520</v>
      </c>
    </row>
    <row r="26" spans="1:7" x14ac:dyDescent="0.2">
      <c r="A26" s="32">
        <v>25</v>
      </c>
      <c r="B26" s="34" t="s">
        <v>1583</v>
      </c>
      <c r="C26" s="36">
        <f ca="1">TODAY()-5195</f>
        <v>39441</v>
      </c>
      <c r="D26" s="36">
        <f ca="1">TODAY()-5193</f>
        <v>39443</v>
      </c>
      <c r="E26" s="37">
        <v>111400</v>
      </c>
      <c r="F26" s="31" t="b">
        <v>1</v>
      </c>
      <c r="G26" s="34" t="s">
        <v>1520</v>
      </c>
    </row>
    <row r="27" spans="1:7" x14ac:dyDescent="0.2">
      <c r="A27" s="32">
        <v>26</v>
      </c>
      <c r="B27" s="34" t="s">
        <v>1562</v>
      </c>
      <c r="C27" s="36">
        <f ca="1">TODAY()-5177</f>
        <v>39459</v>
      </c>
      <c r="D27" s="36">
        <f ca="1">TODAY()-5175</f>
        <v>39461</v>
      </c>
      <c r="E27" s="37">
        <v>148900</v>
      </c>
      <c r="F27" s="31" t="b">
        <v>1</v>
      </c>
      <c r="G27" s="34" t="s">
        <v>1520</v>
      </c>
    </row>
    <row r="28" spans="1:7" x14ac:dyDescent="0.2">
      <c r="A28" s="32">
        <v>27</v>
      </c>
      <c r="B28" s="34" t="s">
        <v>1536</v>
      </c>
      <c r="C28" s="36">
        <f ca="1">TODAY()-5160</f>
        <v>39476</v>
      </c>
      <c r="D28" s="36">
        <f ca="1">TODAY()-5160</f>
        <v>39476</v>
      </c>
      <c r="E28" s="37">
        <v>125300</v>
      </c>
      <c r="F28" s="31" t="b">
        <v>0</v>
      </c>
      <c r="G28" s="34" t="s">
        <v>1520</v>
      </c>
    </row>
    <row r="29" spans="1:7" x14ac:dyDescent="0.2">
      <c r="A29" s="32">
        <v>28</v>
      </c>
      <c r="B29" s="34" t="s">
        <v>1585</v>
      </c>
      <c r="C29" s="36">
        <f ca="1">TODAY()-5156</f>
        <v>39480</v>
      </c>
      <c r="D29" s="36">
        <f ca="1">TODAY()-5153</f>
        <v>39483</v>
      </c>
      <c r="E29" s="37">
        <v>78400</v>
      </c>
      <c r="F29" s="31" t="b">
        <v>0</v>
      </c>
      <c r="G29" s="34" t="s">
        <v>1443</v>
      </c>
    </row>
    <row r="30" spans="1:7" x14ac:dyDescent="0.2">
      <c r="A30" s="32">
        <v>29</v>
      </c>
      <c r="B30" s="34" t="s">
        <v>1543</v>
      </c>
      <c r="C30" s="36">
        <f ca="1">TODAY()-5135</f>
        <v>39501</v>
      </c>
      <c r="D30" s="36">
        <f ca="1">TODAY()-5135</f>
        <v>39501</v>
      </c>
      <c r="E30" s="37">
        <v>203800</v>
      </c>
      <c r="F30" s="31" t="b">
        <v>0</v>
      </c>
      <c r="G30" s="34" t="s">
        <v>1435</v>
      </c>
    </row>
    <row r="31" spans="1:7" x14ac:dyDescent="0.2">
      <c r="A31" s="32">
        <v>30</v>
      </c>
      <c r="B31" s="34" t="s">
        <v>1573</v>
      </c>
      <c r="C31" s="36">
        <f ca="1">TODAY()-5128</f>
        <v>39508</v>
      </c>
      <c r="D31" s="36">
        <f ca="1">TODAY()-5116</f>
        <v>39520</v>
      </c>
      <c r="E31" s="37">
        <v>600300</v>
      </c>
      <c r="F31" s="31" t="b">
        <v>1</v>
      </c>
      <c r="G31" s="34" t="s">
        <v>1443</v>
      </c>
    </row>
    <row r="32" spans="1:7" x14ac:dyDescent="0.2">
      <c r="A32" s="32">
        <v>31</v>
      </c>
      <c r="B32" s="34" t="s">
        <v>1568</v>
      </c>
      <c r="C32" s="36">
        <f ca="1">TODAY()-5112</f>
        <v>39524</v>
      </c>
      <c r="D32" s="36">
        <f ca="1">TODAY()-5101</f>
        <v>39535</v>
      </c>
      <c r="E32" s="37">
        <v>720200</v>
      </c>
      <c r="F32" s="31" t="b">
        <v>0</v>
      </c>
      <c r="G32" s="34" t="s">
        <v>1520</v>
      </c>
    </row>
    <row r="33" spans="1:7" x14ac:dyDescent="0.2">
      <c r="A33" s="32">
        <v>32</v>
      </c>
      <c r="B33" s="34" t="s">
        <v>1590</v>
      </c>
      <c r="C33" s="36">
        <f ca="1">TODAY()-5094</f>
        <v>39542</v>
      </c>
      <c r="D33" s="36">
        <f ca="1">TODAY()-5082</f>
        <v>39554</v>
      </c>
      <c r="E33" s="37">
        <v>674000</v>
      </c>
      <c r="F33" s="31" t="b">
        <v>0</v>
      </c>
      <c r="G33" s="34" t="s">
        <v>1443</v>
      </c>
    </row>
    <row r="34" spans="1:7" x14ac:dyDescent="0.2">
      <c r="A34" s="32">
        <v>33</v>
      </c>
      <c r="B34" s="34" t="s">
        <v>1567</v>
      </c>
      <c r="C34" s="36">
        <f ca="1">TODAY()-5073</f>
        <v>39563</v>
      </c>
      <c r="D34" s="36">
        <f ca="1">TODAY()-5070</f>
        <v>39566</v>
      </c>
      <c r="E34" s="37">
        <v>58800</v>
      </c>
      <c r="F34" s="31" t="b">
        <v>0</v>
      </c>
      <c r="G34" s="34" t="s">
        <v>1520</v>
      </c>
    </row>
    <row r="35" spans="1:7" x14ac:dyDescent="0.2">
      <c r="A35" s="32">
        <v>34</v>
      </c>
      <c r="B35" s="34" t="s">
        <v>1579</v>
      </c>
      <c r="C35" s="36">
        <f ca="1">TODAY()-5054</f>
        <v>39582</v>
      </c>
      <c r="D35" s="36">
        <f ca="1">TODAY()-5054</f>
        <v>39582</v>
      </c>
      <c r="E35" s="37">
        <v>217700</v>
      </c>
      <c r="F35" s="31" t="b">
        <v>0</v>
      </c>
      <c r="G35" s="34" t="s">
        <v>1443</v>
      </c>
    </row>
    <row r="36" spans="1:7" x14ac:dyDescent="0.2">
      <c r="A36" s="32">
        <v>35</v>
      </c>
      <c r="B36" s="33" t="s">
        <v>1581</v>
      </c>
      <c r="C36" s="36">
        <f ca="1">TODAY()-5036</f>
        <v>39600</v>
      </c>
      <c r="D36" s="36">
        <f ca="1">TODAY()-5036</f>
        <v>39600</v>
      </c>
      <c r="E36" s="37">
        <v>72300</v>
      </c>
      <c r="F36" s="31" t="b">
        <v>0</v>
      </c>
      <c r="G36" s="34" t="s">
        <v>1520</v>
      </c>
    </row>
    <row r="37" spans="1:7" x14ac:dyDescent="0.2">
      <c r="A37" s="32">
        <v>36</v>
      </c>
      <c r="B37" s="34" t="s">
        <v>1528</v>
      </c>
      <c r="C37" s="36">
        <f ca="1">TODAY()-5039</f>
        <v>39597</v>
      </c>
      <c r="D37" s="36">
        <f ca="1">TODAY()-5028</f>
        <v>39608</v>
      </c>
      <c r="E37" s="37">
        <v>671100</v>
      </c>
      <c r="F37" s="31" t="b">
        <v>0</v>
      </c>
      <c r="G37" s="34" t="s">
        <v>1520</v>
      </c>
    </row>
    <row r="38" spans="1:7" x14ac:dyDescent="0.2">
      <c r="A38" s="32">
        <v>37</v>
      </c>
      <c r="B38" s="34" t="s">
        <v>1550</v>
      </c>
      <c r="C38" s="36">
        <f ca="1">TODAY()-5020</f>
        <v>39616</v>
      </c>
      <c r="D38" s="36">
        <f ca="1">TODAY()-5011</f>
        <v>39625</v>
      </c>
      <c r="E38" s="37">
        <v>710200</v>
      </c>
      <c r="F38" s="31" t="b">
        <v>1</v>
      </c>
      <c r="G38" s="34" t="s">
        <v>1435</v>
      </c>
    </row>
    <row r="39" spans="1:7" x14ac:dyDescent="0.2">
      <c r="A39" s="32">
        <v>38</v>
      </c>
      <c r="B39" s="33" t="s">
        <v>1523</v>
      </c>
      <c r="C39" s="36">
        <f ca="1">TODAY()-5013</f>
        <v>39623</v>
      </c>
      <c r="D39" s="36">
        <f ca="1">TODAY()-5004</f>
        <v>39632</v>
      </c>
      <c r="E39" s="37">
        <v>849500</v>
      </c>
      <c r="F39" s="31" t="b">
        <v>1</v>
      </c>
      <c r="G39" s="34" t="s">
        <v>1520</v>
      </c>
    </row>
    <row r="40" spans="1:7" x14ac:dyDescent="0.2">
      <c r="A40" s="32">
        <v>39</v>
      </c>
      <c r="B40" s="34" t="s">
        <v>1585</v>
      </c>
      <c r="C40" s="36">
        <f ca="1">TODAY()-5001</f>
        <v>39635</v>
      </c>
      <c r="D40" s="36">
        <f ca="1">TODAY()-4998</f>
        <v>39638</v>
      </c>
      <c r="E40" s="37">
        <v>190900</v>
      </c>
      <c r="F40" s="31" t="b">
        <v>0</v>
      </c>
      <c r="G40" s="34" t="s">
        <v>1443</v>
      </c>
    </row>
    <row r="41" spans="1:7" x14ac:dyDescent="0.2">
      <c r="A41" s="32">
        <v>40</v>
      </c>
      <c r="B41" s="34" t="s">
        <v>1591</v>
      </c>
      <c r="C41" s="36">
        <f ca="1">TODAY()-4992</f>
        <v>39644</v>
      </c>
      <c r="D41" s="36">
        <f ca="1">TODAY()-4989</f>
        <v>39647</v>
      </c>
      <c r="E41" s="37">
        <v>94200</v>
      </c>
      <c r="F41" s="31" t="b">
        <v>1</v>
      </c>
      <c r="G41" s="34" t="s">
        <v>1443</v>
      </c>
    </row>
    <row r="42" spans="1:7" x14ac:dyDescent="0.2">
      <c r="A42" s="32">
        <v>41</v>
      </c>
      <c r="B42" s="33" t="s">
        <v>1575</v>
      </c>
      <c r="C42" s="36">
        <f ca="1">TODAY()-4973</f>
        <v>39663</v>
      </c>
      <c r="D42" s="36">
        <f ca="1">TODAY()-4972</f>
        <v>39664</v>
      </c>
      <c r="E42" s="37">
        <v>195400</v>
      </c>
      <c r="F42" s="31" t="b">
        <v>1</v>
      </c>
      <c r="G42" s="34" t="s">
        <v>1520</v>
      </c>
    </row>
    <row r="43" spans="1:7" x14ac:dyDescent="0.2">
      <c r="A43" s="32">
        <v>42</v>
      </c>
      <c r="B43" s="34" t="s">
        <v>1589</v>
      </c>
      <c r="C43" s="36">
        <f ca="1">TODAY()-4969</f>
        <v>39667</v>
      </c>
      <c r="D43" s="36">
        <f ca="1">TODAY()-4967</f>
        <v>39669</v>
      </c>
      <c r="E43" s="37">
        <v>197900</v>
      </c>
      <c r="F43" s="31" t="b">
        <v>1</v>
      </c>
      <c r="G43" s="34" t="s">
        <v>1443</v>
      </c>
    </row>
    <row r="44" spans="1:7" x14ac:dyDescent="0.2">
      <c r="A44" s="32">
        <v>43</v>
      </c>
      <c r="B44" s="34" t="s">
        <v>1577</v>
      </c>
      <c r="C44" s="36">
        <f ca="1">TODAY()-4956</f>
        <v>39680</v>
      </c>
      <c r="D44" s="36">
        <f ca="1">TODAY()-4954</f>
        <v>39682</v>
      </c>
      <c r="E44" s="37">
        <v>209100</v>
      </c>
      <c r="F44" s="31" t="b">
        <v>0</v>
      </c>
      <c r="G44" s="34" t="s">
        <v>1443</v>
      </c>
    </row>
    <row r="45" spans="1:7" x14ac:dyDescent="0.2">
      <c r="A45" s="32">
        <v>44</v>
      </c>
      <c r="B45" s="34" t="s">
        <v>1554</v>
      </c>
      <c r="C45" s="36">
        <f ca="1">TODAY()-4944</f>
        <v>39692</v>
      </c>
      <c r="D45" s="36">
        <f ca="1">TODAY()-4936</f>
        <v>39700</v>
      </c>
      <c r="E45" s="37">
        <v>605100</v>
      </c>
      <c r="F45" s="31" t="b">
        <v>0</v>
      </c>
      <c r="G45" s="34" t="s">
        <v>1520</v>
      </c>
    </row>
    <row r="46" spans="1:7" x14ac:dyDescent="0.2">
      <c r="A46" s="32">
        <v>45</v>
      </c>
      <c r="B46" s="34" t="s">
        <v>1526</v>
      </c>
      <c r="C46" s="36">
        <f ca="1">TODAY()-4927</f>
        <v>39709</v>
      </c>
      <c r="D46" s="36">
        <f ca="1">TODAY()-4926</f>
        <v>39710</v>
      </c>
      <c r="E46" s="37">
        <v>200200</v>
      </c>
      <c r="F46" s="31" t="b">
        <v>0</v>
      </c>
      <c r="G46" s="34" t="s">
        <v>1443</v>
      </c>
    </row>
    <row r="47" spans="1:7" x14ac:dyDescent="0.2">
      <c r="A47" s="32">
        <v>46</v>
      </c>
      <c r="B47" s="34" t="s">
        <v>1563</v>
      </c>
      <c r="C47" s="36">
        <f ca="1">TODAY()-4922</f>
        <v>39714</v>
      </c>
      <c r="D47" s="36">
        <f ca="1">TODAY()-4919</f>
        <v>39717</v>
      </c>
      <c r="E47" s="37">
        <v>89100</v>
      </c>
      <c r="F47" s="31" t="b">
        <v>1</v>
      </c>
      <c r="G47" s="34" t="s">
        <v>1520</v>
      </c>
    </row>
    <row r="48" spans="1:7" x14ac:dyDescent="0.2">
      <c r="A48" s="32">
        <v>47</v>
      </c>
      <c r="B48" s="34" t="s">
        <v>1571</v>
      </c>
      <c r="C48" s="36">
        <f ca="1">TODAY()-4908</f>
        <v>39728</v>
      </c>
      <c r="D48" s="36">
        <f ca="1">TODAY()-4908</f>
        <v>39728</v>
      </c>
      <c r="E48" s="37">
        <v>69100</v>
      </c>
      <c r="F48" s="31" t="b">
        <v>0</v>
      </c>
      <c r="G48" s="34" t="s">
        <v>1520</v>
      </c>
    </row>
    <row r="49" spans="1:7" x14ac:dyDescent="0.2">
      <c r="A49" s="32">
        <v>48</v>
      </c>
      <c r="B49" s="34" t="s">
        <v>1549</v>
      </c>
      <c r="C49" s="36">
        <f ca="1">TODAY()-4893</f>
        <v>39743</v>
      </c>
      <c r="D49" s="36">
        <f ca="1">TODAY()-4890</f>
        <v>39746</v>
      </c>
      <c r="E49" s="37">
        <v>68500</v>
      </c>
      <c r="F49" s="31" t="b">
        <v>0</v>
      </c>
      <c r="G49" s="34" t="s">
        <v>1520</v>
      </c>
    </row>
    <row r="50" spans="1:7" x14ac:dyDescent="0.2">
      <c r="A50" s="32">
        <v>49</v>
      </c>
      <c r="B50" s="34" t="s">
        <v>1547</v>
      </c>
      <c r="C50" s="36">
        <f ca="1">TODAY()-4882</f>
        <v>39754</v>
      </c>
      <c r="D50" s="36">
        <f ca="1">TODAY()-4882</f>
        <v>39754</v>
      </c>
      <c r="E50" s="37">
        <v>177300</v>
      </c>
      <c r="F50" s="31" t="b">
        <v>1</v>
      </c>
      <c r="G50" s="34" t="s">
        <v>1520</v>
      </c>
    </row>
    <row r="51" spans="1:7" x14ac:dyDescent="0.2">
      <c r="A51" s="32">
        <v>50</v>
      </c>
      <c r="B51" s="34" t="s">
        <v>1524</v>
      </c>
      <c r="C51" s="36">
        <f ca="1">TODAY()-4883</f>
        <v>39753</v>
      </c>
      <c r="D51" s="36">
        <f ca="1">TODAY()-4871</f>
        <v>39765</v>
      </c>
      <c r="E51" s="37">
        <v>649800</v>
      </c>
      <c r="F51" s="31" t="b">
        <v>1</v>
      </c>
      <c r="G51" s="34" t="s">
        <v>1520</v>
      </c>
    </row>
    <row r="52" spans="1:7" x14ac:dyDescent="0.2">
      <c r="A52" s="32">
        <v>51</v>
      </c>
      <c r="B52" s="34" t="s">
        <v>1523</v>
      </c>
      <c r="C52" s="36">
        <f ca="1">TODAY()-4865</f>
        <v>39771</v>
      </c>
      <c r="D52" s="36">
        <f ca="1">TODAY()-4863</f>
        <v>39773</v>
      </c>
      <c r="E52" s="37">
        <v>108100</v>
      </c>
      <c r="F52" s="31" t="b">
        <v>0</v>
      </c>
      <c r="G52" s="34" t="s">
        <v>1520</v>
      </c>
    </row>
    <row r="53" spans="1:7" x14ac:dyDescent="0.2">
      <c r="A53" s="32">
        <v>52</v>
      </c>
      <c r="B53" s="34" t="s">
        <v>1553</v>
      </c>
      <c r="C53" s="36">
        <f ca="1">TODAY()-4852</f>
        <v>39784</v>
      </c>
      <c r="D53" s="36">
        <f ca="1">TODAY()-4849</f>
        <v>39787</v>
      </c>
      <c r="E53" s="37">
        <v>55900</v>
      </c>
      <c r="F53" s="31" t="b">
        <v>1</v>
      </c>
      <c r="G53" s="34" t="s">
        <v>1443</v>
      </c>
    </row>
    <row r="54" spans="1:7" x14ac:dyDescent="0.2">
      <c r="A54" s="32">
        <v>53</v>
      </c>
      <c r="B54" s="34" t="s">
        <v>1550</v>
      </c>
      <c r="C54" s="36">
        <f ca="1">TODAY()-4842</f>
        <v>39794</v>
      </c>
      <c r="D54" s="36">
        <f ca="1">TODAY()-4840</f>
        <v>39796</v>
      </c>
      <c r="E54" s="37">
        <v>98200</v>
      </c>
      <c r="F54" s="31" t="b">
        <v>0</v>
      </c>
      <c r="G54" s="34" t="s">
        <v>1435</v>
      </c>
    </row>
    <row r="55" spans="1:7" x14ac:dyDescent="0.2">
      <c r="A55" s="32">
        <v>54</v>
      </c>
      <c r="B55" s="34" t="s">
        <v>1569</v>
      </c>
      <c r="C55" s="36">
        <f ca="1">TODAY()-4823</f>
        <v>39813</v>
      </c>
      <c r="D55" s="36">
        <f ca="1">TODAY()-4820</f>
        <v>39816</v>
      </c>
      <c r="E55" s="37">
        <v>137000</v>
      </c>
      <c r="F55" s="31" t="b">
        <v>1</v>
      </c>
      <c r="G55" s="34" t="s">
        <v>1443</v>
      </c>
    </row>
    <row r="56" spans="1:7" x14ac:dyDescent="0.2">
      <c r="A56" s="32">
        <v>55</v>
      </c>
      <c r="B56" s="34" t="s">
        <v>1533</v>
      </c>
      <c r="C56" s="36">
        <f ca="1">TODAY()-4813</f>
        <v>39823</v>
      </c>
      <c r="D56" s="36">
        <f ca="1">TODAY()-4810</f>
        <v>39826</v>
      </c>
      <c r="E56" s="37">
        <v>104600</v>
      </c>
      <c r="F56" s="31" t="b">
        <v>1</v>
      </c>
      <c r="G56" s="34" t="s">
        <v>1520</v>
      </c>
    </row>
    <row r="57" spans="1:7" x14ac:dyDescent="0.2">
      <c r="A57" s="32">
        <v>56</v>
      </c>
      <c r="B57" s="34" t="s">
        <v>1590</v>
      </c>
      <c r="C57" s="36">
        <f ca="1">TODAY()-4810</f>
        <v>39826</v>
      </c>
      <c r="D57" s="36">
        <f ca="1">TODAY()-4800</f>
        <v>39836</v>
      </c>
      <c r="E57" s="37">
        <v>764900</v>
      </c>
      <c r="F57" s="31" t="b">
        <v>1</v>
      </c>
      <c r="G57" s="34" t="s">
        <v>1443</v>
      </c>
    </row>
    <row r="58" spans="1:7" x14ac:dyDescent="0.2">
      <c r="A58" s="32">
        <v>57</v>
      </c>
      <c r="B58" s="34" t="s">
        <v>1517</v>
      </c>
      <c r="C58" s="36">
        <f ca="1">TODAY()-4787</f>
        <v>39849</v>
      </c>
      <c r="D58" s="36">
        <f ca="1">TODAY()-4787</f>
        <v>39849</v>
      </c>
      <c r="E58" s="37">
        <v>154800</v>
      </c>
      <c r="F58" s="31" t="b">
        <v>0</v>
      </c>
      <c r="G58" s="34" t="s">
        <v>1443</v>
      </c>
    </row>
    <row r="59" spans="1:7" x14ac:dyDescent="0.2">
      <c r="A59" s="32">
        <v>58</v>
      </c>
      <c r="B59" s="34" t="s">
        <v>1565</v>
      </c>
      <c r="C59" s="36">
        <f ca="1">TODAY()-4780</f>
        <v>39856</v>
      </c>
      <c r="D59" s="36">
        <f ca="1">TODAY()-4779</f>
        <v>39857</v>
      </c>
      <c r="E59" s="37">
        <v>194400</v>
      </c>
      <c r="F59" s="31" t="b">
        <v>1</v>
      </c>
      <c r="G59" s="34" t="s">
        <v>1520</v>
      </c>
    </row>
    <row r="60" spans="1:7" x14ac:dyDescent="0.2">
      <c r="A60" s="32">
        <v>59</v>
      </c>
      <c r="B60" s="34" t="s">
        <v>1564</v>
      </c>
      <c r="C60" s="36">
        <f ca="1">TODAY()-4769</f>
        <v>39867</v>
      </c>
      <c r="D60" s="36">
        <f ca="1">TODAY()-4758</f>
        <v>39878</v>
      </c>
      <c r="E60" s="37">
        <v>602700</v>
      </c>
      <c r="F60" s="31" t="b">
        <v>1</v>
      </c>
      <c r="G60" s="34" t="s">
        <v>1520</v>
      </c>
    </row>
    <row r="61" spans="1:7" x14ac:dyDescent="0.2">
      <c r="A61" s="32">
        <v>60</v>
      </c>
      <c r="B61" s="34" t="s">
        <v>1524</v>
      </c>
      <c r="C61" s="36">
        <f ca="1">TODAY()-4752</f>
        <v>39884</v>
      </c>
      <c r="D61" s="36">
        <f ca="1">TODAY()-4750</f>
        <v>39886</v>
      </c>
      <c r="E61" s="37">
        <v>167000</v>
      </c>
      <c r="F61" s="31" t="b">
        <v>1</v>
      </c>
      <c r="G61" s="34" t="s">
        <v>1520</v>
      </c>
    </row>
    <row r="62" spans="1:7" x14ac:dyDescent="0.2">
      <c r="A62" s="32">
        <v>61</v>
      </c>
      <c r="B62" s="34" t="s">
        <v>1552</v>
      </c>
      <c r="C62" s="36">
        <f ca="1">TODAY()-4751</f>
        <v>39885</v>
      </c>
      <c r="D62" s="36">
        <f ca="1">TODAY()-4741</f>
        <v>39895</v>
      </c>
      <c r="E62" s="37">
        <v>767000</v>
      </c>
      <c r="F62" s="31" t="b">
        <v>0</v>
      </c>
      <c r="G62" s="34" t="s">
        <v>1520</v>
      </c>
    </row>
    <row r="63" spans="1:7" x14ac:dyDescent="0.2">
      <c r="A63" s="32">
        <v>62</v>
      </c>
      <c r="B63" s="34" t="s">
        <v>1573</v>
      </c>
      <c r="C63" s="36">
        <f ca="1">TODAY()-4730</f>
        <v>39906</v>
      </c>
      <c r="D63" s="36">
        <f ca="1">TODAY()-4730</f>
        <v>39906</v>
      </c>
      <c r="E63" s="37">
        <v>203200</v>
      </c>
      <c r="F63" s="31" t="b">
        <v>0</v>
      </c>
      <c r="G63" s="34" t="s">
        <v>1443</v>
      </c>
    </row>
    <row r="64" spans="1:7" x14ac:dyDescent="0.2">
      <c r="A64" s="32">
        <v>63</v>
      </c>
      <c r="B64" s="34" t="s">
        <v>1561</v>
      </c>
      <c r="C64" s="36">
        <f ca="1">TODAY()-4720</f>
        <v>39916</v>
      </c>
      <c r="D64" s="36">
        <f ca="1">TODAY()-4718</f>
        <v>39918</v>
      </c>
      <c r="E64" s="37">
        <v>81200</v>
      </c>
      <c r="F64" s="31" t="b">
        <v>0</v>
      </c>
      <c r="G64" s="34" t="s">
        <v>1520</v>
      </c>
    </row>
    <row r="65" spans="1:7" x14ac:dyDescent="0.2">
      <c r="A65" s="32">
        <v>64</v>
      </c>
      <c r="B65" s="34" t="s">
        <v>1589</v>
      </c>
      <c r="C65" s="36">
        <f ca="1">TODAY()-4709</f>
        <v>39927</v>
      </c>
      <c r="D65" s="36">
        <f ca="1">TODAY()-4706</f>
        <v>39930</v>
      </c>
      <c r="E65" s="37">
        <v>207200</v>
      </c>
      <c r="F65" s="31" t="b">
        <v>1</v>
      </c>
      <c r="G65" s="34" t="s">
        <v>1443</v>
      </c>
    </row>
    <row r="66" spans="1:7" x14ac:dyDescent="0.2">
      <c r="A66" s="32">
        <v>65</v>
      </c>
      <c r="B66" s="34" t="s">
        <v>1548</v>
      </c>
      <c r="C66" s="36">
        <f ca="1">TODAY()-4695</f>
        <v>39941</v>
      </c>
      <c r="D66" s="36">
        <f ca="1">TODAY()-4695</f>
        <v>39941</v>
      </c>
      <c r="E66" s="37">
        <v>180300</v>
      </c>
      <c r="F66" s="31" t="b">
        <v>0</v>
      </c>
      <c r="G66" s="34" t="s">
        <v>1520</v>
      </c>
    </row>
    <row r="67" spans="1:7" x14ac:dyDescent="0.2">
      <c r="A67" s="32">
        <v>66</v>
      </c>
      <c r="B67" s="34" t="s">
        <v>1555</v>
      </c>
      <c r="C67" s="36">
        <f ca="1">TODAY()-4688</f>
        <v>39948</v>
      </c>
      <c r="D67" s="36">
        <f ca="1">TODAY()-4685</f>
        <v>39951</v>
      </c>
      <c r="E67" s="37">
        <v>77500</v>
      </c>
      <c r="F67" s="31" t="b">
        <v>0</v>
      </c>
      <c r="G67" s="34" t="s">
        <v>1520</v>
      </c>
    </row>
    <row r="68" spans="1:7" x14ac:dyDescent="0.2">
      <c r="A68" s="32">
        <v>67</v>
      </c>
      <c r="B68" s="34" t="s">
        <v>1575</v>
      </c>
      <c r="C68" s="36">
        <f ca="1">TODAY()-4689</f>
        <v>39947</v>
      </c>
      <c r="D68" s="36">
        <f ca="1">TODAY()-4677</f>
        <v>39959</v>
      </c>
      <c r="E68" s="37">
        <v>608600</v>
      </c>
      <c r="F68" s="31" t="b">
        <v>1</v>
      </c>
      <c r="G68" s="34" t="s">
        <v>1520</v>
      </c>
    </row>
    <row r="69" spans="1:7" x14ac:dyDescent="0.2">
      <c r="A69" s="32">
        <v>68</v>
      </c>
      <c r="B69" s="34" t="s">
        <v>1586</v>
      </c>
      <c r="C69" s="36">
        <f ca="1">TODAY()-4661</f>
        <v>39975</v>
      </c>
      <c r="D69" s="36">
        <f ca="1">TODAY()-4659</f>
        <v>39977</v>
      </c>
      <c r="E69" s="37">
        <v>110800</v>
      </c>
      <c r="F69" s="31" t="b">
        <v>0</v>
      </c>
      <c r="G69" s="34" t="s">
        <v>1520</v>
      </c>
    </row>
    <row r="70" spans="1:7" x14ac:dyDescent="0.2">
      <c r="A70" s="32">
        <v>69</v>
      </c>
      <c r="B70" s="34" t="s">
        <v>1552</v>
      </c>
      <c r="C70" s="36">
        <f ca="1">TODAY()-4647</f>
        <v>39989</v>
      </c>
      <c r="D70" s="36">
        <f ca="1">TODAY()-4645</f>
        <v>39991</v>
      </c>
      <c r="E70" s="37">
        <v>114800</v>
      </c>
      <c r="F70" s="31" t="b">
        <v>0</v>
      </c>
      <c r="G70" s="34" t="s">
        <v>1520</v>
      </c>
    </row>
    <row r="71" spans="1:7" x14ac:dyDescent="0.2">
      <c r="A71" s="32">
        <v>70</v>
      </c>
      <c r="B71" s="34" t="s">
        <v>1553</v>
      </c>
      <c r="C71" s="36">
        <f ca="1">TODAY()-4638</f>
        <v>39998</v>
      </c>
      <c r="D71" s="36">
        <f ca="1">TODAY()-4628</f>
        <v>40008</v>
      </c>
      <c r="E71" s="37">
        <v>562100</v>
      </c>
      <c r="F71" s="31" t="b">
        <v>0</v>
      </c>
      <c r="G71" s="34" t="s">
        <v>1443</v>
      </c>
    </row>
    <row r="72" spans="1:7" x14ac:dyDescent="0.2">
      <c r="A72" s="32">
        <v>71</v>
      </c>
      <c r="B72" s="34" t="s">
        <v>1526</v>
      </c>
      <c r="C72" s="36">
        <f ca="1">TODAY()-4628</f>
        <v>40008</v>
      </c>
      <c r="D72" s="36">
        <f ca="1">TODAY()-4619</f>
        <v>40017</v>
      </c>
      <c r="E72" s="37">
        <v>855000</v>
      </c>
      <c r="F72" s="31" t="b">
        <v>0</v>
      </c>
      <c r="G72" s="34" t="s">
        <v>1443</v>
      </c>
    </row>
    <row r="73" spans="1:7" x14ac:dyDescent="0.2">
      <c r="A73" s="32">
        <v>72</v>
      </c>
      <c r="B73" s="34" t="s">
        <v>1540</v>
      </c>
      <c r="C73" s="36">
        <f ca="1">TODAY()-4611</f>
        <v>40025</v>
      </c>
      <c r="D73" s="36">
        <f ca="1">TODAY()-4608</f>
        <v>40028</v>
      </c>
      <c r="E73" s="37">
        <v>174500</v>
      </c>
      <c r="F73" s="31" t="b">
        <v>1</v>
      </c>
      <c r="G73" s="34" t="s">
        <v>1435</v>
      </c>
    </row>
    <row r="74" spans="1:7" x14ac:dyDescent="0.2">
      <c r="A74" s="32">
        <v>73</v>
      </c>
      <c r="B74" s="34" t="s">
        <v>1574</v>
      </c>
      <c r="C74" s="36">
        <f ca="1">TODAY()-4598</f>
        <v>40038</v>
      </c>
      <c r="D74" s="36">
        <f ca="1">TODAY()-4598</f>
        <v>40038</v>
      </c>
      <c r="E74" s="37">
        <v>53300</v>
      </c>
      <c r="F74" s="31" t="b">
        <v>1</v>
      </c>
      <c r="G74" s="34" t="s">
        <v>1435</v>
      </c>
    </row>
    <row r="75" spans="1:7" x14ac:dyDescent="0.2">
      <c r="A75" s="32">
        <v>74</v>
      </c>
      <c r="B75" s="34" t="s">
        <v>1538</v>
      </c>
      <c r="C75" s="36">
        <f ca="1">TODAY()-4591</f>
        <v>40045</v>
      </c>
      <c r="D75" s="36">
        <f ca="1">TODAY()-4588</f>
        <v>40048</v>
      </c>
      <c r="E75" s="37">
        <v>172800</v>
      </c>
      <c r="F75" s="31" t="b">
        <v>1</v>
      </c>
      <c r="G75" s="34" t="s">
        <v>1520</v>
      </c>
    </row>
    <row r="76" spans="1:7" x14ac:dyDescent="0.2">
      <c r="A76" s="32">
        <v>75</v>
      </c>
      <c r="B76" s="34" t="s">
        <v>1579</v>
      </c>
      <c r="C76" s="36">
        <f ca="1">TODAY()-4578</f>
        <v>40058</v>
      </c>
      <c r="D76" s="36">
        <f ca="1">TODAY()-4578</f>
        <v>40058</v>
      </c>
      <c r="E76" s="37">
        <v>155100</v>
      </c>
      <c r="F76" s="31" t="b">
        <v>0</v>
      </c>
      <c r="G76" s="34" t="s">
        <v>1443</v>
      </c>
    </row>
    <row r="77" spans="1:7" x14ac:dyDescent="0.2">
      <c r="A77" s="32">
        <v>76</v>
      </c>
      <c r="B77" s="34" t="s">
        <v>1545</v>
      </c>
      <c r="C77" s="36">
        <f ca="1">TODAY()-4581</f>
        <v>40055</v>
      </c>
      <c r="D77" s="36">
        <f ca="1">TODAY()-4569</f>
        <v>40067</v>
      </c>
      <c r="E77" s="37">
        <v>840900</v>
      </c>
      <c r="F77" s="31" t="b">
        <v>1</v>
      </c>
      <c r="G77" s="34" t="s">
        <v>1520</v>
      </c>
    </row>
    <row r="78" spans="1:7" x14ac:dyDescent="0.2">
      <c r="A78" s="32">
        <v>77</v>
      </c>
      <c r="B78" s="34" t="s">
        <v>1521</v>
      </c>
      <c r="C78" s="36">
        <f ca="1">TODAY()-4574</f>
        <v>40062</v>
      </c>
      <c r="D78" s="36">
        <f ca="1">TODAY()-4564</f>
        <v>40072</v>
      </c>
      <c r="E78" s="37">
        <v>806800</v>
      </c>
      <c r="F78" s="31" t="b">
        <v>0</v>
      </c>
      <c r="G78" s="34" t="s">
        <v>1520</v>
      </c>
    </row>
    <row r="79" spans="1:7" x14ac:dyDescent="0.2">
      <c r="A79" s="32">
        <v>78</v>
      </c>
      <c r="B79" s="34" t="s">
        <v>1568</v>
      </c>
      <c r="C79" s="36">
        <f ca="1">TODAY()-4556</f>
        <v>40080</v>
      </c>
      <c r="D79" s="36">
        <f ca="1">TODAY()-4544</f>
        <v>40092</v>
      </c>
      <c r="E79" s="37">
        <v>734700</v>
      </c>
      <c r="F79" s="31" t="b">
        <v>0</v>
      </c>
      <c r="G79" s="34" t="s">
        <v>1520</v>
      </c>
    </row>
    <row r="80" spans="1:7" x14ac:dyDescent="0.2">
      <c r="A80" s="32">
        <v>79</v>
      </c>
      <c r="B80" s="34" t="s">
        <v>1532</v>
      </c>
      <c r="C80" s="36">
        <f ca="1">TODAY()-4544</f>
        <v>40092</v>
      </c>
      <c r="D80" s="36">
        <f ca="1">TODAY()-4534</f>
        <v>40102</v>
      </c>
      <c r="E80" s="37">
        <v>681600</v>
      </c>
      <c r="F80" s="31" t="b">
        <v>1</v>
      </c>
      <c r="G80" s="34" t="s">
        <v>1435</v>
      </c>
    </row>
    <row r="81" spans="1:7" x14ac:dyDescent="0.2">
      <c r="A81" s="32">
        <v>80</v>
      </c>
      <c r="B81" s="34" t="s">
        <v>1548</v>
      </c>
      <c r="C81" s="36">
        <f ca="1">TODAY()-4530</f>
        <v>40106</v>
      </c>
      <c r="D81" s="36">
        <f ca="1">TODAY()-4520</f>
        <v>40116</v>
      </c>
      <c r="E81" s="37">
        <v>719300</v>
      </c>
      <c r="F81" s="31" t="b">
        <v>0</v>
      </c>
      <c r="G81" s="34" t="s">
        <v>1520</v>
      </c>
    </row>
    <row r="82" spans="1:7" x14ac:dyDescent="0.2">
      <c r="A82" s="32">
        <v>81</v>
      </c>
      <c r="B82" s="34" t="s">
        <v>1552</v>
      </c>
      <c r="C82" s="36">
        <f ca="1">TODAY()-4509</f>
        <v>40127</v>
      </c>
      <c r="D82" s="36">
        <f ca="1">TODAY()-4507</f>
        <v>40129</v>
      </c>
      <c r="E82" s="37">
        <v>127600</v>
      </c>
      <c r="F82" s="31" t="b">
        <v>1</v>
      </c>
      <c r="G82" s="34" t="s">
        <v>1520</v>
      </c>
    </row>
    <row r="83" spans="1:7" x14ac:dyDescent="0.2">
      <c r="A83" s="32">
        <v>82</v>
      </c>
      <c r="B83" s="34" t="s">
        <v>1588</v>
      </c>
      <c r="C83" s="36">
        <f ca="1">TODAY()-4499</f>
        <v>40137</v>
      </c>
      <c r="D83" s="36">
        <f ca="1">TODAY()-4497</f>
        <v>40139</v>
      </c>
      <c r="E83" s="37">
        <v>76800</v>
      </c>
      <c r="F83" s="31" t="b">
        <v>1</v>
      </c>
      <c r="G83" s="34" t="s">
        <v>1443</v>
      </c>
    </row>
    <row r="84" spans="1:7" x14ac:dyDescent="0.2">
      <c r="A84" s="32">
        <v>83</v>
      </c>
      <c r="B84" s="34" t="s">
        <v>1536</v>
      </c>
      <c r="C84" s="36">
        <f ca="1">TODAY()-4485</f>
        <v>40151</v>
      </c>
      <c r="D84" s="36">
        <f ca="1">TODAY()-4482</f>
        <v>40154</v>
      </c>
      <c r="E84" s="37">
        <v>110500</v>
      </c>
      <c r="F84" s="31" t="b">
        <v>1</v>
      </c>
      <c r="G84" s="34" t="s">
        <v>1520</v>
      </c>
    </row>
    <row r="85" spans="1:7" x14ac:dyDescent="0.2">
      <c r="A85" s="32">
        <v>84</v>
      </c>
      <c r="B85" s="34" t="s">
        <v>1549</v>
      </c>
      <c r="C85" s="36">
        <f ca="1">TODAY()-4479</f>
        <v>40157</v>
      </c>
      <c r="D85" s="36">
        <f ca="1">TODAY()-4468</f>
        <v>40168</v>
      </c>
      <c r="E85" s="37">
        <v>682100</v>
      </c>
      <c r="F85" s="31" t="b">
        <v>0</v>
      </c>
      <c r="G85" s="34" t="s">
        <v>1520</v>
      </c>
    </row>
    <row r="86" spans="1:7" x14ac:dyDescent="0.2">
      <c r="A86" s="32">
        <v>85</v>
      </c>
      <c r="B86" s="34" t="s">
        <v>1585</v>
      </c>
      <c r="C86" s="36">
        <f ca="1">TODAY()-4464</f>
        <v>40172</v>
      </c>
      <c r="D86" s="36">
        <f ca="1">TODAY()-4461</f>
        <v>40175</v>
      </c>
      <c r="E86" s="37">
        <v>50500</v>
      </c>
      <c r="F86" s="31" t="b">
        <v>1</v>
      </c>
      <c r="G86" s="34" t="s">
        <v>1443</v>
      </c>
    </row>
    <row r="87" spans="1:7" x14ac:dyDescent="0.2">
      <c r="A87" s="32">
        <v>86</v>
      </c>
      <c r="B87" s="34" t="s">
        <v>1517</v>
      </c>
      <c r="C87" s="36">
        <f ca="1">TODAY()-4447</f>
        <v>40189</v>
      </c>
      <c r="D87" s="36">
        <f ca="1">TODAY()-4446</f>
        <v>40190</v>
      </c>
      <c r="E87" s="37">
        <v>70800</v>
      </c>
      <c r="F87" s="31" t="b">
        <v>1</v>
      </c>
      <c r="G87" s="34" t="s">
        <v>1443</v>
      </c>
    </row>
    <row r="88" spans="1:7" x14ac:dyDescent="0.2">
      <c r="A88" s="32">
        <v>87</v>
      </c>
      <c r="B88" s="34" t="s">
        <v>1550</v>
      </c>
      <c r="C88" s="36">
        <f ca="1">TODAY()-4438</f>
        <v>40198</v>
      </c>
      <c r="D88" s="36">
        <f ca="1">TODAY()-4437</f>
        <v>40199</v>
      </c>
      <c r="E88" s="37">
        <v>186700</v>
      </c>
      <c r="F88" s="31" t="b">
        <v>0</v>
      </c>
      <c r="G88" s="34" t="s">
        <v>1435</v>
      </c>
    </row>
    <row r="89" spans="1:7" x14ac:dyDescent="0.2">
      <c r="A89" s="32">
        <v>88</v>
      </c>
      <c r="B89" s="34" t="s">
        <v>1571</v>
      </c>
      <c r="C89" s="36">
        <f ca="1">TODAY()-4429</f>
        <v>40207</v>
      </c>
      <c r="D89" s="36">
        <f ca="1">TODAY()-4429</f>
        <v>40207</v>
      </c>
      <c r="E89" s="37">
        <v>139500</v>
      </c>
      <c r="F89" s="31" t="b">
        <v>1</v>
      </c>
      <c r="G89" s="34" t="s">
        <v>1520</v>
      </c>
    </row>
    <row r="90" spans="1:7" x14ac:dyDescent="0.2">
      <c r="A90" s="32">
        <v>89</v>
      </c>
      <c r="B90" s="34" t="s">
        <v>1580</v>
      </c>
      <c r="C90" s="36">
        <f ca="1">TODAY()-4421</f>
        <v>40215</v>
      </c>
      <c r="D90" s="36">
        <f ca="1">TODAY()-4419</f>
        <v>40217</v>
      </c>
      <c r="E90" s="37">
        <v>142300</v>
      </c>
      <c r="F90" s="31" t="b">
        <v>0</v>
      </c>
      <c r="G90" s="34" t="s">
        <v>1443</v>
      </c>
    </row>
    <row r="91" spans="1:7" x14ac:dyDescent="0.2">
      <c r="A91" s="32">
        <v>90</v>
      </c>
      <c r="B91" s="34" t="s">
        <v>1538</v>
      </c>
      <c r="C91" s="36">
        <f ca="1">TODAY()-4413</f>
        <v>40223</v>
      </c>
      <c r="D91" s="36">
        <f ca="1">TODAY()-4402</f>
        <v>40234</v>
      </c>
      <c r="E91" s="37">
        <v>678400</v>
      </c>
      <c r="F91" s="31" t="b">
        <v>1</v>
      </c>
      <c r="G91" s="34" t="s">
        <v>1520</v>
      </c>
    </row>
    <row r="92" spans="1:7" x14ac:dyDescent="0.2">
      <c r="A92" s="32">
        <v>91</v>
      </c>
      <c r="B92" s="34" t="s">
        <v>1558</v>
      </c>
      <c r="C92" s="36">
        <f ca="1">TODAY()-4403</f>
        <v>40233</v>
      </c>
      <c r="D92" s="36">
        <f ca="1">TODAY()-4394</f>
        <v>40242</v>
      </c>
      <c r="E92" s="37">
        <v>868500</v>
      </c>
      <c r="F92" s="31" t="b">
        <v>0</v>
      </c>
      <c r="G92" s="34" t="s">
        <v>1520</v>
      </c>
    </row>
    <row r="93" spans="1:7" x14ac:dyDescent="0.2">
      <c r="A93" s="32">
        <v>92</v>
      </c>
      <c r="B93" s="34" t="s">
        <v>1537</v>
      </c>
      <c r="C93" s="36">
        <f ca="1">TODAY()-4392</f>
        <v>40244</v>
      </c>
      <c r="D93" s="36">
        <f ca="1">TODAY()-4382</f>
        <v>40254</v>
      </c>
      <c r="E93" s="37">
        <v>595200</v>
      </c>
      <c r="F93" s="31" t="b">
        <v>0</v>
      </c>
      <c r="G93" s="34" t="s">
        <v>1520</v>
      </c>
    </row>
    <row r="94" spans="1:7" x14ac:dyDescent="0.2">
      <c r="A94" s="32">
        <v>93</v>
      </c>
      <c r="B94" s="34" t="s">
        <v>1532</v>
      </c>
      <c r="C94" s="36">
        <f ca="1">TODAY()-4364</f>
        <v>40272</v>
      </c>
      <c r="D94" s="36">
        <f ca="1">TODAY()-4362</f>
        <v>40274</v>
      </c>
      <c r="E94" s="37">
        <v>215900</v>
      </c>
      <c r="F94" s="31" t="b">
        <v>0</v>
      </c>
      <c r="G94" s="34" t="s">
        <v>1435</v>
      </c>
    </row>
    <row r="95" spans="1:7" x14ac:dyDescent="0.2">
      <c r="A95" s="32">
        <v>94</v>
      </c>
      <c r="B95" s="34" t="s">
        <v>1551</v>
      </c>
      <c r="C95" s="36">
        <f ca="1">TODAY()-4361</f>
        <v>40275</v>
      </c>
      <c r="D95" s="36">
        <f ca="1">TODAY()-4352</f>
        <v>40284</v>
      </c>
      <c r="E95" s="37">
        <v>799900</v>
      </c>
      <c r="F95" s="31" t="b">
        <v>0</v>
      </c>
      <c r="G95" s="34" t="s">
        <v>1520</v>
      </c>
    </row>
    <row r="96" spans="1:7" x14ac:dyDescent="0.2">
      <c r="A96" s="32">
        <v>95</v>
      </c>
      <c r="B96" s="34" t="s">
        <v>1560</v>
      </c>
      <c r="C96" s="36">
        <f ca="1">TODAY()-4341</f>
        <v>40295</v>
      </c>
      <c r="D96" s="36">
        <f ca="1">TODAY()-4334</f>
        <v>40302</v>
      </c>
      <c r="E96" s="37">
        <v>507700</v>
      </c>
      <c r="F96" s="31" t="b">
        <v>0</v>
      </c>
      <c r="G96" s="34" t="s">
        <v>1443</v>
      </c>
    </row>
    <row r="97" spans="1:7" x14ac:dyDescent="0.2">
      <c r="A97" s="32">
        <v>96</v>
      </c>
      <c r="B97" s="34" t="s">
        <v>1557</v>
      </c>
      <c r="C97" s="36">
        <f ca="1">TODAY()-4323</f>
        <v>40313</v>
      </c>
      <c r="D97" s="36">
        <f ca="1">TODAY()-4322</f>
        <v>40314</v>
      </c>
      <c r="E97" s="37">
        <v>118000</v>
      </c>
      <c r="F97" s="31" t="b">
        <v>0</v>
      </c>
      <c r="G97" s="34" t="s">
        <v>1443</v>
      </c>
    </row>
    <row r="98" spans="1:7" x14ac:dyDescent="0.2">
      <c r="A98" s="32">
        <v>97</v>
      </c>
      <c r="B98" s="34" t="s">
        <v>1587</v>
      </c>
      <c r="C98" s="36">
        <f ca="1">TODAY()-4316</f>
        <v>40320</v>
      </c>
      <c r="D98" s="36">
        <f ca="1">TODAY()-4313</f>
        <v>40323</v>
      </c>
      <c r="E98" s="37">
        <v>166200</v>
      </c>
      <c r="F98" s="31" t="b">
        <v>0</v>
      </c>
      <c r="G98" s="34" t="s">
        <v>1520</v>
      </c>
    </row>
    <row r="99" spans="1:7" x14ac:dyDescent="0.2">
      <c r="A99" s="32">
        <v>98</v>
      </c>
      <c r="B99" s="34" t="s">
        <v>1580</v>
      </c>
      <c r="C99" s="36">
        <f ca="1">TODAY()-4307</f>
        <v>40329</v>
      </c>
      <c r="D99" s="36">
        <f ca="1">TODAY()-4300</f>
        <v>40336</v>
      </c>
      <c r="E99" s="37">
        <v>519100</v>
      </c>
      <c r="F99" s="31" t="b">
        <v>0</v>
      </c>
      <c r="G99" s="34" t="s">
        <v>1443</v>
      </c>
    </row>
    <row r="100" spans="1:7" x14ac:dyDescent="0.2">
      <c r="A100" s="32">
        <v>99</v>
      </c>
      <c r="B100" s="34" t="s">
        <v>1558</v>
      </c>
      <c r="C100" s="36">
        <f ca="1">TODAY()-4300</f>
        <v>40336</v>
      </c>
      <c r="D100" s="36">
        <f ca="1">TODAY()-4292</f>
        <v>40344</v>
      </c>
      <c r="E100" s="37">
        <v>677800</v>
      </c>
      <c r="F100" s="31" t="b">
        <v>1</v>
      </c>
      <c r="G100" s="34" t="s">
        <v>1520</v>
      </c>
    </row>
    <row r="101" spans="1:7" x14ac:dyDescent="0.2">
      <c r="A101" s="32">
        <v>100</v>
      </c>
      <c r="B101" s="34" t="s">
        <v>1535</v>
      </c>
      <c r="C101" s="36">
        <f ca="1">TODAY()-4293</f>
        <v>40343</v>
      </c>
      <c r="D101" s="36">
        <f ca="1">TODAY()-4286</f>
        <v>40350</v>
      </c>
      <c r="E101" s="37">
        <v>491400</v>
      </c>
      <c r="F101" s="31" t="b">
        <v>1</v>
      </c>
      <c r="G101" s="34" t="s">
        <v>1443</v>
      </c>
    </row>
    <row r="102" spans="1:7" x14ac:dyDescent="0.2">
      <c r="A102" s="32">
        <v>101</v>
      </c>
      <c r="B102" s="34" t="s">
        <v>1575</v>
      </c>
      <c r="C102" s="36">
        <f ca="1">TODAY()-4283</f>
        <v>40353</v>
      </c>
      <c r="D102" s="36">
        <f ca="1">TODAY()-4274</f>
        <v>40362</v>
      </c>
      <c r="E102" s="37">
        <v>692800</v>
      </c>
      <c r="F102" s="31" t="b">
        <v>1</v>
      </c>
      <c r="G102" s="34" t="s">
        <v>1520</v>
      </c>
    </row>
    <row r="103" spans="1:7" x14ac:dyDescent="0.2">
      <c r="A103" s="32">
        <v>102</v>
      </c>
      <c r="B103" s="34" t="s">
        <v>1537</v>
      </c>
      <c r="C103" s="36">
        <f ca="1">TODAY()-4265</f>
        <v>40371</v>
      </c>
      <c r="D103" s="36">
        <f ca="1">TODAY()-4262</f>
        <v>40374</v>
      </c>
      <c r="E103" s="37">
        <v>105000</v>
      </c>
      <c r="F103" s="31" t="b">
        <v>0</v>
      </c>
      <c r="G103" s="34" t="s">
        <v>1520</v>
      </c>
    </row>
    <row r="104" spans="1:7" x14ac:dyDescent="0.2">
      <c r="A104" s="32">
        <v>103</v>
      </c>
      <c r="B104" s="34" t="s">
        <v>1532</v>
      </c>
      <c r="C104" s="36">
        <f ca="1">TODAY()-4253</f>
        <v>40383</v>
      </c>
      <c r="D104" s="36">
        <f ca="1">TODAY()-4251</f>
        <v>40385</v>
      </c>
      <c r="E104" s="37">
        <v>172600</v>
      </c>
      <c r="F104" s="31" t="b">
        <v>1</v>
      </c>
      <c r="G104" s="34" t="s">
        <v>1435</v>
      </c>
    </row>
    <row r="105" spans="1:7" x14ac:dyDescent="0.2">
      <c r="A105" s="32">
        <v>104</v>
      </c>
      <c r="B105" s="34" t="s">
        <v>1583</v>
      </c>
      <c r="C105" s="36">
        <f ca="1">TODAY()-4246</f>
        <v>40390</v>
      </c>
      <c r="D105" s="36">
        <f ca="1">TODAY()-4234</f>
        <v>40402</v>
      </c>
      <c r="E105" s="37">
        <v>707800</v>
      </c>
      <c r="F105" s="31" t="b">
        <v>1</v>
      </c>
      <c r="G105" s="34" t="s">
        <v>1520</v>
      </c>
    </row>
    <row r="106" spans="1:7" x14ac:dyDescent="0.2">
      <c r="A106" s="32">
        <v>105</v>
      </c>
      <c r="B106" s="34" t="s">
        <v>1560</v>
      </c>
      <c r="C106" s="36">
        <f ca="1">TODAY()-4230</f>
        <v>40406</v>
      </c>
      <c r="D106" s="36">
        <f ca="1">TODAY()-4223</f>
        <v>40413</v>
      </c>
      <c r="E106" s="37">
        <v>319300</v>
      </c>
      <c r="F106" s="31" t="b">
        <v>0</v>
      </c>
      <c r="G106" s="34" t="s">
        <v>1443</v>
      </c>
    </row>
    <row r="107" spans="1:7" x14ac:dyDescent="0.2">
      <c r="A107" s="32">
        <v>106</v>
      </c>
      <c r="B107" s="34" t="s">
        <v>1566</v>
      </c>
      <c r="C107" s="36">
        <f ca="1">TODAY()-4211</f>
        <v>40425</v>
      </c>
      <c r="D107" s="36">
        <f ca="1">TODAY()-4210</f>
        <v>40426</v>
      </c>
      <c r="E107" s="37">
        <v>202900</v>
      </c>
      <c r="F107" s="31" t="b">
        <v>1</v>
      </c>
      <c r="G107" s="34" t="s">
        <v>1443</v>
      </c>
    </row>
    <row r="108" spans="1:7" x14ac:dyDescent="0.2">
      <c r="A108" s="32">
        <v>107</v>
      </c>
      <c r="B108" s="34" t="s">
        <v>1577</v>
      </c>
      <c r="C108" s="36">
        <f ca="1">TODAY()-4202</f>
        <v>40434</v>
      </c>
      <c r="D108" s="36">
        <f ca="1">TODAY()-4194</f>
        <v>40442</v>
      </c>
      <c r="E108" s="37">
        <v>805900</v>
      </c>
      <c r="F108" s="31" t="b">
        <v>0</v>
      </c>
      <c r="G108" s="34" t="s">
        <v>1443</v>
      </c>
    </row>
    <row r="109" spans="1:7" x14ac:dyDescent="0.2">
      <c r="A109" s="32">
        <v>108</v>
      </c>
      <c r="B109" s="34" t="s">
        <v>1552</v>
      </c>
      <c r="C109" s="36">
        <f ca="1">TODAY()-4190</f>
        <v>40446</v>
      </c>
      <c r="D109" s="36">
        <f ca="1">TODAY()-4182</f>
        <v>40454</v>
      </c>
      <c r="E109" s="37">
        <v>854600</v>
      </c>
      <c r="F109" s="31" t="b">
        <v>0</v>
      </c>
      <c r="G109" s="34" t="s">
        <v>1520</v>
      </c>
    </row>
    <row r="110" spans="1:7" x14ac:dyDescent="0.2">
      <c r="A110" s="32">
        <v>109</v>
      </c>
      <c r="B110" s="34" t="s">
        <v>1536</v>
      </c>
      <c r="C110" s="36">
        <f ca="1">TODAY()-4177</f>
        <v>40459</v>
      </c>
      <c r="D110" s="36">
        <f ca="1">TODAY()-4174</f>
        <v>40462</v>
      </c>
      <c r="E110" s="37">
        <v>179500</v>
      </c>
      <c r="F110" s="31" t="b">
        <v>0</v>
      </c>
      <c r="G110" s="34" t="s">
        <v>1520</v>
      </c>
    </row>
    <row r="111" spans="1:7" x14ac:dyDescent="0.2">
      <c r="A111" s="32">
        <v>110</v>
      </c>
      <c r="B111" s="34" t="s">
        <v>1539</v>
      </c>
      <c r="C111" s="36">
        <f ca="1">TODAY()-4179</f>
        <v>40457</v>
      </c>
      <c r="D111" s="36">
        <f ca="1">TODAY()-4171</f>
        <v>40465</v>
      </c>
      <c r="E111" s="37">
        <v>866600</v>
      </c>
      <c r="F111" s="31" t="b">
        <v>1</v>
      </c>
      <c r="G111" s="34" t="s">
        <v>1520</v>
      </c>
    </row>
    <row r="112" spans="1:7" x14ac:dyDescent="0.2">
      <c r="A112" s="32">
        <v>111</v>
      </c>
      <c r="B112" s="34" t="s">
        <v>1531</v>
      </c>
      <c r="C112" s="36">
        <f ca="1">TODAY()-4167</f>
        <v>40469</v>
      </c>
      <c r="D112" s="36">
        <f ca="1">TODAY()-4158</f>
        <v>40478</v>
      </c>
      <c r="E112" s="37">
        <v>750800</v>
      </c>
      <c r="F112" s="31" t="b">
        <v>1</v>
      </c>
      <c r="G112" s="34" t="s">
        <v>1520</v>
      </c>
    </row>
    <row r="113" spans="1:7" x14ac:dyDescent="0.2">
      <c r="A113" s="32">
        <v>112</v>
      </c>
      <c r="B113" s="34" t="s">
        <v>1528</v>
      </c>
      <c r="C113" s="36">
        <f ca="1">TODAY()-4155</f>
        <v>40481</v>
      </c>
      <c r="D113" s="36">
        <f ca="1">TODAY()-4148</f>
        <v>40488</v>
      </c>
      <c r="E113" s="37">
        <v>496600</v>
      </c>
      <c r="F113" s="31" t="b">
        <v>0</v>
      </c>
      <c r="G113" s="34" t="s">
        <v>1520</v>
      </c>
    </row>
    <row r="114" spans="1:7" x14ac:dyDescent="0.2">
      <c r="A114" s="32">
        <v>113</v>
      </c>
      <c r="B114" s="34" t="s">
        <v>1532</v>
      </c>
      <c r="C114" s="36">
        <f ca="1">TODAY()-4123</f>
        <v>40513</v>
      </c>
      <c r="D114" s="36">
        <f ca="1">TODAY()-4123</f>
        <v>40513</v>
      </c>
      <c r="E114" s="37">
        <v>114700</v>
      </c>
      <c r="F114" s="31" t="b">
        <v>1</v>
      </c>
      <c r="G114" s="34" t="s">
        <v>1435</v>
      </c>
    </row>
    <row r="115" spans="1:7" x14ac:dyDescent="0.2">
      <c r="A115" s="32">
        <v>114</v>
      </c>
      <c r="B115" s="34" t="s">
        <v>1546</v>
      </c>
      <c r="C115" s="36">
        <f ca="1">TODAY()-4121</f>
        <v>40515</v>
      </c>
      <c r="D115" s="36">
        <f ca="1">TODAY()-4119</f>
        <v>40517</v>
      </c>
      <c r="E115" s="37">
        <v>85700</v>
      </c>
      <c r="F115" s="31" t="b">
        <v>1</v>
      </c>
      <c r="G115" s="34" t="s">
        <v>1443</v>
      </c>
    </row>
    <row r="116" spans="1:7" x14ac:dyDescent="0.2">
      <c r="A116" s="32">
        <v>115</v>
      </c>
      <c r="B116" s="34" t="s">
        <v>1572</v>
      </c>
      <c r="C116" s="36">
        <f ca="1">TODAY()-4109</f>
        <v>40527</v>
      </c>
      <c r="D116" s="36">
        <f ca="1">TODAY()-4106</f>
        <v>40530</v>
      </c>
      <c r="E116" s="37">
        <v>186200</v>
      </c>
      <c r="F116" s="31" t="b">
        <v>1</v>
      </c>
      <c r="G116" s="34" t="s">
        <v>1443</v>
      </c>
    </row>
    <row r="117" spans="1:7" x14ac:dyDescent="0.2">
      <c r="A117" s="32">
        <v>116</v>
      </c>
      <c r="B117" s="34" t="s">
        <v>1573</v>
      </c>
      <c r="C117" s="36">
        <f ca="1">TODAY()-4100</f>
        <v>40536</v>
      </c>
      <c r="D117" s="36">
        <f ca="1">TODAY()-4090</f>
        <v>40546</v>
      </c>
      <c r="E117" s="37">
        <v>768700</v>
      </c>
      <c r="F117" s="31" t="b">
        <v>0</v>
      </c>
      <c r="G117" s="34" t="s">
        <v>1443</v>
      </c>
    </row>
    <row r="118" spans="1:7" x14ac:dyDescent="0.2">
      <c r="A118" s="32">
        <v>117</v>
      </c>
      <c r="B118" s="34" t="s">
        <v>1561</v>
      </c>
      <c r="C118" s="36">
        <f ca="1">TODAY()-4083</f>
        <v>40553</v>
      </c>
      <c r="D118" s="36">
        <f ca="1">TODAY()-4081</f>
        <v>40555</v>
      </c>
      <c r="E118" s="37">
        <v>75600</v>
      </c>
      <c r="F118" s="31" t="b">
        <v>0</v>
      </c>
      <c r="G118" s="34" t="s">
        <v>1520</v>
      </c>
    </row>
    <row r="119" spans="1:7" x14ac:dyDescent="0.2">
      <c r="A119" s="32">
        <v>118</v>
      </c>
      <c r="B119" s="34" t="s">
        <v>1560</v>
      </c>
      <c r="C119" s="36">
        <f ca="1">TODAY()-4074</f>
        <v>40562</v>
      </c>
      <c r="D119" s="36">
        <f ca="1">TODAY()-4064</f>
        <v>40572</v>
      </c>
      <c r="E119" s="37">
        <v>804600</v>
      </c>
      <c r="F119" s="31" t="b">
        <v>1</v>
      </c>
      <c r="G119" s="34" t="s">
        <v>1443</v>
      </c>
    </row>
    <row r="120" spans="1:7" x14ac:dyDescent="0.2">
      <c r="A120" s="32">
        <v>119</v>
      </c>
      <c r="B120" s="34" t="s">
        <v>1576</v>
      </c>
      <c r="C120" s="36">
        <f ca="1">TODAY()-4068</f>
        <v>40568</v>
      </c>
      <c r="D120" s="36">
        <f ca="1">TODAY()-4056</f>
        <v>40580</v>
      </c>
      <c r="E120" s="37">
        <v>582900</v>
      </c>
      <c r="F120" s="31" t="b">
        <v>0</v>
      </c>
      <c r="G120" s="34" t="s">
        <v>1443</v>
      </c>
    </row>
    <row r="121" spans="1:7" x14ac:dyDescent="0.2">
      <c r="A121" s="32">
        <v>120</v>
      </c>
      <c r="B121" s="34" t="s">
        <v>1586</v>
      </c>
      <c r="C121" s="36">
        <f ca="1">TODAY()-4056</f>
        <v>40580</v>
      </c>
      <c r="D121" s="36">
        <f ca="1">TODAY()-4048</f>
        <v>40588</v>
      </c>
      <c r="E121" s="37">
        <v>550900</v>
      </c>
      <c r="F121" s="31" t="b">
        <v>0</v>
      </c>
      <c r="G121" s="34" t="s">
        <v>1520</v>
      </c>
    </row>
    <row r="122" spans="1:7" x14ac:dyDescent="0.2">
      <c r="A122" s="32">
        <v>121</v>
      </c>
      <c r="B122" s="34" t="s">
        <v>1517</v>
      </c>
      <c r="C122" s="36">
        <f ca="1">TODAY()-4042</f>
        <v>40594</v>
      </c>
      <c r="D122" s="36">
        <f ca="1">TODAY()-4040</f>
        <v>40596</v>
      </c>
      <c r="E122" s="37">
        <v>188900</v>
      </c>
      <c r="F122" s="31" t="b">
        <v>1</v>
      </c>
      <c r="G122" s="34" t="s">
        <v>1443</v>
      </c>
    </row>
    <row r="123" spans="1:7" x14ac:dyDescent="0.2">
      <c r="A123" s="32">
        <v>122</v>
      </c>
      <c r="B123" s="34" t="s">
        <v>1549</v>
      </c>
      <c r="C123" s="36">
        <f ca="1">TODAY()-4025</f>
        <v>40611</v>
      </c>
      <c r="D123" s="36">
        <f ca="1">TODAY()-4024</f>
        <v>40612</v>
      </c>
      <c r="E123" s="37">
        <v>68300</v>
      </c>
      <c r="F123" s="31" t="b">
        <v>1</v>
      </c>
      <c r="G123" s="34" t="s">
        <v>1520</v>
      </c>
    </row>
    <row r="124" spans="1:7" x14ac:dyDescent="0.2">
      <c r="A124" s="32">
        <v>123</v>
      </c>
      <c r="B124" s="34" t="s">
        <v>1558</v>
      </c>
      <c r="C124" s="36">
        <f ca="1">TODAY()-4014</f>
        <v>40622</v>
      </c>
      <c r="D124" s="36">
        <f ca="1">TODAY()-4011</f>
        <v>40625</v>
      </c>
      <c r="E124" s="37">
        <v>191000</v>
      </c>
      <c r="F124" s="31" t="b">
        <v>0</v>
      </c>
      <c r="G124" s="34" t="s">
        <v>1520</v>
      </c>
    </row>
    <row r="125" spans="1:7" x14ac:dyDescent="0.2">
      <c r="A125" s="32">
        <v>124</v>
      </c>
      <c r="B125" s="34" t="s">
        <v>1539</v>
      </c>
      <c r="C125" s="36">
        <f ca="1">TODAY()-4010</f>
        <v>40626</v>
      </c>
      <c r="D125" s="36">
        <f ca="1">TODAY()-4003</f>
        <v>40633</v>
      </c>
      <c r="E125" s="37">
        <v>238300</v>
      </c>
      <c r="F125" s="31" t="b">
        <v>0</v>
      </c>
      <c r="G125" s="34" t="s">
        <v>1520</v>
      </c>
    </row>
    <row r="126" spans="1:7" x14ac:dyDescent="0.2">
      <c r="A126" s="32">
        <v>125</v>
      </c>
      <c r="B126" s="34" t="s">
        <v>1585</v>
      </c>
      <c r="C126" s="36">
        <f ca="1">TODAY()-3985</f>
        <v>40651</v>
      </c>
      <c r="D126" s="36">
        <f ca="1">TODAY()-3982</f>
        <v>40654</v>
      </c>
      <c r="E126" s="37">
        <v>147600</v>
      </c>
      <c r="F126" s="31" t="b">
        <v>1</v>
      </c>
      <c r="G126" s="34" t="s">
        <v>1443</v>
      </c>
    </row>
    <row r="127" spans="1:7" x14ac:dyDescent="0.2">
      <c r="A127" s="32">
        <v>126</v>
      </c>
      <c r="B127" s="34" t="s">
        <v>1571</v>
      </c>
      <c r="C127" s="36">
        <f ca="1">TODAY()-3988</f>
        <v>40648</v>
      </c>
      <c r="D127" s="36">
        <f ca="1">TODAY()-3977</f>
        <v>40659</v>
      </c>
      <c r="E127" s="37">
        <v>839500</v>
      </c>
      <c r="F127" s="31" t="b">
        <v>0</v>
      </c>
      <c r="G127" s="34" t="s">
        <v>1520</v>
      </c>
    </row>
    <row r="128" spans="1:7" x14ac:dyDescent="0.2">
      <c r="A128" s="32">
        <v>127</v>
      </c>
      <c r="B128" s="34" t="s">
        <v>1584</v>
      </c>
      <c r="C128" s="36">
        <f ca="1">TODAY()-3965</f>
        <v>40671</v>
      </c>
      <c r="D128" s="36">
        <f ca="1">TODAY()-3954</f>
        <v>40682</v>
      </c>
      <c r="E128" s="37">
        <v>737000</v>
      </c>
      <c r="F128" s="31" t="b">
        <v>0</v>
      </c>
      <c r="G128" s="34" t="s">
        <v>1443</v>
      </c>
    </row>
    <row r="129" spans="1:7" x14ac:dyDescent="0.2">
      <c r="A129" s="32">
        <v>128</v>
      </c>
      <c r="B129" s="34" t="s">
        <v>1546</v>
      </c>
      <c r="C129" s="36">
        <f ca="1">TODAY()-3946</f>
        <v>40690</v>
      </c>
      <c r="D129" s="36">
        <f ca="1">TODAY()-3944</f>
        <v>40692</v>
      </c>
      <c r="E129" s="37">
        <v>66600</v>
      </c>
      <c r="F129" s="31" t="b">
        <v>0</v>
      </c>
      <c r="G129" s="34" t="s">
        <v>1443</v>
      </c>
    </row>
    <row r="130" spans="1:7" x14ac:dyDescent="0.2">
      <c r="A130" s="32">
        <v>129</v>
      </c>
      <c r="B130" s="34" t="s">
        <v>1572</v>
      </c>
      <c r="C130" s="36">
        <f ca="1">TODAY()-3930</f>
        <v>40706</v>
      </c>
      <c r="D130" s="36">
        <f ca="1">TODAY()-3929</f>
        <v>40707</v>
      </c>
      <c r="E130" s="37">
        <v>119100</v>
      </c>
      <c r="F130" s="31" t="b">
        <v>1</v>
      </c>
      <c r="G130" s="34" t="s">
        <v>1443</v>
      </c>
    </row>
    <row r="131" spans="1:7" x14ac:dyDescent="0.2">
      <c r="A131" s="32">
        <v>130</v>
      </c>
      <c r="B131" s="34" t="s">
        <v>1583</v>
      </c>
      <c r="C131" s="36">
        <f ca="1">TODAY()-3927</f>
        <v>40709</v>
      </c>
      <c r="D131" s="36">
        <f ca="1">TODAY()-3924</f>
        <v>40712</v>
      </c>
      <c r="E131" s="37">
        <v>125800</v>
      </c>
      <c r="F131" s="31" t="b">
        <v>1</v>
      </c>
      <c r="G131" s="34" t="s">
        <v>1520</v>
      </c>
    </row>
    <row r="132" spans="1:7" x14ac:dyDescent="0.2">
      <c r="A132" s="32">
        <v>131</v>
      </c>
      <c r="B132" s="34" t="s">
        <v>1547</v>
      </c>
      <c r="C132" s="36">
        <f ca="1">TODAY()-3925</f>
        <v>40711</v>
      </c>
      <c r="D132" s="36">
        <f ca="1">TODAY()-3915</f>
        <v>40721</v>
      </c>
      <c r="E132" s="37">
        <v>901500</v>
      </c>
      <c r="F132" s="31" t="b">
        <v>1</v>
      </c>
      <c r="G132" s="34" t="s">
        <v>1520</v>
      </c>
    </row>
    <row r="133" spans="1:7" x14ac:dyDescent="0.2">
      <c r="A133" s="32">
        <v>132</v>
      </c>
      <c r="B133" s="34" t="s">
        <v>1582</v>
      </c>
      <c r="C133" s="36">
        <f ca="1">TODAY()-3908</f>
        <v>40728</v>
      </c>
      <c r="D133" s="36">
        <f ca="1">TODAY()-3905</f>
        <v>40731</v>
      </c>
      <c r="E133" s="37">
        <v>90400</v>
      </c>
      <c r="F133" s="31" t="b">
        <v>0</v>
      </c>
      <c r="G133" s="34" t="s">
        <v>1443</v>
      </c>
    </row>
    <row r="134" spans="1:7" x14ac:dyDescent="0.2">
      <c r="A134" s="32">
        <v>133</v>
      </c>
      <c r="B134" s="34" t="s">
        <v>1580</v>
      </c>
      <c r="C134" s="36">
        <f ca="1">TODAY()-3877</f>
        <v>40759</v>
      </c>
      <c r="D134" s="36">
        <f ca="1">TODAY()-3876</f>
        <v>40760</v>
      </c>
      <c r="E134" s="37">
        <v>169500</v>
      </c>
      <c r="F134" s="31" t="b">
        <v>1</v>
      </c>
      <c r="G134" s="34" t="s">
        <v>1443</v>
      </c>
    </row>
    <row r="135" spans="1:7" x14ac:dyDescent="0.2">
      <c r="A135" s="32">
        <v>134</v>
      </c>
      <c r="B135" s="34" t="s">
        <v>1574</v>
      </c>
      <c r="C135" s="36">
        <f ca="1">TODAY()-3870</f>
        <v>40766</v>
      </c>
      <c r="D135" s="36">
        <f ca="1">TODAY()-3867</f>
        <v>40769</v>
      </c>
      <c r="E135" s="37">
        <v>209000</v>
      </c>
      <c r="F135" s="31" t="b">
        <v>1</v>
      </c>
      <c r="G135" s="34" t="s">
        <v>1435</v>
      </c>
    </row>
    <row r="136" spans="1:7" x14ac:dyDescent="0.2">
      <c r="A136" s="32">
        <v>135</v>
      </c>
      <c r="B136" s="34" t="s">
        <v>1581</v>
      </c>
      <c r="C136" s="36">
        <f ca="1">TODAY()-3867</f>
        <v>40769</v>
      </c>
      <c r="D136" s="36">
        <f ca="1">TODAY()-3860</f>
        <v>40776</v>
      </c>
      <c r="E136" s="37">
        <v>292300</v>
      </c>
      <c r="F136" s="31" t="b">
        <v>0</v>
      </c>
      <c r="G136" s="34" t="s">
        <v>1520</v>
      </c>
    </row>
    <row r="137" spans="1:7" x14ac:dyDescent="0.2">
      <c r="A137" s="32">
        <v>136</v>
      </c>
      <c r="B137" s="34" t="s">
        <v>1579</v>
      </c>
      <c r="C137" s="36">
        <f ca="1">TODAY()-3850</f>
        <v>40786</v>
      </c>
      <c r="D137" s="36">
        <f ca="1">TODAY()-3850</f>
        <v>40786</v>
      </c>
      <c r="E137" s="37">
        <v>216800</v>
      </c>
      <c r="F137" s="31" t="b">
        <v>1</v>
      </c>
      <c r="G137" s="34" t="s">
        <v>1443</v>
      </c>
    </row>
    <row r="138" spans="1:7" x14ac:dyDescent="0.2">
      <c r="A138" s="32">
        <v>137</v>
      </c>
      <c r="B138" s="34" t="s">
        <v>1563</v>
      </c>
      <c r="C138" s="36">
        <f ca="1">TODAY()-3851</f>
        <v>40785</v>
      </c>
      <c r="D138" s="36">
        <f ca="1">TODAY()-3840</f>
        <v>40796</v>
      </c>
      <c r="E138" s="37">
        <v>717700</v>
      </c>
      <c r="F138" s="31" t="b">
        <v>0</v>
      </c>
      <c r="G138" s="34" t="s">
        <v>1520</v>
      </c>
    </row>
    <row r="139" spans="1:7" x14ac:dyDescent="0.2">
      <c r="A139" s="32">
        <v>138</v>
      </c>
      <c r="B139" s="34" t="s">
        <v>1538</v>
      </c>
      <c r="C139" s="36">
        <f ca="1">TODAY()-3838</f>
        <v>40798</v>
      </c>
      <c r="D139" s="36">
        <f ca="1">TODAY()-3835</f>
        <v>40801</v>
      </c>
      <c r="E139" s="37">
        <v>71200</v>
      </c>
      <c r="F139" s="31" t="b">
        <v>0</v>
      </c>
      <c r="G139" s="34" t="s">
        <v>1520</v>
      </c>
    </row>
    <row r="140" spans="1:7" x14ac:dyDescent="0.2">
      <c r="A140" s="32">
        <v>139</v>
      </c>
      <c r="B140" s="34" t="s">
        <v>1577</v>
      </c>
      <c r="C140" s="36">
        <f ca="1">TODAY()-3829</f>
        <v>40807</v>
      </c>
      <c r="D140" s="36">
        <f ca="1">TODAY()-3826</f>
        <v>40810</v>
      </c>
      <c r="E140" s="37">
        <v>219000</v>
      </c>
      <c r="F140" s="31" t="b">
        <v>0</v>
      </c>
      <c r="G140" s="34" t="s">
        <v>1443</v>
      </c>
    </row>
    <row r="141" spans="1:7" x14ac:dyDescent="0.2">
      <c r="A141" s="32">
        <v>140</v>
      </c>
      <c r="B141" s="34" t="s">
        <v>1546</v>
      </c>
      <c r="C141" s="36">
        <f ca="1">TODAY()-3822</f>
        <v>40814</v>
      </c>
      <c r="D141" s="36">
        <f ca="1">TODAY()-3819</f>
        <v>40817</v>
      </c>
      <c r="E141" s="37">
        <v>83000</v>
      </c>
      <c r="F141" s="31" t="b">
        <v>1</v>
      </c>
      <c r="G141" s="34" t="s">
        <v>1443</v>
      </c>
    </row>
    <row r="142" spans="1:7" x14ac:dyDescent="0.2">
      <c r="A142" s="32">
        <v>141</v>
      </c>
      <c r="B142" s="34" t="s">
        <v>1559</v>
      </c>
      <c r="C142" s="36">
        <f ca="1">TODAY()-3795</f>
        <v>40841</v>
      </c>
      <c r="D142" s="36">
        <f ca="1">TODAY()-3794</f>
        <v>40842</v>
      </c>
      <c r="E142" s="37">
        <v>74900</v>
      </c>
      <c r="F142" s="31" t="b">
        <v>1</v>
      </c>
      <c r="G142" s="34" t="s">
        <v>1443</v>
      </c>
    </row>
    <row r="143" spans="1:7" x14ac:dyDescent="0.2">
      <c r="A143" s="32">
        <v>142</v>
      </c>
      <c r="B143" s="34" t="s">
        <v>1547</v>
      </c>
      <c r="C143" s="36">
        <f ca="1">TODAY()-3785</f>
        <v>40851</v>
      </c>
      <c r="D143" s="36">
        <f ca="1">TODAY()-3778</f>
        <v>40858</v>
      </c>
      <c r="E143" s="37">
        <v>385500</v>
      </c>
      <c r="F143" s="31" t="b">
        <v>1</v>
      </c>
      <c r="G143" s="34" t="s">
        <v>1520</v>
      </c>
    </row>
    <row r="144" spans="1:7" x14ac:dyDescent="0.2">
      <c r="A144" s="32">
        <v>143</v>
      </c>
      <c r="B144" s="34" t="s">
        <v>1580</v>
      </c>
      <c r="C144" s="36">
        <f ca="1">TODAY()-3774</f>
        <v>40862</v>
      </c>
      <c r="D144" s="36">
        <f ca="1">TODAY()-3772</f>
        <v>40864</v>
      </c>
      <c r="E144" s="37">
        <v>138400</v>
      </c>
      <c r="F144" s="31" t="b">
        <v>0</v>
      </c>
      <c r="G144" s="34" t="s">
        <v>1443</v>
      </c>
    </row>
    <row r="145" spans="1:7" x14ac:dyDescent="0.2">
      <c r="A145" s="32">
        <v>144</v>
      </c>
      <c r="B145" s="34" t="s">
        <v>1532</v>
      </c>
      <c r="C145" s="36">
        <f ca="1">TODAY()-3760</f>
        <v>40876</v>
      </c>
      <c r="D145" s="36">
        <f ca="1">TODAY()-3752</f>
        <v>40884</v>
      </c>
      <c r="E145" s="37">
        <v>706000</v>
      </c>
      <c r="F145" s="31" t="b">
        <v>1</v>
      </c>
      <c r="G145" s="34" t="s">
        <v>1435</v>
      </c>
    </row>
    <row r="146" spans="1:7" x14ac:dyDescent="0.2">
      <c r="A146" s="32">
        <v>145</v>
      </c>
      <c r="B146" s="34" t="s">
        <v>1579</v>
      </c>
      <c r="C146" s="36">
        <f ca="1">TODAY()-3741</f>
        <v>40895</v>
      </c>
      <c r="D146" s="36">
        <f ca="1">TODAY()-3741</f>
        <v>40895</v>
      </c>
      <c r="E146" s="37">
        <v>94700</v>
      </c>
      <c r="F146" s="31" t="b">
        <v>1</v>
      </c>
      <c r="G146" s="34" t="s">
        <v>1443</v>
      </c>
    </row>
    <row r="147" spans="1:7" x14ac:dyDescent="0.2">
      <c r="A147" s="32">
        <v>146</v>
      </c>
      <c r="B147" s="34" t="s">
        <v>1550</v>
      </c>
      <c r="C147" s="36">
        <f ca="1">TODAY()-3735</f>
        <v>40901</v>
      </c>
      <c r="D147" s="36">
        <f ca="1">TODAY()-3733</f>
        <v>40903</v>
      </c>
      <c r="E147" s="37">
        <v>105700</v>
      </c>
      <c r="F147" s="31" t="b">
        <v>1</v>
      </c>
      <c r="G147" s="34" t="s">
        <v>1435</v>
      </c>
    </row>
    <row r="148" spans="1:7" x14ac:dyDescent="0.2">
      <c r="A148" s="32">
        <v>147</v>
      </c>
      <c r="B148" s="34" t="s">
        <v>1577</v>
      </c>
      <c r="C148" s="36">
        <f ca="1">TODAY()-3721</f>
        <v>40915</v>
      </c>
      <c r="D148" s="36">
        <f ca="1">TODAY()-3721</f>
        <v>40915</v>
      </c>
      <c r="E148" s="37">
        <v>211200</v>
      </c>
      <c r="F148" s="31" t="b">
        <v>1</v>
      </c>
      <c r="G148" s="34" t="s">
        <v>1443</v>
      </c>
    </row>
    <row r="149" spans="1:7" x14ac:dyDescent="0.2">
      <c r="A149" s="32">
        <v>148</v>
      </c>
      <c r="B149" s="34" t="s">
        <v>1565</v>
      </c>
      <c r="C149" s="36">
        <f ca="1">TODAY()-3722</f>
        <v>40914</v>
      </c>
      <c r="D149" s="36">
        <f ca="1">TODAY()-3710</f>
        <v>40926</v>
      </c>
      <c r="E149" s="37">
        <v>557900</v>
      </c>
      <c r="F149" s="31" t="b">
        <v>1</v>
      </c>
      <c r="G149" s="34" t="s">
        <v>1520</v>
      </c>
    </row>
    <row r="150" spans="1:7" x14ac:dyDescent="0.2">
      <c r="A150" s="32">
        <v>149</v>
      </c>
      <c r="B150" s="34" t="s">
        <v>1546</v>
      </c>
      <c r="C150" s="36">
        <f ca="1">TODAY()-3711</f>
        <v>40925</v>
      </c>
      <c r="D150" s="36">
        <f ca="1">TODAY()-3699</f>
        <v>40937</v>
      </c>
      <c r="E150" s="37">
        <v>829300</v>
      </c>
      <c r="F150" s="31" t="b">
        <v>1</v>
      </c>
      <c r="G150" s="34" t="s">
        <v>1443</v>
      </c>
    </row>
    <row r="151" spans="1:7" x14ac:dyDescent="0.2">
      <c r="A151" s="32">
        <v>150</v>
      </c>
      <c r="B151" s="34" t="s">
        <v>1553</v>
      </c>
      <c r="C151" s="36">
        <f ca="1">TODAY()-3695</f>
        <v>40941</v>
      </c>
      <c r="D151" s="36">
        <f ca="1">TODAY()-3685</f>
        <v>40951</v>
      </c>
      <c r="E151" s="37">
        <v>705200</v>
      </c>
      <c r="F151" s="31" t="b">
        <v>0</v>
      </c>
      <c r="G151" s="34" t="s">
        <v>1443</v>
      </c>
    </row>
    <row r="152" spans="1:7" x14ac:dyDescent="0.2">
      <c r="A152" s="32">
        <v>151</v>
      </c>
      <c r="B152" s="34" t="s">
        <v>1557</v>
      </c>
      <c r="C152" s="36">
        <f ca="1">TODAY()-3675</f>
        <v>40961</v>
      </c>
      <c r="D152" s="36">
        <f ca="1">TODAY()-3674</f>
        <v>40962</v>
      </c>
      <c r="E152" s="37">
        <v>118700</v>
      </c>
      <c r="F152" s="31" t="b">
        <v>0</v>
      </c>
      <c r="G152" s="34" t="s">
        <v>1443</v>
      </c>
    </row>
    <row r="153" spans="1:7" x14ac:dyDescent="0.2">
      <c r="A153" s="32">
        <v>152</v>
      </c>
      <c r="B153" s="34" t="s">
        <v>1568</v>
      </c>
      <c r="C153" s="36">
        <f ca="1">TODAY()-3676</f>
        <v>40960</v>
      </c>
      <c r="D153" s="36">
        <f ca="1">TODAY()-3667</f>
        <v>40969</v>
      </c>
      <c r="E153" s="37">
        <v>877400</v>
      </c>
      <c r="F153" s="31" t="b">
        <v>0</v>
      </c>
      <c r="G153" s="34" t="s">
        <v>1520</v>
      </c>
    </row>
    <row r="154" spans="1:7" x14ac:dyDescent="0.2">
      <c r="A154" s="32">
        <v>153</v>
      </c>
      <c r="B154" s="34" t="s">
        <v>1578</v>
      </c>
      <c r="C154" s="36">
        <f ca="1">TODAY()-3670</f>
        <v>40966</v>
      </c>
      <c r="D154" s="36">
        <f ca="1">TODAY()-3660</f>
        <v>40976</v>
      </c>
      <c r="E154" s="37">
        <v>636400</v>
      </c>
      <c r="F154" s="31" t="b">
        <v>0</v>
      </c>
      <c r="G154" s="34" t="s">
        <v>1520</v>
      </c>
    </row>
    <row r="155" spans="1:7" x14ac:dyDescent="0.2">
      <c r="A155" s="32">
        <v>154</v>
      </c>
      <c r="B155" s="34" t="s">
        <v>1556</v>
      </c>
      <c r="C155" s="36">
        <f ca="1">TODAY()-3649</f>
        <v>40987</v>
      </c>
      <c r="D155" s="36">
        <f ca="1">TODAY()-3648</f>
        <v>40988</v>
      </c>
      <c r="E155" s="37">
        <v>76400</v>
      </c>
      <c r="F155" s="31" t="b">
        <v>0</v>
      </c>
      <c r="G155" s="34" t="s">
        <v>1443</v>
      </c>
    </row>
    <row r="156" spans="1:7" x14ac:dyDescent="0.2">
      <c r="A156" s="32">
        <v>155</v>
      </c>
      <c r="B156" s="34" t="s">
        <v>1545</v>
      </c>
      <c r="C156" s="36">
        <f ca="1">TODAY()-3638</f>
        <v>40998</v>
      </c>
      <c r="D156" s="36">
        <f ca="1">TODAY()-3629</f>
        <v>41007</v>
      </c>
      <c r="E156" s="37">
        <v>670300</v>
      </c>
      <c r="F156" s="31" t="b">
        <v>1</v>
      </c>
      <c r="G156" s="34" t="s">
        <v>1520</v>
      </c>
    </row>
    <row r="157" spans="1:7" x14ac:dyDescent="0.2">
      <c r="A157" s="32">
        <v>156</v>
      </c>
      <c r="B157" s="34" t="s">
        <v>1577</v>
      </c>
      <c r="C157" s="36">
        <f ca="1">TODAY()-3615</f>
        <v>41021</v>
      </c>
      <c r="D157" s="36">
        <f ca="1">TODAY()-3614</f>
        <v>41022</v>
      </c>
      <c r="E157" s="37">
        <v>139900</v>
      </c>
      <c r="F157" s="31" t="b">
        <v>1</v>
      </c>
      <c r="G157" s="34" t="s">
        <v>1443</v>
      </c>
    </row>
    <row r="158" spans="1:7" x14ac:dyDescent="0.2">
      <c r="A158" s="32">
        <v>157</v>
      </c>
      <c r="B158" s="34" t="s">
        <v>1521</v>
      </c>
      <c r="C158" s="36">
        <f ca="1">TODAY()-3609</f>
        <v>41027</v>
      </c>
      <c r="D158" s="36">
        <f ca="1">TODAY()-3607</f>
        <v>41029</v>
      </c>
      <c r="E158" s="37">
        <v>145000</v>
      </c>
      <c r="F158" s="31" t="b">
        <v>1</v>
      </c>
      <c r="G158" s="34" t="s">
        <v>1520</v>
      </c>
    </row>
    <row r="159" spans="1:7" x14ac:dyDescent="0.2">
      <c r="A159" s="32">
        <v>158</v>
      </c>
      <c r="B159" s="34" t="s">
        <v>1528</v>
      </c>
      <c r="C159" s="36">
        <f ca="1">TODAY()-3591</f>
        <v>41045</v>
      </c>
      <c r="D159" s="36">
        <f ca="1">TODAY()-3589</f>
        <v>41047</v>
      </c>
      <c r="E159" s="37">
        <v>81900</v>
      </c>
      <c r="F159" s="31" t="b">
        <v>0</v>
      </c>
      <c r="G159" s="34" t="s">
        <v>1520</v>
      </c>
    </row>
    <row r="160" spans="1:7" x14ac:dyDescent="0.2">
      <c r="A160" s="32">
        <v>159</v>
      </c>
      <c r="B160" s="34" t="s">
        <v>1576</v>
      </c>
      <c r="C160" s="36">
        <f ca="1">TODAY()-3579</f>
        <v>41057</v>
      </c>
      <c r="D160" s="36">
        <f ca="1">TODAY()-3576</f>
        <v>41060</v>
      </c>
      <c r="E160" s="37">
        <v>176800</v>
      </c>
      <c r="F160" s="31" t="b">
        <v>1</v>
      </c>
      <c r="G160" s="34" t="s">
        <v>1443</v>
      </c>
    </row>
    <row r="161" spans="1:7" x14ac:dyDescent="0.2">
      <c r="A161" s="32">
        <v>160</v>
      </c>
      <c r="B161" s="34" t="s">
        <v>1575</v>
      </c>
      <c r="C161" s="36">
        <f ca="1">TODAY()-3566</f>
        <v>41070</v>
      </c>
      <c r="D161" s="36">
        <f ca="1">TODAY()-3565</f>
        <v>41071</v>
      </c>
      <c r="E161" s="37">
        <v>109400</v>
      </c>
      <c r="F161" s="31" t="b">
        <v>1</v>
      </c>
      <c r="G161" s="34" t="s">
        <v>1520</v>
      </c>
    </row>
    <row r="162" spans="1:7" x14ac:dyDescent="0.2">
      <c r="A162" s="32">
        <v>161</v>
      </c>
      <c r="B162" s="34" t="s">
        <v>1574</v>
      </c>
      <c r="C162" s="36">
        <f ca="1">TODAY()-3554</f>
        <v>41082</v>
      </c>
      <c r="D162" s="36">
        <f ca="1">TODAY()-3553</f>
        <v>41083</v>
      </c>
      <c r="E162" s="37">
        <v>93800</v>
      </c>
      <c r="F162" s="31" t="b">
        <v>0</v>
      </c>
      <c r="G162" s="34" t="s">
        <v>1435</v>
      </c>
    </row>
    <row r="163" spans="1:7" x14ac:dyDescent="0.2">
      <c r="A163" s="32">
        <v>162</v>
      </c>
      <c r="B163" s="34" t="s">
        <v>1573</v>
      </c>
      <c r="C163" s="36">
        <f ca="1">TODAY()-3552</f>
        <v>41084</v>
      </c>
      <c r="D163" s="36">
        <f ca="1">TODAY()-3541</f>
        <v>41095</v>
      </c>
      <c r="E163" s="37">
        <v>571900</v>
      </c>
      <c r="F163" s="31" t="b">
        <v>0</v>
      </c>
      <c r="G163" s="34" t="s">
        <v>1443</v>
      </c>
    </row>
    <row r="164" spans="1:7" x14ac:dyDescent="0.2">
      <c r="A164" s="32">
        <v>163</v>
      </c>
      <c r="B164" s="34" t="s">
        <v>1545</v>
      </c>
      <c r="C164" s="36">
        <f ca="1">TODAY()-3537</f>
        <v>41099</v>
      </c>
      <c r="D164" s="36">
        <f ca="1">TODAY()-3534</f>
        <v>41102</v>
      </c>
      <c r="E164" s="37">
        <v>193500</v>
      </c>
      <c r="F164" s="31" t="b">
        <v>1</v>
      </c>
      <c r="G164" s="34" t="s">
        <v>1520</v>
      </c>
    </row>
    <row r="165" spans="1:7" x14ac:dyDescent="0.2">
      <c r="A165" s="32">
        <v>164</v>
      </c>
      <c r="B165" s="34" t="s">
        <v>1551</v>
      </c>
      <c r="C165" s="36">
        <f ca="1">TODAY()-3531</f>
        <v>41105</v>
      </c>
      <c r="D165" s="36">
        <f ca="1">TODAY()-3524</f>
        <v>41112</v>
      </c>
      <c r="E165" s="37">
        <v>492900</v>
      </c>
      <c r="F165" s="31" t="b">
        <v>0</v>
      </c>
      <c r="G165" s="34" t="s">
        <v>1520</v>
      </c>
    </row>
    <row r="166" spans="1:7" x14ac:dyDescent="0.2">
      <c r="A166" s="32">
        <v>165</v>
      </c>
      <c r="B166" s="34" t="s">
        <v>1553</v>
      </c>
      <c r="C166" s="36">
        <f ca="1">TODAY()-3525</f>
        <v>41111</v>
      </c>
      <c r="D166" s="36">
        <f ca="1">TODAY()-3513</f>
        <v>41123</v>
      </c>
      <c r="E166" s="37">
        <v>883500</v>
      </c>
      <c r="F166" s="31" t="b">
        <v>0</v>
      </c>
      <c r="G166" s="34" t="s">
        <v>1443</v>
      </c>
    </row>
    <row r="167" spans="1:7" x14ac:dyDescent="0.2">
      <c r="A167" s="32">
        <v>166</v>
      </c>
      <c r="B167" s="34" t="s">
        <v>1533</v>
      </c>
      <c r="C167" s="36">
        <f ca="1">TODAY()-3514</f>
        <v>41122</v>
      </c>
      <c r="D167" s="36">
        <f ca="1">TODAY()-3503</f>
        <v>41133</v>
      </c>
      <c r="E167" s="37">
        <v>677800</v>
      </c>
      <c r="F167" s="31" t="b">
        <v>1</v>
      </c>
      <c r="G167" s="34" t="s">
        <v>1520</v>
      </c>
    </row>
    <row r="168" spans="1:7" x14ac:dyDescent="0.2">
      <c r="A168" s="32">
        <v>167</v>
      </c>
      <c r="B168" s="34" t="s">
        <v>1556</v>
      </c>
      <c r="C168" s="36">
        <f ca="1">TODAY()-3484</f>
        <v>41152</v>
      </c>
      <c r="D168" s="36">
        <f ca="1">TODAY()-3481</f>
        <v>41155</v>
      </c>
      <c r="E168" s="37">
        <v>133800</v>
      </c>
      <c r="F168" s="31" t="b">
        <v>0</v>
      </c>
      <c r="G168" s="34" t="s">
        <v>1443</v>
      </c>
    </row>
    <row r="169" spans="1:7" x14ac:dyDescent="0.2">
      <c r="A169" s="32">
        <v>168</v>
      </c>
      <c r="B169" s="34" t="s">
        <v>1540</v>
      </c>
      <c r="C169" s="36">
        <f ca="1">TODAY()-3465</f>
        <v>41171</v>
      </c>
      <c r="D169" s="36">
        <f ca="1">TODAY()-3465</f>
        <v>41171</v>
      </c>
      <c r="E169" s="37">
        <v>185600</v>
      </c>
      <c r="F169" s="31" t="b">
        <v>0</v>
      </c>
      <c r="G169" s="34" t="s">
        <v>1435</v>
      </c>
    </row>
    <row r="170" spans="1:7" x14ac:dyDescent="0.2">
      <c r="A170" s="32">
        <v>169</v>
      </c>
      <c r="B170" s="34" t="s">
        <v>1572</v>
      </c>
      <c r="C170" s="36">
        <f ca="1">TODAY()-3461</f>
        <v>41175</v>
      </c>
      <c r="D170" s="36">
        <f ca="1">TODAY()-3459</f>
        <v>41177</v>
      </c>
      <c r="E170" s="37">
        <v>193600</v>
      </c>
      <c r="F170" s="31" t="b">
        <v>0</v>
      </c>
      <c r="G170" s="34" t="s">
        <v>1443</v>
      </c>
    </row>
    <row r="171" spans="1:7" x14ac:dyDescent="0.2">
      <c r="A171" s="32">
        <v>170</v>
      </c>
      <c r="B171" s="34" t="s">
        <v>1536</v>
      </c>
      <c r="C171" s="36">
        <f ca="1">TODAY()-3456</f>
        <v>41180</v>
      </c>
      <c r="D171" s="36">
        <f ca="1">TODAY()-3448</f>
        <v>41188</v>
      </c>
      <c r="E171" s="37">
        <v>891100</v>
      </c>
      <c r="F171" s="31" t="b">
        <v>0</v>
      </c>
      <c r="G171" s="34" t="s">
        <v>1520</v>
      </c>
    </row>
    <row r="172" spans="1:7" x14ac:dyDescent="0.2">
      <c r="A172" s="32">
        <v>171</v>
      </c>
      <c r="B172" s="34" t="s">
        <v>1571</v>
      </c>
      <c r="C172" s="36">
        <f ca="1">TODAY()-3439</f>
        <v>41197</v>
      </c>
      <c r="D172" s="36">
        <f ca="1">TODAY()-3437</f>
        <v>41199</v>
      </c>
      <c r="E172" s="37">
        <v>103900</v>
      </c>
      <c r="F172" s="31" t="b">
        <v>1</v>
      </c>
      <c r="G172" s="34" t="s">
        <v>1520</v>
      </c>
    </row>
    <row r="173" spans="1:7" x14ac:dyDescent="0.2">
      <c r="A173" s="32">
        <v>172</v>
      </c>
      <c r="B173" s="34" t="s">
        <v>1570</v>
      </c>
      <c r="C173" s="36">
        <f ca="1">TODAY()-3428</f>
        <v>41208</v>
      </c>
      <c r="D173" s="36">
        <f ca="1">TODAY()-3427</f>
        <v>41209</v>
      </c>
      <c r="E173" s="37">
        <v>186800</v>
      </c>
      <c r="F173" s="31" t="b">
        <v>0</v>
      </c>
      <c r="G173" s="34" t="s">
        <v>1443</v>
      </c>
    </row>
    <row r="174" spans="1:7" x14ac:dyDescent="0.2">
      <c r="A174" s="32">
        <v>173</v>
      </c>
      <c r="B174" s="34" t="s">
        <v>1529</v>
      </c>
      <c r="C174" s="36">
        <f ca="1">TODAY()-3428</f>
        <v>41208</v>
      </c>
      <c r="D174" s="36">
        <f ca="1">TODAY()-3418</f>
        <v>41218</v>
      </c>
      <c r="E174" s="37">
        <v>628100</v>
      </c>
      <c r="F174" s="31" t="b">
        <v>0</v>
      </c>
      <c r="G174" s="34" t="s">
        <v>1520</v>
      </c>
    </row>
    <row r="175" spans="1:7" x14ac:dyDescent="0.2">
      <c r="A175" s="32">
        <v>174</v>
      </c>
      <c r="B175" s="34" t="s">
        <v>1533</v>
      </c>
      <c r="C175" s="36">
        <f ca="1">TODAY()-3407</f>
        <v>41229</v>
      </c>
      <c r="D175" s="36">
        <f ca="1">TODAY()-3407</f>
        <v>41229</v>
      </c>
      <c r="E175" s="37">
        <v>169400</v>
      </c>
      <c r="F175" s="31" t="b">
        <v>1</v>
      </c>
      <c r="G175" s="34" t="s">
        <v>1520</v>
      </c>
    </row>
    <row r="176" spans="1:7" x14ac:dyDescent="0.2">
      <c r="A176" s="32">
        <v>175</v>
      </c>
      <c r="B176" s="34" t="s">
        <v>1569</v>
      </c>
      <c r="C176" s="36">
        <f ca="1">TODAY()-3397</f>
        <v>41239</v>
      </c>
      <c r="D176" s="36">
        <f ca="1">TODAY()-3397</f>
        <v>41239</v>
      </c>
      <c r="E176" s="37">
        <v>210600</v>
      </c>
      <c r="F176" s="31" t="b">
        <v>0</v>
      </c>
      <c r="G176" s="34" t="s">
        <v>1443</v>
      </c>
    </row>
    <row r="177" spans="1:7" x14ac:dyDescent="0.2">
      <c r="A177" s="32">
        <v>176</v>
      </c>
      <c r="B177" s="34" t="s">
        <v>1568</v>
      </c>
      <c r="C177" s="36">
        <f ca="1">TODAY()-3389</f>
        <v>41247</v>
      </c>
      <c r="D177" s="36">
        <f ca="1">TODAY()-3389</f>
        <v>41247</v>
      </c>
      <c r="E177" s="37">
        <v>127500</v>
      </c>
      <c r="F177" s="31" t="b">
        <v>1</v>
      </c>
      <c r="G177" s="34" t="s">
        <v>1520</v>
      </c>
    </row>
    <row r="178" spans="1:7" x14ac:dyDescent="0.2">
      <c r="A178" s="32">
        <v>177</v>
      </c>
      <c r="B178" s="34" t="s">
        <v>1552</v>
      </c>
      <c r="C178" s="36">
        <f ca="1">TODAY()-3384</f>
        <v>41252</v>
      </c>
      <c r="D178" s="36">
        <f ca="1">TODAY()-3375</f>
        <v>41261</v>
      </c>
      <c r="E178" s="37">
        <v>585300</v>
      </c>
      <c r="F178" s="31" t="b">
        <v>0</v>
      </c>
      <c r="G178" s="34" t="s">
        <v>1520</v>
      </c>
    </row>
    <row r="179" spans="1:7" x14ac:dyDescent="0.2">
      <c r="A179" s="32">
        <v>178</v>
      </c>
      <c r="B179" s="34" t="s">
        <v>1539</v>
      </c>
      <c r="C179" s="36">
        <f ca="1">TODAY()-3357</f>
        <v>41279</v>
      </c>
      <c r="D179" s="36">
        <f ca="1">TODAY()-3356</f>
        <v>41280</v>
      </c>
      <c r="E179" s="37">
        <v>112400</v>
      </c>
      <c r="F179" s="31" t="b">
        <v>0</v>
      </c>
      <c r="G179" s="34" t="s">
        <v>1520</v>
      </c>
    </row>
    <row r="180" spans="1:7" x14ac:dyDescent="0.2">
      <c r="A180" s="32">
        <v>179</v>
      </c>
      <c r="B180" s="34" t="s">
        <v>1567</v>
      </c>
      <c r="C180" s="36">
        <f ca="1">TODAY()-3350</f>
        <v>41286</v>
      </c>
      <c r="D180" s="36">
        <f ca="1">TODAY()-3348</f>
        <v>41288</v>
      </c>
      <c r="E180" s="37">
        <v>152700</v>
      </c>
      <c r="F180" s="31" t="b">
        <v>1</v>
      </c>
      <c r="G180" s="34" t="s">
        <v>1520</v>
      </c>
    </row>
    <row r="181" spans="1:7" x14ac:dyDescent="0.2">
      <c r="A181" s="32">
        <v>180</v>
      </c>
      <c r="B181" s="34" t="s">
        <v>1566</v>
      </c>
      <c r="C181" s="36">
        <f ca="1">TODAY()-3340</f>
        <v>41296</v>
      </c>
      <c r="D181" s="36">
        <f ca="1">TODAY()-3333</f>
        <v>41303</v>
      </c>
      <c r="E181" s="37">
        <v>358000</v>
      </c>
      <c r="F181" s="31" t="b">
        <v>0</v>
      </c>
      <c r="G181" s="34" t="s">
        <v>1443</v>
      </c>
    </row>
    <row r="182" spans="1:7" x14ac:dyDescent="0.2">
      <c r="A182" s="32">
        <v>181</v>
      </c>
      <c r="B182" s="34" t="s">
        <v>1565</v>
      </c>
      <c r="C182" s="36">
        <f ca="1">TODAY()-3320</f>
        <v>41316</v>
      </c>
      <c r="D182" s="36">
        <f ca="1">TODAY()-3317</f>
        <v>41319</v>
      </c>
      <c r="E182" s="37">
        <v>156600</v>
      </c>
      <c r="F182" s="31" t="b">
        <v>1</v>
      </c>
      <c r="G182" s="34" t="s">
        <v>1520</v>
      </c>
    </row>
    <row r="183" spans="1:7" x14ac:dyDescent="0.2">
      <c r="A183" s="32">
        <v>182</v>
      </c>
      <c r="B183" s="34" t="s">
        <v>1564</v>
      </c>
      <c r="C183" s="36">
        <f ca="1">TODAY()-3311</f>
        <v>41325</v>
      </c>
      <c r="D183" s="36">
        <f ca="1">TODAY()-3300</f>
        <v>41336</v>
      </c>
      <c r="E183" s="37">
        <v>668600</v>
      </c>
      <c r="F183" s="31" t="b">
        <v>0</v>
      </c>
      <c r="G183" s="34" t="s">
        <v>1520</v>
      </c>
    </row>
    <row r="184" spans="1:7" x14ac:dyDescent="0.2">
      <c r="A184" s="32">
        <v>183</v>
      </c>
      <c r="B184" s="34" t="s">
        <v>1555</v>
      </c>
      <c r="C184" s="36">
        <f ca="1">TODAY()-3293</f>
        <v>41343</v>
      </c>
      <c r="D184" s="36">
        <f ca="1">TODAY()-3290</f>
        <v>41346</v>
      </c>
      <c r="E184" s="37">
        <v>202300</v>
      </c>
      <c r="F184" s="31" t="b">
        <v>0</v>
      </c>
      <c r="G184" s="34" t="s">
        <v>1520</v>
      </c>
    </row>
    <row r="185" spans="1:7" x14ac:dyDescent="0.2">
      <c r="A185" s="32">
        <v>184</v>
      </c>
      <c r="B185" s="34" t="s">
        <v>1563</v>
      </c>
      <c r="C185" s="36">
        <f ca="1">TODAY()-3290</f>
        <v>41346</v>
      </c>
      <c r="D185" s="36">
        <f ca="1">TODAY()-3289</f>
        <v>41347</v>
      </c>
      <c r="E185" s="37">
        <v>125200</v>
      </c>
      <c r="F185" s="31" t="b">
        <v>0</v>
      </c>
      <c r="G185" s="34" t="s">
        <v>1520</v>
      </c>
    </row>
    <row r="186" spans="1:7" x14ac:dyDescent="0.2">
      <c r="A186" s="32">
        <v>185</v>
      </c>
      <c r="B186" s="34" t="s">
        <v>1562</v>
      </c>
      <c r="C186" s="36">
        <f ca="1">TODAY()-3284</f>
        <v>41352</v>
      </c>
      <c r="D186" s="36">
        <f ca="1">TODAY()-3283</f>
        <v>41353</v>
      </c>
      <c r="E186" s="37">
        <v>52800</v>
      </c>
      <c r="F186" s="31" t="b">
        <v>1</v>
      </c>
      <c r="G186" s="34" t="s">
        <v>1520</v>
      </c>
    </row>
    <row r="187" spans="1:7" x14ac:dyDescent="0.2">
      <c r="A187" s="32">
        <v>186</v>
      </c>
      <c r="B187" s="34" t="s">
        <v>1561</v>
      </c>
      <c r="C187" s="36">
        <f ca="1">TODAY()-3269</f>
        <v>41367</v>
      </c>
      <c r="D187" s="36">
        <f ca="1">TODAY()-3266</f>
        <v>41370</v>
      </c>
      <c r="E187" s="37">
        <v>57600</v>
      </c>
      <c r="F187" s="31" t="b">
        <v>1</v>
      </c>
      <c r="G187" s="34" t="s">
        <v>1520</v>
      </c>
    </row>
    <row r="188" spans="1:7" x14ac:dyDescent="0.2">
      <c r="A188" s="32">
        <v>187</v>
      </c>
      <c r="B188" s="34" t="s">
        <v>1527</v>
      </c>
      <c r="C188" s="36">
        <f ca="1">TODAY()-3250</f>
        <v>41386</v>
      </c>
      <c r="D188" s="36">
        <f ca="1">TODAY()-3249</f>
        <v>41387</v>
      </c>
      <c r="E188" s="37">
        <v>124600</v>
      </c>
      <c r="F188" s="31" t="b">
        <v>0</v>
      </c>
      <c r="G188" s="34" t="s">
        <v>1520</v>
      </c>
    </row>
    <row r="189" spans="1:7" x14ac:dyDescent="0.2">
      <c r="A189" s="32">
        <v>188</v>
      </c>
      <c r="B189" s="34" t="s">
        <v>1560</v>
      </c>
      <c r="C189" s="36">
        <f ca="1">TODAY()-3240</f>
        <v>41396</v>
      </c>
      <c r="D189" s="36">
        <f ca="1">TODAY()-3238</f>
        <v>41398</v>
      </c>
      <c r="E189" s="37">
        <v>90800</v>
      </c>
      <c r="F189" s="31" t="b">
        <v>0</v>
      </c>
      <c r="G189" s="34" t="s">
        <v>1443</v>
      </c>
    </row>
    <row r="190" spans="1:7" x14ac:dyDescent="0.2">
      <c r="A190" s="32">
        <v>189</v>
      </c>
      <c r="B190" s="34" t="s">
        <v>1559</v>
      </c>
      <c r="C190" s="36">
        <f ca="1">TODAY()-3244</f>
        <v>41392</v>
      </c>
      <c r="D190" s="36">
        <f ca="1">TODAY()-3233</f>
        <v>41403</v>
      </c>
      <c r="E190" s="37">
        <v>673200</v>
      </c>
      <c r="F190" s="31" t="b">
        <v>1</v>
      </c>
      <c r="G190" s="34" t="s">
        <v>1443</v>
      </c>
    </row>
    <row r="191" spans="1:7" x14ac:dyDescent="0.2">
      <c r="A191" s="32">
        <v>190</v>
      </c>
      <c r="B191" s="34" t="s">
        <v>1558</v>
      </c>
      <c r="C191" s="36">
        <f ca="1">TODAY()-3226</f>
        <v>41410</v>
      </c>
      <c r="D191" s="36">
        <f ca="1">TODAY()-3223</f>
        <v>41413</v>
      </c>
      <c r="E191" s="37">
        <v>184300</v>
      </c>
      <c r="F191" s="31" t="b">
        <v>1</v>
      </c>
      <c r="G191" s="34" t="s">
        <v>1520</v>
      </c>
    </row>
    <row r="192" spans="1:7" x14ac:dyDescent="0.2">
      <c r="A192" s="32">
        <v>191</v>
      </c>
      <c r="B192" s="34" t="s">
        <v>1557</v>
      </c>
      <c r="C192" s="36">
        <f ca="1">TODAY()-3202</f>
        <v>41434</v>
      </c>
      <c r="D192" s="36">
        <f ca="1">TODAY()-3201</f>
        <v>41435</v>
      </c>
      <c r="E192" s="37">
        <v>203200</v>
      </c>
      <c r="F192" s="31" t="b">
        <v>1</v>
      </c>
      <c r="G192" s="34" t="s">
        <v>1443</v>
      </c>
    </row>
    <row r="193" spans="1:7" x14ac:dyDescent="0.2">
      <c r="A193" s="32">
        <v>192</v>
      </c>
      <c r="B193" s="34" t="s">
        <v>1556</v>
      </c>
      <c r="C193" s="36">
        <f ca="1">TODAY()-3199</f>
        <v>41437</v>
      </c>
      <c r="D193" s="36">
        <f ca="1">TODAY()-3191</f>
        <v>41445</v>
      </c>
      <c r="E193" s="37">
        <v>878700</v>
      </c>
      <c r="F193" s="31" t="b">
        <v>1</v>
      </c>
      <c r="G193" s="34" t="s">
        <v>1443</v>
      </c>
    </row>
    <row r="194" spans="1:7" x14ac:dyDescent="0.2">
      <c r="A194" s="32">
        <v>193</v>
      </c>
      <c r="B194" s="34" t="s">
        <v>1530</v>
      </c>
      <c r="C194" s="36">
        <f ca="1">TODAY()-3185</f>
        <v>41451</v>
      </c>
      <c r="D194" s="36">
        <f ca="1">TODAY()-3182</f>
        <v>41454</v>
      </c>
      <c r="E194" s="37">
        <v>56600</v>
      </c>
      <c r="F194" s="31" t="b">
        <v>1</v>
      </c>
      <c r="G194" s="34" t="s">
        <v>1443</v>
      </c>
    </row>
    <row r="195" spans="1:7" x14ac:dyDescent="0.2">
      <c r="A195" s="32">
        <v>194</v>
      </c>
      <c r="B195" s="34" t="s">
        <v>1555</v>
      </c>
      <c r="C195" s="36">
        <f ca="1">TODAY()-3163</f>
        <v>41473</v>
      </c>
      <c r="D195" s="36">
        <f ca="1">TODAY()-3162</f>
        <v>41474</v>
      </c>
      <c r="E195" s="37">
        <v>157300</v>
      </c>
      <c r="F195" s="31" t="b">
        <v>1</v>
      </c>
      <c r="G195" s="34" t="s">
        <v>1520</v>
      </c>
    </row>
    <row r="196" spans="1:7" x14ac:dyDescent="0.2">
      <c r="A196" s="32">
        <v>195</v>
      </c>
      <c r="B196" s="34" t="s">
        <v>1554</v>
      </c>
      <c r="C196" s="36">
        <f ca="1">TODAY()-3161</f>
        <v>41475</v>
      </c>
      <c r="D196" s="36">
        <f ca="1">TODAY()-3154</f>
        <v>41482</v>
      </c>
      <c r="E196" s="37">
        <v>304500</v>
      </c>
      <c r="F196" s="31" t="b">
        <v>1</v>
      </c>
      <c r="G196" s="34" t="s">
        <v>1520</v>
      </c>
    </row>
    <row r="197" spans="1:7" x14ac:dyDescent="0.2">
      <c r="A197" s="32">
        <v>196</v>
      </c>
      <c r="B197" s="34" t="s">
        <v>1547</v>
      </c>
      <c r="C197" s="36">
        <f ca="1">TODAY()-3146</f>
        <v>41490</v>
      </c>
      <c r="D197" s="36">
        <f ca="1">TODAY()-3145</f>
        <v>41491</v>
      </c>
      <c r="E197" s="37">
        <v>69600</v>
      </c>
      <c r="F197" s="31" t="b">
        <v>0</v>
      </c>
      <c r="G197" s="34" t="s">
        <v>1520</v>
      </c>
    </row>
    <row r="198" spans="1:7" x14ac:dyDescent="0.2">
      <c r="A198" s="32">
        <v>197</v>
      </c>
      <c r="B198" s="34" t="s">
        <v>1553</v>
      </c>
      <c r="C198" s="36">
        <f ca="1">TODAY()-3150</f>
        <v>41486</v>
      </c>
      <c r="D198" s="36">
        <f ca="1">TODAY()-3138</f>
        <v>41498</v>
      </c>
      <c r="E198" s="37">
        <v>566600</v>
      </c>
      <c r="F198" s="31" t="b">
        <v>1</v>
      </c>
      <c r="G198" s="34" t="s">
        <v>1443</v>
      </c>
    </row>
    <row r="199" spans="1:7" x14ac:dyDescent="0.2">
      <c r="A199" s="32">
        <v>198</v>
      </c>
      <c r="B199" s="34" t="s">
        <v>1517</v>
      </c>
      <c r="C199" s="36">
        <f ca="1">TODAY()-3131</f>
        <v>41505</v>
      </c>
      <c r="D199" s="36">
        <f ca="1">TODAY()-3130</f>
        <v>41506</v>
      </c>
      <c r="E199" s="37">
        <v>78700</v>
      </c>
      <c r="F199" s="31" t="b">
        <v>1</v>
      </c>
      <c r="G199" s="34" t="s">
        <v>1443</v>
      </c>
    </row>
    <row r="200" spans="1:7" x14ac:dyDescent="0.2">
      <c r="A200" s="32">
        <v>199</v>
      </c>
      <c r="B200" s="34" t="s">
        <v>1531</v>
      </c>
      <c r="C200" s="36">
        <f ca="1">TODAY()-3128</f>
        <v>41508</v>
      </c>
      <c r="D200" s="36">
        <f ca="1">TODAY()-3119</f>
        <v>41517</v>
      </c>
      <c r="E200" s="37">
        <v>890000</v>
      </c>
      <c r="F200" s="31" t="b">
        <v>0</v>
      </c>
      <c r="G200" s="34" t="s">
        <v>1520</v>
      </c>
    </row>
    <row r="201" spans="1:7" x14ac:dyDescent="0.2">
      <c r="A201" s="32">
        <v>200</v>
      </c>
      <c r="B201" s="34" t="s">
        <v>1552</v>
      </c>
      <c r="C201" s="36">
        <f ca="1">TODAY()-3100</f>
        <v>41536</v>
      </c>
      <c r="D201" s="36">
        <f ca="1">TODAY()-3098</f>
        <v>41538</v>
      </c>
      <c r="E201" s="37">
        <v>218200</v>
      </c>
      <c r="F201" s="31" t="b">
        <v>0</v>
      </c>
      <c r="G201" s="34" t="s">
        <v>1520</v>
      </c>
    </row>
    <row r="202" spans="1:7" x14ac:dyDescent="0.2">
      <c r="A202" s="32">
        <v>201</v>
      </c>
      <c r="B202" s="34" t="s">
        <v>1551</v>
      </c>
      <c r="C202" s="36">
        <f ca="1">TODAY()-3092</f>
        <v>41544</v>
      </c>
      <c r="D202" s="36">
        <f ca="1">TODAY()-3080</f>
        <v>41556</v>
      </c>
      <c r="E202" s="37">
        <v>798100</v>
      </c>
      <c r="F202" s="31" t="b">
        <v>0</v>
      </c>
      <c r="G202" s="34" t="s">
        <v>1520</v>
      </c>
    </row>
    <row r="203" spans="1:7" x14ac:dyDescent="0.2">
      <c r="A203" s="32">
        <v>202</v>
      </c>
      <c r="B203" s="34" t="s">
        <v>1550</v>
      </c>
      <c r="C203" s="36">
        <f ca="1">TODAY()-3073</f>
        <v>41563</v>
      </c>
      <c r="D203" s="36">
        <f ca="1">TODAY()-3072</f>
        <v>41564</v>
      </c>
      <c r="E203" s="37">
        <v>212800</v>
      </c>
      <c r="F203" s="31" t="b">
        <v>0</v>
      </c>
      <c r="G203" s="34" t="s">
        <v>1435</v>
      </c>
    </row>
    <row r="204" spans="1:7" x14ac:dyDescent="0.2">
      <c r="A204" s="32">
        <v>203</v>
      </c>
      <c r="B204" s="34" t="s">
        <v>1549</v>
      </c>
      <c r="C204" s="36">
        <f ca="1">TODAY()-3060</f>
        <v>41576</v>
      </c>
      <c r="D204" s="36">
        <f ca="1">TODAY()-3059</f>
        <v>41577</v>
      </c>
      <c r="E204" s="37">
        <v>205600</v>
      </c>
      <c r="F204" s="31" t="b">
        <v>1</v>
      </c>
      <c r="G204" s="34" t="s">
        <v>1520</v>
      </c>
    </row>
    <row r="205" spans="1:7" x14ac:dyDescent="0.2">
      <c r="A205" s="32">
        <v>204</v>
      </c>
      <c r="B205" s="34" t="s">
        <v>1543</v>
      </c>
      <c r="C205" s="36">
        <f ca="1">TODAY()-3048</f>
        <v>41588</v>
      </c>
      <c r="D205" s="36">
        <f ca="1">TODAY()-3047</f>
        <v>41589</v>
      </c>
      <c r="E205" s="37">
        <v>102800</v>
      </c>
      <c r="F205" s="31" t="b">
        <v>0</v>
      </c>
      <c r="G205" s="34" t="s">
        <v>1435</v>
      </c>
    </row>
    <row r="206" spans="1:7" x14ac:dyDescent="0.2">
      <c r="A206" s="32">
        <v>205</v>
      </c>
      <c r="B206" s="34" t="s">
        <v>1536</v>
      </c>
      <c r="C206" s="36">
        <f ca="1">TODAY()-3040</f>
        <v>41596</v>
      </c>
      <c r="D206" s="36">
        <f ca="1">TODAY()-3037</f>
        <v>41599</v>
      </c>
      <c r="E206" s="37">
        <v>103600</v>
      </c>
      <c r="F206" s="31" t="b">
        <v>1</v>
      </c>
      <c r="G206" s="34" t="s">
        <v>1520</v>
      </c>
    </row>
    <row r="207" spans="1:7" x14ac:dyDescent="0.2">
      <c r="A207" s="32">
        <v>206</v>
      </c>
      <c r="B207" s="34" t="s">
        <v>1548</v>
      </c>
      <c r="C207" s="36">
        <f ca="1">TODAY()-3033</f>
        <v>41603</v>
      </c>
      <c r="D207" s="36">
        <f ca="1">TODAY()-3032</f>
        <v>41604</v>
      </c>
      <c r="E207" s="37">
        <v>82100</v>
      </c>
      <c r="F207" s="31" t="b">
        <v>0</v>
      </c>
      <c r="G207" s="34" t="s">
        <v>1520</v>
      </c>
    </row>
    <row r="208" spans="1:7" x14ac:dyDescent="0.2">
      <c r="A208" s="32">
        <v>207</v>
      </c>
      <c r="B208" s="34" t="s">
        <v>1547</v>
      </c>
      <c r="C208" s="36">
        <f ca="1">TODAY()-3035</f>
        <v>41601</v>
      </c>
      <c r="D208" s="36">
        <f ca="1">TODAY()-3023</f>
        <v>41613</v>
      </c>
      <c r="E208" s="37">
        <v>821400</v>
      </c>
      <c r="F208" s="31" t="b">
        <v>1</v>
      </c>
      <c r="G208" s="34" t="s">
        <v>1520</v>
      </c>
    </row>
    <row r="209" spans="1:7" x14ac:dyDescent="0.2">
      <c r="A209" s="32">
        <v>208</v>
      </c>
      <c r="B209" s="34" t="s">
        <v>1546</v>
      </c>
      <c r="C209" s="36">
        <f ca="1">TODAY()-3023</f>
        <v>41613</v>
      </c>
      <c r="D209" s="36">
        <f ca="1">TODAY()-3013</f>
        <v>41623</v>
      </c>
      <c r="E209" s="37">
        <v>685500</v>
      </c>
      <c r="F209" s="31" t="b">
        <v>0</v>
      </c>
      <c r="G209" s="34" t="s">
        <v>1443</v>
      </c>
    </row>
    <row r="210" spans="1:7" x14ac:dyDescent="0.2">
      <c r="A210" s="32">
        <v>209</v>
      </c>
      <c r="B210" s="34" t="s">
        <v>1545</v>
      </c>
      <c r="C210" s="36">
        <f ca="1">TODAY()-3006</f>
        <v>41630</v>
      </c>
      <c r="D210" s="36">
        <f ca="1">TODAY()-3004</f>
        <v>41632</v>
      </c>
      <c r="E210" s="37">
        <v>124600</v>
      </c>
      <c r="F210" s="31" t="b">
        <v>1</v>
      </c>
      <c r="G210" s="34" t="s">
        <v>1520</v>
      </c>
    </row>
    <row r="211" spans="1:7" x14ac:dyDescent="0.2">
      <c r="A211" s="32">
        <v>210</v>
      </c>
      <c r="B211" s="34" t="s">
        <v>1544</v>
      </c>
      <c r="C211" s="36">
        <f ca="1">TODAY()-2979</f>
        <v>41657</v>
      </c>
      <c r="D211" s="36">
        <f ca="1">TODAY()-2977</f>
        <v>41659</v>
      </c>
      <c r="E211" s="37">
        <v>186800</v>
      </c>
      <c r="F211" s="31" t="b">
        <v>1</v>
      </c>
      <c r="G211" s="34" t="s">
        <v>1443</v>
      </c>
    </row>
    <row r="212" spans="1:7" x14ac:dyDescent="0.2">
      <c r="A212" s="32">
        <v>211</v>
      </c>
      <c r="B212" s="34" t="s">
        <v>1531</v>
      </c>
      <c r="C212" s="36">
        <f ca="1">TODAY()-2968</f>
        <v>41668</v>
      </c>
      <c r="D212" s="36">
        <f ca="1">TODAY()-2966</f>
        <v>41670</v>
      </c>
      <c r="E212" s="37">
        <v>168700</v>
      </c>
      <c r="F212" s="31" t="b">
        <v>1</v>
      </c>
      <c r="G212" s="34" t="s">
        <v>1520</v>
      </c>
    </row>
    <row r="213" spans="1:7" x14ac:dyDescent="0.2">
      <c r="A213" s="32">
        <v>212</v>
      </c>
      <c r="B213" s="34" t="s">
        <v>1539</v>
      </c>
      <c r="C213" s="36">
        <f ca="1">TODAY()-2958</f>
        <v>41678</v>
      </c>
      <c r="D213" s="36">
        <f ca="1">TODAY()-2957</f>
        <v>41679</v>
      </c>
      <c r="E213" s="37">
        <v>91900</v>
      </c>
      <c r="F213" s="31" t="b">
        <v>1</v>
      </c>
      <c r="G213" s="34" t="s">
        <v>1520</v>
      </c>
    </row>
    <row r="214" spans="1:7" x14ac:dyDescent="0.2">
      <c r="A214" s="32">
        <v>213</v>
      </c>
      <c r="B214" s="34" t="s">
        <v>1523</v>
      </c>
      <c r="C214" s="36">
        <f ca="1">TODAY()-2951</f>
        <v>41685</v>
      </c>
      <c r="D214" s="36">
        <f ca="1">TODAY()-2940</f>
        <v>41696</v>
      </c>
      <c r="E214" s="37">
        <v>788200</v>
      </c>
      <c r="F214" s="31" t="b">
        <v>1</v>
      </c>
      <c r="G214" s="34" t="s">
        <v>1520</v>
      </c>
    </row>
    <row r="215" spans="1:7" x14ac:dyDescent="0.2">
      <c r="A215" s="32">
        <v>214</v>
      </c>
      <c r="B215" s="34" t="s">
        <v>1535</v>
      </c>
      <c r="C215" s="36">
        <f ca="1">TODAY()-2926</f>
        <v>41710</v>
      </c>
      <c r="D215" s="36">
        <f ca="1">TODAY()-2926</f>
        <v>41710</v>
      </c>
      <c r="E215" s="37">
        <v>85100</v>
      </c>
      <c r="F215" s="31" t="b">
        <v>0</v>
      </c>
      <c r="G215" s="34" t="s">
        <v>1443</v>
      </c>
    </row>
    <row r="216" spans="1:7" x14ac:dyDescent="0.2">
      <c r="A216" s="32">
        <v>215</v>
      </c>
      <c r="B216" s="34" t="s">
        <v>1543</v>
      </c>
      <c r="C216" s="36">
        <f ca="1">TODAY()-2904</f>
        <v>41732</v>
      </c>
      <c r="D216" s="36">
        <f ca="1">TODAY()-2902</f>
        <v>41734</v>
      </c>
      <c r="E216" s="37">
        <v>176700</v>
      </c>
      <c r="F216" s="31" t="b">
        <v>1</v>
      </c>
      <c r="G216" s="34" t="s">
        <v>1435</v>
      </c>
    </row>
    <row r="217" spans="1:7" x14ac:dyDescent="0.2">
      <c r="A217" s="32">
        <v>216</v>
      </c>
      <c r="B217" s="34" t="s">
        <v>1529</v>
      </c>
      <c r="C217" s="36">
        <f ca="1">TODAY()-2896</f>
        <v>41740</v>
      </c>
      <c r="D217" s="36">
        <f ca="1">TODAY()-2894</f>
        <v>41742</v>
      </c>
      <c r="E217" s="37">
        <v>91800</v>
      </c>
      <c r="F217" s="31" t="b">
        <v>0</v>
      </c>
      <c r="G217" s="34" t="s">
        <v>1520</v>
      </c>
    </row>
    <row r="218" spans="1:7" x14ac:dyDescent="0.2">
      <c r="A218" s="32">
        <v>217</v>
      </c>
      <c r="B218" s="34" t="s">
        <v>1542</v>
      </c>
      <c r="C218" s="36">
        <f ca="1">TODAY()-2889</f>
        <v>41747</v>
      </c>
      <c r="D218" s="36">
        <f ca="1">TODAY()-2879</f>
        <v>41757</v>
      </c>
      <c r="E218" s="37">
        <v>659600</v>
      </c>
      <c r="F218" s="31" t="b">
        <v>0</v>
      </c>
      <c r="G218" s="34" t="s">
        <v>1520</v>
      </c>
    </row>
    <row r="219" spans="1:7" x14ac:dyDescent="0.2">
      <c r="A219" s="32">
        <v>218</v>
      </c>
      <c r="B219" s="34" t="s">
        <v>1541</v>
      </c>
      <c r="C219" s="36">
        <f ca="1">TODAY()-2861</f>
        <v>41775</v>
      </c>
      <c r="D219" s="36">
        <f ca="1">TODAY()-2861</f>
        <v>41775</v>
      </c>
      <c r="E219" s="37">
        <v>70200</v>
      </c>
      <c r="F219" s="31" t="b">
        <v>1</v>
      </c>
      <c r="G219" s="34" t="s">
        <v>1443</v>
      </c>
    </row>
    <row r="220" spans="1:7" x14ac:dyDescent="0.2">
      <c r="A220" s="32">
        <v>219</v>
      </c>
      <c r="B220" s="34" t="s">
        <v>1540</v>
      </c>
      <c r="C220" s="36">
        <f ca="1">TODAY()-2849</f>
        <v>41787</v>
      </c>
      <c r="D220" s="36">
        <f ca="1">TODAY()-2848</f>
        <v>41788</v>
      </c>
      <c r="E220" s="37">
        <v>160700</v>
      </c>
      <c r="F220" s="31" t="b">
        <v>0</v>
      </c>
      <c r="G220" s="34" t="s">
        <v>1435</v>
      </c>
    </row>
    <row r="221" spans="1:7" x14ac:dyDescent="0.2">
      <c r="A221" s="32">
        <v>220</v>
      </c>
      <c r="B221" s="34" t="s">
        <v>1497</v>
      </c>
      <c r="C221" s="36">
        <f ca="1">TODAY()-2829</f>
        <v>41807</v>
      </c>
      <c r="D221" s="36">
        <f ca="1">TODAY()-2827</f>
        <v>41809</v>
      </c>
      <c r="E221" s="37">
        <v>155700</v>
      </c>
      <c r="F221" s="31" t="b">
        <v>1</v>
      </c>
      <c r="G221" s="34" t="s">
        <v>1443</v>
      </c>
    </row>
    <row r="222" spans="1:7" x14ac:dyDescent="0.2">
      <c r="A222" s="32">
        <v>221</v>
      </c>
      <c r="B222" s="34" t="s">
        <v>1539</v>
      </c>
      <c r="C222" s="36">
        <f ca="1">TODAY()-2813</f>
        <v>41823</v>
      </c>
      <c r="D222" s="36">
        <f ca="1">TODAY()-2812</f>
        <v>41824</v>
      </c>
      <c r="E222" s="37">
        <v>172900</v>
      </c>
      <c r="F222" s="31" t="b">
        <v>1</v>
      </c>
      <c r="G222" s="34" t="s">
        <v>1520</v>
      </c>
    </row>
    <row r="223" spans="1:7" x14ac:dyDescent="0.2">
      <c r="A223" s="32">
        <v>222</v>
      </c>
      <c r="B223" s="34" t="s">
        <v>1485</v>
      </c>
      <c r="C223" s="36">
        <f ca="1">TODAY()-2816</f>
        <v>41820</v>
      </c>
      <c r="D223" s="36">
        <f ca="1">TODAY()-2806</f>
        <v>41830</v>
      </c>
      <c r="E223" s="37">
        <v>552300</v>
      </c>
      <c r="F223" s="31" t="b">
        <v>1</v>
      </c>
      <c r="G223" s="34" t="s">
        <v>1443</v>
      </c>
    </row>
    <row r="224" spans="1:7" x14ac:dyDescent="0.2">
      <c r="A224" s="32">
        <v>223</v>
      </c>
      <c r="B224" s="34" t="s">
        <v>1490</v>
      </c>
      <c r="C224" s="36">
        <f ca="1">TODAY()-2810</f>
        <v>41826</v>
      </c>
      <c r="D224" s="36">
        <f ca="1">TODAY()-2798</f>
        <v>41838</v>
      </c>
      <c r="E224" s="37">
        <v>782500</v>
      </c>
      <c r="F224" s="31" t="b">
        <v>0</v>
      </c>
      <c r="G224" s="34" t="s">
        <v>1435</v>
      </c>
    </row>
    <row r="225" spans="1:7" x14ac:dyDescent="0.2">
      <c r="A225" s="32">
        <v>224</v>
      </c>
      <c r="B225" s="34" t="s">
        <v>1518</v>
      </c>
      <c r="C225" s="36">
        <f ca="1">TODAY()-2796</f>
        <v>41840</v>
      </c>
      <c r="D225" s="36">
        <f ca="1">TODAY()-2787</f>
        <v>41849</v>
      </c>
      <c r="E225" s="37">
        <v>679000</v>
      </c>
      <c r="F225" s="31" t="b">
        <v>1</v>
      </c>
      <c r="G225" s="34" t="s">
        <v>1435</v>
      </c>
    </row>
    <row r="226" spans="1:7" x14ac:dyDescent="0.2">
      <c r="A226" s="32">
        <v>225</v>
      </c>
      <c r="B226" s="34" t="s">
        <v>1508</v>
      </c>
      <c r="C226" s="36">
        <f ca="1">TODAY()-2778</f>
        <v>41858</v>
      </c>
      <c r="D226" s="36">
        <f ca="1">TODAY()-2778</f>
        <v>41858</v>
      </c>
      <c r="E226" s="37">
        <v>51600</v>
      </c>
      <c r="F226" s="31" t="b">
        <v>0</v>
      </c>
      <c r="G226" s="34" t="s">
        <v>1435</v>
      </c>
    </row>
    <row r="227" spans="1:7" x14ac:dyDescent="0.2">
      <c r="A227" s="32">
        <v>226</v>
      </c>
      <c r="B227" s="34" t="s">
        <v>1538</v>
      </c>
      <c r="C227" s="36">
        <f ca="1">TODAY()-2776</f>
        <v>41860</v>
      </c>
      <c r="D227" s="36">
        <f ca="1">TODAY()-2766</f>
        <v>41870</v>
      </c>
      <c r="E227" s="37">
        <v>803200</v>
      </c>
      <c r="F227" s="31" t="b">
        <v>1</v>
      </c>
      <c r="G227" s="34" t="s">
        <v>1520</v>
      </c>
    </row>
    <row r="228" spans="1:7" x14ac:dyDescent="0.2">
      <c r="A228" s="32">
        <v>227</v>
      </c>
      <c r="B228" s="34" t="s">
        <v>1526</v>
      </c>
      <c r="C228" s="36">
        <f ca="1">TODAY()-2759</f>
        <v>41877</v>
      </c>
      <c r="D228" s="36">
        <f ca="1">TODAY()-2759</f>
        <v>41877</v>
      </c>
      <c r="E228" s="37">
        <v>92600</v>
      </c>
      <c r="F228" s="31" t="b">
        <v>0</v>
      </c>
      <c r="G228" s="34" t="s">
        <v>1443</v>
      </c>
    </row>
    <row r="229" spans="1:7" x14ac:dyDescent="0.2">
      <c r="A229" s="32">
        <v>228</v>
      </c>
      <c r="B229" s="34" t="s">
        <v>1537</v>
      </c>
      <c r="C229" s="36">
        <f ca="1">TODAY()-2740</f>
        <v>41896</v>
      </c>
      <c r="D229" s="36">
        <f ca="1">TODAY()-2740</f>
        <v>41896</v>
      </c>
      <c r="E229" s="37">
        <v>158300</v>
      </c>
      <c r="F229" s="31" t="b">
        <v>1</v>
      </c>
      <c r="G229" s="34" t="s">
        <v>1520</v>
      </c>
    </row>
    <row r="230" spans="1:7" x14ac:dyDescent="0.2">
      <c r="A230" s="32">
        <v>229</v>
      </c>
      <c r="B230" s="34" t="s">
        <v>1532</v>
      </c>
      <c r="C230" s="36">
        <f ca="1">TODAY()-2732</f>
        <v>41904</v>
      </c>
      <c r="D230" s="36">
        <f ca="1">TODAY()-2722</f>
        <v>41914</v>
      </c>
      <c r="E230" s="37">
        <v>864600</v>
      </c>
      <c r="F230" s="31" t="b">
        <v>0</v>
      </c>
      <c r="G230" s="34" t="s">
        <v>1435</v>
      </c>
    </row>
    <row r="231" spans="1:7" x14ac:dyDescent="0.2">
      <c r="A231" s="32">
        <v>230</v>
      </c>
      <c r="B231" s="34" t="s">
        <v>1536</v>
      </c>
      <c r="C231" s="36">
        <f ca="1">TODAY()-2707</f>
        <v>41929</v>
      </c>
      <c r="D231" s="36">
        <f ca="1">TODAY()-2704</f>
        <v>41932</v>
      </c>
      <c r="E231" s="37">
        <v>165000</v>
      </c>
      <c r="F231" s="31" t="b">
        <v>0</v>
      </c>
      <c r="G231" s="34" t="s">
        <v>1520</v>
      </c>
    </row>
    <row r="232" spans="1:7" x14ac:dyDescent="0.2">
      <c r="A232" s="32">
        <v>231</v>
      </c>
      <c r="B232" s="34" t="s">
        <v>1498</v>
      </c>
      <c r="C232" s="36">
        <f ca="1">TODAY()-2699</f>
        <v>41937</v>
      </c>
      <c r="D232" s="36">
        <f ca="1">TODAY()-2697</f>
        <v>41939</v>
      </c>
      <c r="E232" s="37">
        <v>105800</v>
      </c>
      <c r="F232" s="31" t="b">
        <v>1</v>
      </c>
      <c r="G232" s="34" t="s">
        <v>1435</v>
      </c>
    </row>
    <row r="233" spans="1:7" x14ac:dyDescent="0.2">
      <c r="A233" s="32">
        <v>232</v>
      </c>
      <c r="B233" s="34" t="s">
        <v>1510</v>
      </c>
      <c r="C233" s="36">
        <f ca="1">TODAY()-2684</f>
        <v>41952</v>
      </c>
      <c r="D233" s="36">
        <f ca="1">TODAY()-2682</f>
        <v>41954</v>
      </c>
      <c r="E233" s="37">
        <v>175800</v>
      </c>
      <c r="F233" s="31" t="b">
        <v>0</v>
      </c>
      <c r="G233" s="34" t="s">
        <v>1435</v>
      </c>
    </row>
    <row r="234" spans="1:7" x14ac:dyDescent="0.2">
      <c r="A234" s="32">
        <v>233</v>
      </c>
      <c r="B234" s="34" t="s">
        <v>1535</v>
      </c>
      <c r="C234" s="36">
        <f ca="1">TODAY()-2663</f>
        <v>41973</v>
      </c>
      <c r="D234" s="36">
        <f ca="1">TODAY()-2663</f>
        <v>41973</v>
      </c>
      <c r="E234" s="37">
        <v>172400</v>
      </c>
      <c r="F234" s="31" t="b">
        <v>0</v>
      </c>
      <c r="G234" s="34" t="s">
        <v>1443</v>
      </c>
    </row>
    <row r="235" spans="1:7" x14ac:dyDescent="0.2">
      <c r="A235" s="32">
        <v>234</v>
      </c>
      <c r="B235" s="34" t="s">
        <v>1534</v>
      </c>
      <c r="C235" s="36">
        <f ca="1">TODAY()-2663</f>
        <v>41973</v>
      </c>
      <c r="D235" s="36">
        <f ca="1">TODAY()-2660</f>
        <v>41976</v>
      </c>
      <c r="E235" s="37">
        <v>145100</v>
      </c>
      <c r="F235" s="31" t="b">
        <v>0</v>
      </c>
      <c r="G235" s="34" t="s">
        <v>1435</v>
      </c>
    </row>
    <row r="236" spans="1:7" x14ac:dyDescent="0.2">
      <c r="A236" s="32">
        <v>235</v>
      </c>
      <c r="B236" s="34" t="s">
        <v>1533</v>
      </c>
      <c r="C236" s="36">
        <f ca="1">TODAY()-2642</f>
        <v>41994</v>
      </c>
      <c r="D236" s="36">
        <f ca="1">TODAY()-2641</f>
        <v>41995</v>
      </c>
      <c r="E236" s="37">
        <v>56800</v>
      </c>
      <c r="F236" s="31" t="b">
        <v>1</v>
      </c>
      <c r="G236" s="34" t="s">
        <v>1520</v>
      </c>
    </row>
    <row r="237" spans="1:7" x14ac:dyDescent="0.2">
      <c r="A237" s="32">
        <v>236</v>
      </c>
      <c r="B237" s="34" t="s">
        <v>1528</v>
      </c>
      <c r="C237" s="36">
        <f ca="1">TODAY()-2634</f>
        <v>42002</v>
      </c>
      <c r="D237" s="36">
        <f ca="1">TODAY()-2625</f>
        <v>42011</v>
      </c>
      <c r="E237" s="37">
        <v>737900</v>
      </c>
      <c r="F237" s="31" t="b">
        <v>0</v>
      </c>
      <c r="G237" s="34" t="s">
        <v>1520</v>
      </c>
    </row>
    <row r="238" spans="1:7" x14ac:dyDescent="0.2">
      <c r="A238" s="32">
        <v>237</v>
      </c>
      <c r="B238" s="34" t="s">
        <v>1532</v>
      </c>
      <c r="C238" s="36">
        <f ca="1">TODAY()-2625</f>
        <v>42011</v>
      </c>
      <c r="D238" s="36">
        <f ca="1">TODAY()-2617</f>
        <v>42019</v>
      </c>
      <c r="E238" s="37">
        <v>730500</v>
      </c>
      <c r="F238" s="31" t="b">
        <v>0</v>
      </c>
      <c r="G238" s="34" t="s">
        <v>1435</v>
      </c>
    </row>
    <row r="239" spans="1:7" x14ac:dyDescent="0.2">
      <c r="A239" s="32">
        <v>238</v>
      </c>
      <c r="B239" s="34" t="s">
        <v>1497</v>
      </c>
      <c r="C239" s="36">
        <f ca="1">TODAY()-2606</f>
        <v>42030</v>
      </c>
      <c r="D239" s="36">
        <f ca="1">TODAY()-2605</f>
        <v>42031</v>
      </c>
      <c r="E239" s="37">
        <v>213400</v>
      </c>
      <c r="F239" s="31" t="b">
        <v>1</v>
      </c>
      <c r="G239" s="34" t="s">
        <v>1443</v>
      </c>
    </row>
    <row r="240" spans="1:7" x14ac:dyDescent="0.2">
      <c r="A240" s="32">
        <v>239</v>
      </c>
      <c r="B240" s="34" t="s">
        <v>1518</v>
      </c>
      <c r="C240" s="36">
        <f ca="1">TODAY()-2570</f>
        <v>42066</v>
      </c>
      <c r="D240" s="36">
        <f ca="1">TODAY()-2570</f>
        <v>42066</v>
      </c>
      <c r="E240" s="37">
        <v>79800</v>
      </c>
      <c r="F240" s="31" t="b">
        <v>0</v>
      </c>
      <c r="G240" s="34" t="s">
        <v>1435</v>
      </c>
    </row>
    <row r="241" spans="1:7" x14ac:dyDescent="0.2">
      <c r="A241" s="32">
        <v>240</v>
      </c>
      <c r="B241" s="34" t="s">
        <v>1509</v>
      </c>
      <c r="C241" s="36">
        <f ca="1">TODAY()-2562</f>
        <v>42074</v>
      </c>
      <c r="D241" s="36">
        <f ca="1">TODAY()-2552</f>
        <v>42084</v>
      </c>
      <c r="E241" s="37">
        <v>666000</v>
      </c>
      <c r="F241" s="31" t="b">
        <v>0</v>
      </c>
      <c r="G241" s="34" t="s">
        <v>1443</v>
      </c>
    </row>
    <row r="242" spans="1:7" x14ac:dyDescent="0.2">
      <c r="A242" s="32">
        <v>241</v>
      </c>
      <c r="B242" s="34" t="s">
        <v>1531</v>
      </c>
      <c r="C242" s="36">
        <f ca="1">TODAY()-2546</f>
        <v>42090</v>
      </c>
      <c r="D242" s="36">
        <f ca="1">TODAY()-2538</f>
        <v>42098</v>
      </c>
      <c r="E242" s="37">
        <v>691900</v>
      </c>
      <c r="F242" s="31" t="b">
        <v>1</v>
      </c>
      <c r="G242" s="34" t="s">
        <v>1520</v>
      </c>
    </row>
    <row r="243" spans="1:7" x14ac:dyDescent="0.2">
      <c r="A243" s="32">
        <v>242</v>
      </c>
      <c r="B243" s="34" t="s">
        <v>1523</v>
      </c>
      <c r="C243" s="36">
        <f ca="1">TODAY()-2545</f>
        <v>42091</v>
      </c>
      <c r="D243" s="36">
        <f ca="1">TODAY()-2534</f>
        <v>42102</v>
      </c>
      <c r="E243" s="37">
        <v>737500</v>
      </c>
      <c r="F243" s="31" t="b">
        <v>1</v>
      </c>
      <c r="G243" s="34" t="s">
        <v>1520</v>
      </c>
    </row>
    <row r="244" spans="1:7" x14ac:dyDescent="0.2">
      <c r="A244" s="32">
        <v>243</v>
      </c>
      <c r="B244" s="34" t="s">
        <v>1484</v>
      </c>
      <c r="C244" s="36">
        <f ca="1">TODAY()-2528</f>
        <v>42108</v>
      </c>
      <c r="D244" s="36">
        <f ca="1">TODAY()-2516</f>
        <v>42120</v>
      </c>
      <c r="E244" s="37">
        <v>848900</v>
      </c>
      <c r="F244" s="31" t="b">
        <v>0</v>
      </c>
      <c r="G244" s="34" t="s">
        <v>1443</v>
      </c>
    </row>
    <row r="245" spans="1:7" x14ac:dyDescent="0.2">
      <c r="A245" s="32">
        <v>244</v>
      </c>
      <c r="B245" s="34" t="s">
        <v>1530</v>
      </c>
      <c r="C245" s="36">
        <f ca="1">TODAY()-2492</f>
        <v>42144</v>
      </c>
      <c r="D245" s="36">
        <f ca="1">TODAY()-2491</f>
        <v>42145</v>
      </c>
      <c r="E245" s="37">
        <v>191400</v>
      </c>
      <c r="F245" s="31" t="b">
        <v>0</v>
      </c>
      <c r="G245" s="34" t="s">
        <v>1443</v>
      </c>
    </row>
    <row r="246" spans="1:7" x14ac:dyDescent="0.2">
      <c r="A246" s="32">
        <v>245</v>
      </c>
      <c r="B246" s="34" t="s">
        <v>1528</v>
      </c>
      <c r="C246" s="36">
        <f ca="1">TODAY()-2485</f>
        <v>42151</v>
      </c>
      <c r="D246" s="36">
        <f ca="1">TODAY()-2484</f>
        <v>42152</v>
      </c>
      <c r="E246" s="37">
        <v>81400</v>
      </c>
      <c r="F246" s="31" t="b">
        <v>1</v>
      </c>
      <c r="G246" s="34" t="s">
        <v>1520</v>
      </c>
    </row>
    <row r="247" spans="1:7" x14ac:dyDescent="0.2">
      <c r="A247" s="32">
        <v>246</v>
      </c>
      <c r="B247" s="34" t="s">
        <v>1516</v>
      </c>
      <c r="C247" s="36">
        <f ca="1">TODAY()-2481</f>
        <v>42155</v>
      </c>
      <c r="D247" s="36">
        <f ca="1">TODAY()-2469</f>
        <v>42167</v>
      </c>
      <c r="E247" s="37">
        <v>840700</v>
      </c>
      <c r="F247" s="31" t="b">
        <v>1</v>
      </c>
      <c r="G247" s="34" t="s">
        <v>1435</v>
      </c>
    </row>
    <row r="248" spans="1:7" x14ac:dyDescent="0.2">
      <c r="A248" s="32">
        <v>247</v>
      </c>
      <c r="B248" s="34" t="s">
        <v>1466</v>
      </c>
      <c r="C248" s="36">
        <f ca="1">TODAY()-2461</f>
        <v>42175</v>
      </c>
      <c r="D248" s="36">
        <f ca="1">TODAY()-2452</f>
        <v>42184</v>
      </c>
      <c r="E248" s="37">
        <v>749100</v>
      </c>
      <c r="F248" s="31" t="b">
        <v>0</v>
      </c>
      <c r="G248" s="34" t="s">
        <v>1451</v>
      </c>
    </row>
    <row r="249" spans="1:7" x14ac:dyDescent="0.2">
      <c r="A249" s="32">
        <v>248</v>
      </c>
      <c r="B249" s="34" t="s">
        <v>1470</v>
      </c>
      <c r="C249" s="36">
        <f ca="1">TODAY()-2454</f>
        <v>42182</v>
      </c>
      <c r="D249" s="36">
        <f ca="1">TODAY()-2445</f>
        <v>42191</v>
      </c>
      <c r="E249" s="37">
        <v>763500</v>
      </c>
      <c r="F249" s="31" t="b">
        <v>0</v>
      </c>
      <c r="G249" s="34" t="s">
        <v>1440</v>
      </c>
    </row>
    <row r="250" spans="1:7" x14ac:dyDescent="0.2">
      <c r="A250" s="32">
        <v>249</v>
      </c>
      <c r="B250" s="34" t="s">
        <v>1481</v>
      </c>
      <c r="C250" s="36">
        <f ca="1">TODAY()-2442</f>
        <v>42194</v>
      </c>
      <c r="D250" s="36">
        <f ca="1">TODAY()-2433</f>
        <v>42203</v>
      </c>
      <c r="E250" s="37">
        <v>710200</v>
      </c>
      <c r="F250" s="31" t="b">
        <v>0</v>
      </c>
      <c r="G250" s="34" t="s">
        <v>1451</v>
      </c>
    </row>
    <row r="251" spans="1:7" x14ac:dyDescent="0.2">
      <c r="A251" s="32">
        <v>250</v>
      </c>
      <c r="B251" s="34" t="s">
        <v>1518</v>
      </c>
      <c r="C251" s="36">
        <f ca="1">TODAY()-2429</f>
        <v>42207</v>
      </c>
      <c r="D251" s="36">
        <f ca="1">TODAY()-2426</f>
        <v>42210</v>
      </c>
      <c r="E251" s="37">
        <v>203400</v>
      </c>
      <c r="F251" s="31" t="b">
        <v>1</v>
      </c>
      <c r="G251" s="34" t="s">
        <v>1435</v>
      </c>
    </row>
    <row r="252" spans="1:7" x14ac:dyDescent="0.2">
      <c r="A252" s="32">
        <v>251</v>
      </c>
      <c r="B252" s="34" t="s">
        <v>1485</v>
      </c>
      <c r="C252" s="36">
        <f ca="1">TODAY()-2417</f>
        <v>42219</v>
      </c>
      <c r="D252" s="36">
        <f ca="1">TODAY()-2414</f>
        <v>42222</v>
      </c>
      <c r="E252" s="37">
        <v>92800</v>
      </c>
      <c r="F252" s="31" t="b">
        <v>1</v>
      </c>
      <c r="G252" s="34" t="s">
        <v>1443</v>
      </c>
    </row>
    <row r="253" spans="1:7" x14ac:dyDescent="0.2">
      <c r="A253" s="32">
        <v>252</v>
      </c>
      <c r="B253" s="34" t="s">
        <v>1529</v>
      </c>
      <c r="C253" s="36">
        <f ca="1">TODAY()-2411</f>
        <v>42225</v>
      </c>
      <c r="D253" s="36">
        <f ca="1">TODAY()-2402</f>
        <v>42234</v>
      </c>
      <c r="E253" s="37">
        <v>734000</v>
      </c>
      <c r="F253" s="31" t="b">
        <v>1</v>
      </c>
      <c r="G253" s="34" t="s">
        <v>1520</v>
      </c>
    </row>
    <row r="254" spans="1:7" x14ac:dyDescent="0.2">
      <c r="A254" s="32">
        <v>253</v>
      </c>
      <c r="B254" s="34" t="s">
        <v>1521</v>
      </c>
      <c r="C254" s="36">
        <f ca="1">TODAY()-2388</f>
        <v>42248</v>
      </c>
      <c r="D254" s="36">
        <f ca="1">TODAY()-2386</f>
        <v>42250</v>
      </c>
      <c r="E254" s="37">
        <v>62000</v>
      </c>
      <c r="F254" s="31" t="b">
        <v>1</v>
      </c>
      <c r="G254" s="34" t="s">
        <v>1520</v>
      </c>
    </row>
    <row r="255" spans="1:7" x14ac:dyDescent="0.2">
      <c r="A255" s="32">
        <v>254</v>
      </c>
      <c r="B255" s="34" t="s">
        <v>1524</v>
      </c>
      <c r="C255" s="36">
        <f ca="1">TODAY()-2374</f>
        <v>42262</v>
      </c>
      <c r="D255" s="36">
        <f ca="1">TODAY()-2372</f>
        <v>42264</v>
      </c>
      <c r="E255" s="37">
        <v>118000</v>
      </c>
      <c r="F255" s="31" t="b">
        <v>1</v>
      </c>
      <c r="G255" s="34" t="s">
        <v>1520</v>
      </c>
    </row>
    <row r="256" spans="1:7" x14ac:dyDescent="0.2">
      <c r="A256" s="32">
        <v>255</v>
      </c>
      <c r="B256" s="34" t="s">
        <v>1525</v>
      </c>
      <c r="C256" s="36">
        <f ca="1">TODAY()-2366</f>
        <v>42270</v>
      </c>
      <c r="D256" s="36">
        <f ca="1">TODAY()-2363</f>
        <v>42273</v>
      </c>
      <c r="E256" s="37">
        <v>129900</v>
      </c>
      <c r="F256" s="31" t="b">
        <v>1</v>
      </c>
      <c r="G256" s="34" t="s">
        <v>1440</v>
      </c>
    </row>
    <row r="257" spans="1:7" x14ac:dyDescent="0.2">
      <c r="A257" s="32">
        <v>256</v>
      </c>
      <c r="B257" s="34" t="s">
        <v>1528</v>
      </c>
      <c r="C257" s="36">
        <f ca="1">TODAY()-2345</f>
        <v>42291</v>
      </c>
      <c r="D257" s="36">
        <f ca="1">TODAY()-2343</f>
        <v>42293</v>
      </c>
      <c r="E257" s="37">
        <v>58200</v>
      </c>
      <c r="F257" s="31" t="b">
        <v>0</v>
      </c>
      <c r="G257" s="34" t="s">
        <v>1520</v>
      </c>
    </row>
    <row r="258" spans="1:7" x14ac:dyDescent="0.2">
      <c r="A258" s="32">
        <v>257</v>
      </c>
      <c r="B258" s="34" t="s">
        <v>1488</v>
      </c>
      <c r="C258" s="36">
        <f ca="1">TODAY()-2335</f>
        <v>42301</v>
      </c>
      <c r="D258" s="36">
        <f ca="1">TODAY()-2333</f>
        <v>42303</v>
      </c>
      <c r="E258" s="37">
        <v>189400</v>
      </c>
      <c r="F258" s="31" t="b">
        <v>1</v>
      </c>
      <c r="G258" s="34" t="s">
        <v>1435</v>
      </c>
    </row>
    <row r="259" spans="1:7" x14ac:dyDescent="0.2">
      <c r="A259" s="32">
        <v>258</v>
      </c>
      <c r="B259" s="34" t="s">
        <v>1472</v>
      </c>
      <c r="C259" s="36">
        <f ca="1">TODAY()-2317</f>
        <v>42319</v>
      </c>
      <c r="D259" s="36">
        <f ca="1">TODAY()-2315</f>
        <v>42321</v>
      </c>
      <c r="E259" s="37">
        <v>149400</v>
      </c>
      <c r="F259" s="31" t="b">
        <v>1</v>
      </c>
      <c r="G259" s="34" t="s">
        <v>1443</v>
      </c>
    </row>
    <row r="260" spans="1:7" x14ac:dyDescent="0.2">
      <c r="A260" s="32">
        <v>259</v>
      </c>
      <c r="B260" s="34" t="s">
        <v>1463</v>
      </c>
      <c r="C260" s="36">
        <f ca="1">TODAY()-2310</f>
        <v>42326</v>
      </c>
      <c r="D260" s="36">
        <f ca="1">TODAY()-2303</f>
        <v>42333</v>
      </c>
      <c r="E260" s="37">
        <v>326900</v>
      </c>
      <c r="F260" s="31" t="b">
        <v>0</v>
      </c>
      <c r="G260" s="34" t="s">
        <v>1451</v>
      </c>
    </row>
    <row r="261" spans="1:7" x14ac:dyDescent="0.2">
      <c r="A261" s="32">
        <v>260</v>
      </c>
      <c r="B261" s="34" t="s">
        <v>1475</v>
      </c>
      <c r="C261" s="36">
        <f ca="1">TODAY()-2294</f>
        <v>42342</v>
      </c>
      <c r="D261" s="36">
        <f ca="1">TODAY()-2292</f>
        <v>42344</v>
      </c>
      <c r="E261" s="37">
        <v>155800</v>
      </c>
      <c r="F261" s="31" t="b">
        <v>0</v>
      </c>
      <c r="G261" s="34" t="s">
        <v>1440</v>
      </c>
    </row>
    <row r="262" spans="1:7" x14ac:dyDescent="0.2">
      <c r="A262" s="32">
        <v>261</v>
      </c>
      <c r="B262" s="34" t="s">
        <v>1466</v>
      </c>
      <c r="C262" s="36">
        <f ca="1">TODAY()-2285</f>
        <v>42351</v>
      </c>
      <c r="D262" s="36">
        <f ca="1">TODAY()-2282</f>
        <v>42354</v>
      </c>
      <c r="E262" s="37">
        <v>216200</v>
      </c>
      <c r="F262" s="31" t="b">
        <v>0</v>
      </c>
      <c r="G262" s="34" t="s">
        <v>1451</v>
      </c>
    </row>
    <row r="263" spans="1:7" x14ac:dyDescent="0.2">
      <c r="A263" s="32">
        <v>262</v>
      </c>
      <c r="B263" s="34" t="s">
        <v>1527</v>
      </c>
      <c r="C263" s="36">
        <f ca="1">TODAY()-2273</f>
        <v>42363</v>
      </c>
      <c r="D263" s="36">
        <f ca="1">TODAY()-2272</f>
        <v>42364</v>
      </c>
      <c r="E263" s="37">
        <v>211600</v>
      </c>
      <c r="F263" s="31" t="b">
        <v>0</v>
      </c>
      <c r="G263" s="34" t="s">
        <v>1520</v>
      </c>
    </row>
    <row r="264" spans="1:7" x14ac:dyDescent="0.2">
      <c r="A264" s="32">
        <v>263</v>
      </c>
      <c r="B264" s="34" t="s">
        <v>1526</v>
      </c>
      <c r="C264" s="36">
        <f ca="1">TODAY()-2264</f>
        <v>42372</v>
      </c>
      <c r="D264" s="36">
        <f ca="1">TODAY()-2262</f>
        <v>42374</v>
      </c>
      <c r="E264" s="37">
        <v>55600</v>
      </c>
      <c r="F264" s="31" t="b">
        <v>1</v>
      </c>
      <c r="G264" s="34" t="s">
        <v>1443</v>
      </c>
    </row>
    <row r="265" spans="1:7" x14ac:dyDescent="0.2">
      <c r="A265" s="32">
        <v>264</v>
      </c>
      <c r="B265" s="34" t="s">
        <v>1480</v>
      </c>
      <c r="C265" s="36">
        <f ca="1">TODAY()-2246</f>
        <v>42390</v>
      </c>
      <c r="D265" s="36">
        <f ca="1">TODAY()-2243</f>
        <v>42393</v>
      </c>
      <c r="E265" s="37">
        <v>157000</v>
      </c>
      <c r="F265" s="31" t="b">
        <v>0</v>
      </c>
      <c r="G265" s="34" t="s">
        <v>1435</v>
      </c>
    </row>
    <row r="266" spans="1:7" x14ac:dyDescent="0.2">
      <c r="A266" s="32">
        <v>265</v>
      </c>
      <c r="B266" s="34" t="s">
        <v>1525</v>
      </c>
      <c r="C266" s="36">
        <f ca="1">TODAY()-2229</f>
        <v>42407</v>
      </c>
      <c r="D266" s="36">
        <f ca="1">TODAY()-2226</f>
        <v>42410</v>
      </c>
      <c r="E266" s="37">
        <v>206800</v>
      </c>
      <c r="F266" s="31" t="b">
        <v>1</v>
      </c>
      <c r="G266" s="34" t="s">
        <v>1440</v>
      </c>
    </row>
    <row r="267" spans="1:7" x14ac:dyDescent="0.2">
      <c r="A267" s="32">
        <v>266</v>
      </c>
      <c r="B267" s="34" t="s">
        <v>1524</v>
      </c>
      <c r="C267" s="36">
        <f ca="1">TODAY()-2223</f>
        <v>42413</v>
      </c>
      <c r="D267" s="36">
        <f ca="1">TODAY()-2220</f>
        <v>42416</v>
      </c>
      <c r="E267" s="37">
        <v>144200</v>
      </c>
      <c r="F267" s="31" t="b">
        <v>0</v>
      </c>
      <c r="G267" s="34" t="s">
        <v>1520</v>
      </c>
    </row>
    <row r="268" spans="1:7" x14ac:dyDescent="0.2">
      <c r="A268" s="32">
        <v>267</v>
      </c>
      <c r="B268" s="34" t="s">
        <v>1481</v>
      </c>
      <c r="C268" s="36">
        <f ca="1">TODAY()-2191</f>
        <v>42445</v>
      </c>
      <c r="D268" s="36">
        <f ca="1">TODAY()-2191</f>
        <v>42445</v>
      </c>
      <c r="E268" s="37">
        <v>145600</v>
      </c>
      <c r="F268" s="31" t="b">
        <v>0</v>
      </c>
      <c r="G268" s="34" t="s">
        <v>1451</v>
      </c>
    </row>
    <row r="269" spans="1:7" x14ac:dyDescent="0.2">
      <c r="A269" s="32">
        <v>268</v>
      </c>
      <c r="B269" s="34" t="s">
        <v>1496</v>
      </c>
      <c r="C269" s="36">
        <f ca="1">TODAY()-2183</f>
        <v>42453</v>
      </c>
      <c r="D269" s="36">
        <f ca="1">TODAY()-2171</f>
        <v>42465</v>
      </c>
      <c r="E269" s="37">
        <v>641800</v>
      </c>
      <c r="F269" s="31" t="b">
        <v>0</v>
      </c>
      <c r="G269" s="34" t="s">
        <v>1451</v>
      </c>
    </row>
    <row r="270" spans="1:7" x14ac:dyDescent="0.2">
      <c r="A270" s="32">
        <v>269</v>
      </c>
      <c r="B270" s="34" t="s">
        <v>1523</v>
      </c>
      <c r="C270" s="36">
        <f ca="1">TODAY()-2163</f>
        <v>42473</v>
      </c>
      <c r="D270" s="36">
        <f ca="1">TODAY()-2161</f>
        <v>42475</v>
      </c>
      <c r="E270" s="37">
        <v>146300</v>
      </c>
      <c r="F270" s="31" t="b">
        <v>1</v>
      </c>
      <c r="G270" s="34" t="s">
        <v>1520</v>
      </c>
    </row>
    <row r="271" spans="1:7" x14ac:dyDescent="0.2">
      <c r="A271" s="32">
        <v>270</v>
      </c>
      <c r="B271" s="34" t="s">
        <v>1486</v>
      </c>
      <c r="C271" s="36">
        <f ca="1">TODAY()-2161</f>
        <v>42475</v>
      </c>
      <c r="D271" s="36">
        <f ca="1">TODAY()-2151</f>
        <v>42485</v>
      </c>
      <c r="E271" s="37">
        <v>896900</v>
      </c>
      <c r="F271" s="31" t="b">
        <v>1</v>
      </c>
      <c r="G271" s="34" t="s">
        <v>1443</v>
      </c>
    </row>
    <row r="272" spans="1:7" x14ac:dyDescent="0.2">
      <c r="A272" s="32">
        <v>271</v>
      </c>
      <c r="B272" s="34" t="s">
        <v>1493</v>
      </c>
      <c r="C272" s="36">
        <f ca="1">TODAY()-2134</f>
        <v>42502</v>
      </c>
      <c r="D272" s="36">
        <f ca="1">TODAY()-2133</f>
        <v>42503</v>
      </c>
      <c r="E272" s="37">
        <v>158000</v>
      </c>
      <c r="F272" s="31" t="b">
        <v>1</v>
      </c>
      <c r="G272" s="34" t="s">
        <v>1451</v>
      </c>
    </row>
    <row r="273" spans="1:7" x14ac:dyDescent="0.2">
      <c r="A273" s="32">
        <v>272</v>
      </c>
      <c r="B273" s="34" t="s">
        <v>1522</v>
      </c>
      <c r="C273" s="36">
        <f ca="1">TODAY()-2120</f>
        <v>42516</v>
      </c>
      <c r="D273" s="36">
        <f ca="1">TODAY()-2119</f>
        <v>42517</v>
      </c>
      <c r="E273" s="37">
        <v>184600</v>
      </c>
      <c r="F273" s="31" t="b">
        <v>1</v>
      </c>
      <c r="G273" s="34" t="s">
        <v>1440</v>
      </c>
    </row>
    <row r="274" spans="1:7" x14ac:dyDescent="0.2">
      <c r="A274" s="32">
        <v>273</v>
      </c>
      <c r="B274" s="34" t="s">
        <v>1499</v>
      </c>
      <c r="C274" s="36">
        <f ca="1">TODAY()-2112</f>
        <v>42524</v>
      </c>
      <c r="D274" s="36">
        <f ca="1">TODAY()-2105</f>
        <v>42531</v>
      </c>
      <c r="E274" s="37">
        <v>500400</v>
      </c>
      <c r="F274" s="31" t="b">
        <v>1</v>
      </c>
      <c r="G274" s="34" t="s">
        <v>1443</v>
      </c>
    </row>
    <row r="275" spans="1:7" x14ac:dyDescent="0.2">
      <c r="A275" s="32">
        <v>274</v>
      </c>
      <c r="B275" s="34" t="s">
        <v>1487</v>
      </c>
      <c r="C275" s="36">
        <f ca="1">TODAY()-2109</f>
        <v>42527</v>
      </c>
      <c r="D275" s="36">
        <f ca="1">TODAY()-2102</f>
        <v>42534</v>
      </c>
      <c r="E275" s="37">
        <v>393100</v>
      </c>
      <c r="F275" s="31" t="b">
        <v>1</v>
      </c>
      <c r="G275" s="34" t="s">
        <v>1440</v>
      </c>
    </row>
    <row r="276" spans="1:7" x14ac:dyDescent="0.2">
      <c r="A276" s="32">
        <v>275</v>
      </c>
      <c r="B276" s="34" t="s">
        <v>1467</v>
      </c>
      <c r="C276" s="36">
        <f ca="1">TODAY()-2105</f>
        <v>42531</v>
      </c>
      <c r="D276" s="36">
        <f ca="1">TODAY()-2093</f>
        <v>42543</v>
      </c>
      <c r="E276" s="37">
        <v>865100</v>
      </c>
      <c r="F276" s="31" t="b">
        <v>1</v>
      </c>
      <c r="G276" s="34" t="s">
        <v>1451</v>
      </c>
    </row>
    <row r="277" spans="1:7" x14ac:dyDescent="0.2">
      <c r="A277" s="32">
        <v>276</v>
      </c>
      <c r="B277" s="34" t="s">
        <v>1521</v>
      </c>
      <c r="C277" s="36">
        <f ca="1">TODAY()-2083</f>
        <v>42553</v>
      </c>
      <c r="D277" s="36">
        <f ca="1">TODAY()-2082</f>
        <v>42554</v>
      </c>
      <c r="E277" s="37">
        <v>57500</v>
      </c>
      <c r="F277" s="31" t="b">
        <v>1</v>
      </c>
      <c r="G277" s="34" t="s">
        <v>1520</v>
      </c>
    </row>
    <row r="278" spans="1:7" x14ac:dyDescent="0.2">
      <c r="A278" s="32">
        <v>277</v>
      </c>
      <c r="B278" s="34" t="s">
        <v>1455</v>
      </c>
      <c r="C278" s="36">
        <f ca="1">TODAY()-2082</f>
        <v>42554</v>
      </c>
      <c r="D278" s="36">
        <f ca="1">TODAY()-2073</f>
        <v>42563</v>
      </c>
      <c r="E278" s="37">
        <v>756200</v>
      </c>
      <c r="F278" s="31" t="b">
        <v>0</v>
      </c>
      <c r="G278" s="34" t="s">
        <v>1435</v>
      </c>
    </row>
    <row r="279" spans="1:7" x14ac:dyDescent="0.2">
      <c r="A279" s="32">
        <v>278</v>
      </c>
      <c r="B279" s="34" t="s">
        <v>1519</v>
      </c>
      <c r="C279" s="36">
        <f ca="1">TODAY()-2073</f>
        <v>42563</v>
      </c>
      <c r="D279" s="36">
        <f ca="1">TODAY()-2062</f>
        <v>42574</v>
      </c>
      <c r="E279" s="37">
        <v>741000</v>
      </c>
      <c r="F279" s="31" t="b">
        <v>0</v>
      </c>
      <c r="G279" s="34" t="s">
        <v>1435</v>
      </c>
    </row>
    <row r="280" spans="1:7" x14ac:dyDescent="0.2">
      <c r="A280" s="32">
        <v>279</v>
      </c>
      <c r="B280" s="34" t="s">
        <v>1481</v>
      </c>
      <c r="C280" s="36">
        <f ca="1">TODAY()-2047</f>
        <v>42589</v>
      </c>
      <c r="D280" s="36">
        <f ca="1">TODAY()-2046</f>
        <v>42590</v>
      </c>
      <c r="E280" s="37">
        <v>121400</v>
      </c>
      <c r="F280" s="31" t="b">
        <v>1</v>
      </c>
      <c r="G280" s="34" t="s">
        <v>1451</v>
      </c>
    </row>
    <row r="281" spans="1:7" x14ac:dyDescent="0.2">
      <c r="A281" s="32">
        <v>280</v>
      </c>
      <c r="B281" s="34" t="s">
        <v>1515</v>
      </c>
      <c r="C281" s="36">
        <f ca="1">TODAY()-2043</f>
        <v>42593</v>
      </c>
      <c r="D281" s="36">
        <f ca="1">TODAY()-2031</f>
        <v>42605</v>
      </c>
      <c r="E281" s="37">
        <v>617200</v>
      </c>
      <c r="F281" s="31" t="b">
        <v>0</v>
      </c>
      <c r="G281" s="34" t="s">
        <v>1443</v>
      </c>
    </row>
    <row r="282" spans="1:7" x14ac:dyDescent="0.2">
      <c r="A282" s="32">
        <v>281</v>
      </c>
      <c r="B282" s="34" t="s">
        <v>1518</v>
      </c>
      <c r="C282" s="36">
        <f ca="1">TODAY()-2022</f>
        <v>42614</v>
      </c>
      <c r="D282" s="36">
        <f ca="1">TODAY()-2013</f>
        <v>42623</v>
      </c>
      <c r="E282" s="37">
        <v>691000</v>
      </c>
      <c r="F282" s="31" t="b">
        <v>0</v>
      </c>
      <c r="G282" s="34" t="s">
        <v>1435</v>
      </c>
    </row>
    <row r="283" spans="1:7" x14ac:dyDescent="0.2">
      <c r="A283" s="32">
        <v>282</v>
      </c>
      <c r="B283" s="34" t="s">
        <v>1450</v>
      </c>
      <c r="C283" s="36">
        <f ca="1">TODAY()-2001</f>
        <v>42635</v>
      </c>
      <c r="D283" s="36">
        <f ca="1">TODAY()-1998</f>
        <v>42638</v>
      </c>
      <c r="E283" s="37">
        <v>142100</v>
      </c>
      <c r="F283" s="31" t="b">
        <v>1</v>
      </c>
      <c r="G283" s="34" t="s">
        <v>1440</v>
      </c>
    </row>
    <row r="284" spans="1:7" x14ac:dyDescent="0.2">
      <c r="A284" s="32">
        <v>283</v>
      </c>
      <c r="B284" s="34" t="s">
        <v>1490</v>
      </c>
      <c r="C284" s="36">
        <f ca="1">TODAY()-1989</f>
        <v>42647</v>
      </c>
      <c r="D284" s="36">
        <f ca="1">TODAY()-1989</f>
        <v>42647</v>
      </c>
      <c r="E284" s="37">
        <v>133800</v>
      </c>
      <c r="F284" s="31" t="b">
        <v>0</v>
      </c>
      <c r="G284" s="34" t="s">
        <v>1435</v>
      </c>
    </row>
    <row r="285" spans="1:7" x14ac:dyDescent="0.2">
      <c r="A285" s="32">
        <v>284</v>
      </c>
      <c r="B285" s="34" t="s">
        <v>1467</v>
      </c>
      <c r="C285" s="36">
        <f ca="1">TODAY()-1984</f>
        <v>42652</v>
      </c>
      <c r="D285" s="36">
        <f ca="1">TODAY()-1982</f>
        <v>42654</v>
      </c>
      <c r="E285" s="37">
        <v>51500</v>
      </c>
      <c r="F285" s="31" t="b">
        <v>0</v>
      </c>
      <c r="G285" s="34" t="s">
        <v>1451</v>
      </c>
    </row>
    <row r="286" spans="1:7" x14ac:dyDescent="0.2">
      <c r="A286" s="32">
        <v>285</v>
      </c>
      <c r="B286" s="34" t="s">
        <v>1517</v>
      </c>
      <c r="C286" s="36">
        <f ca="1">TODAY()-1976</f>
        <v>42660</v>
      </c>
      <c r="D286" s="36">
        <f ca="1">TODAY()-1975</f>
        <v>42661</v>
      </c>
      <c r="E286" s="37">
        <v>62400</v>
      </c>
      <c r="F286" s="31" t="b">
        <v>1</v>
      </c>
      <c r="G286" s="34" t="s">
        <v>1443</v>
      </c>
    </row>
    <row r="287" spans="1:7" x14ac:dyDescent="0.2">
      <c r="A287" s="32">
        <v>286</v>
      </c>
      <c r="B287" s="34" t="s">
        <v>1449</v>
      </c>
      <c r="C287" s="36">
        <f ca="1">TODAY()-1969</f>
        <v>42667</v>
      </c>
      <c r="D287" s="36">
        <f ca="1">TODAY()-1969</f>
        <v>42667</v>
      </c>
      <c r="E287" s="37">
        <v>79100</v>
      </c>
      <c r="F287" s="31" t="b">
        <v>0</v>
      </c>
      <c r="G287" s="34" t="s">
        <v>1440</v>
      </c>
    </row>
    <row r="288" spans="1:7" x14ac:dyDescent="0.2">
      <c r="A288" s="32">
        <v>287</v>
      </c>
      <c r="B288" s="34" t="s">
        <v>1468</v>
      </c>
      <c r="C288" s="36">
        <f ca="1">TODAY()-1953</f>
        <v>42683</v>
      </c>
      <c r="D288" s="36">
        <f ca="1">TODAY()-1953</f>
        <v>42683</v>
      </c>
      <c r="E288" s="37">
        <v>116100</v>
      </c>
      <c r="F288" s="31" t="b">
        <v>1</v>
      </c>
      <c r="G288" s="34" t="s">
        <v>1440</v>
      </c>
    </row>
    <row r="289" spans="1:7" x14ac:dyDescent="0.2">
      <c r="A289" s="32">
        <v>288</v>
      </c>
      <c r="B289" s="34" t="s">
        <v>1460</v>
      </c>
      <c r="C289" s="36">
        <f ca="1">TODAY()-1947</f>
        <v>42689</v>
      </c>
      <c r="D289" s="36">
        <f ca="1">TODAY()-1946</f>
        <v>42690</v>
      </c>
      <c r="E289" s="37">
        <v>119800</v>
      </c>
      <c r="F289" s="31" t="b">
        <v>0</v>
      </c>
      <c r="G289" s="34" t="s">
        <v>1440</v>
      </c>
    </row>
    <row r="290" spans="1:7" x14ac:dyDescent="0.2">
      <c r="A290" s="32">
        <v>289</v>
      </c>
      <c r="B290" s="34" t="s">
        <v>1441</v>
      </c>
      <c r="C290" s="36">
        <f ca="1">TODAY()-1934</f>
        <v>42702</v>
      </c>
      <c r="D290" s="36">
        <f ca="1">TODAY()-1931</f>
        <v>42705</v>
      </c>
      <c r="E290" s="37">
        <v>165800</v>
      </c>
      <c r="F290" s="31" t="b">
        <v>0</v>
      </c>
      <c r="G290" s="34" t="s">
        <v>1440</v>
      </c>
    </row>
    <row r="291" spans="1:7" x14ac:dyDescent="0.2">
      <c r="A291" s="32">
        <v>290</v>
      </c>
      <c r="B291" s="34" t="s">
        <v>1470</v>
      </c>
      <c r="C291" s="36">
        <f ca="1">TODAY()-1919</f>
        <v>42717</v>
      </c>
      <c r="D291" s="36">
        <f ca="1">TODAY()-1910</f>
        <v>42726</v>
      </c>
      <c r="E291" s="37">
        <v>723000</v>
      </c>
      <c r="F291" s="31" t="b">
        <v>1</v>
      </c>
      <c r="G291" s="34" t="s">
        <v>1440</v>
      </c>
    </row>
    <row r="292" spans="1:7" x14ac:dyDescent="0.2">
      <c r="A292" s="32">
        <v>291</v>
      </c>
      <c r="B292" s="34" t="s">
        <v>1481</v>
      </c>
      <c r="C292" s="36">
        <f ca="1">TODAY()-1911</f>
        <v>42725</v>
      </c>
      <c r="D292" s="36">
        <f ca="1">TODAY()-1902</f>
        <v>42734</v>
      </c>
      <c r="E292" s="37">
        <v>731900</v>
      </c>
      <c r="F292" s="31" t="b">
        <v>0</v>
      </c>
      <c r="G292" s="34" t="s">
        <v>1451</v>
      </c>
    </row>
    <row r="293" spans="1:7" x14ac:dyDescent="0.2">
      <c r="A293" s="32">
        <v>292</v>
      </c>
      <c r="B293" s="34" t="s">
        <v>1459</v>
      </c>
      <c r="C293" s="36">
        <f ca="1">TODAY()-1889</f>
        <v>42747</v>
      </c>
      <c r="D293" s="36">
        <f ca="1">TODAY()-1887</f>
        <v>42749</v>
      </c>
      <c r="E293" s="37">
        <v>148800</v>
      </c>
      <c r="F293" s="31" t="b">
        <v>1</v>
      </c>
      <c r="G293" s="34" t="s">
        <v>1440</v>
      </c>
    </row>
    <row r="294" spans="1:7" x14ac:dyDescent="0.2">
      <c r="A294" s="32">
        <v>293</v>
      </c>
      <c r="B294" s="34" t="s">
        <v>1494</v>
      </c>
      <c r="C294" s="36">
        <f ca="1">TODAY()-1866</f>
        <v>42770</v>
      </c>
      <c r="D294" s="36">
        <f ca="1">TODAY()-1865</f>
        <v>42771</v>
      </c>
      <c r="E294" s="37">
        <v>71100</v>
      </c>
      <c r="F294" s="31" t="b">
        <v>0</v>
      </c>
      <c r="G294" s="34" t="s">
        <v>1440</v>
      </c>
    </row>
    <row r="295" spans="1:7" x14ac:dyDescent="0.2">
      <c r="A295" s="32">
        <v>294</v>
      </c>
      <c r="B295" s="34" t="s">
        <v>1472</v>
      </c>
      <c r="C295" s="36">
        <f ca="1">TODAY()-1861</f>
        <v>42775</v>
      </c>
      <c r="D295" s="36">
        <f ca="1">TODAY()-1854</f>
        <v>42782</v>
      </c>
      <c r="E295" s="37">
        <v>422900</v>
      </c>
      <c r="F295" s="31" t="b">
        <v>1</v>
      </c>
      <c r="G295" s="34" t="s">
        <v>1443</v>
      </c>
    </row>
    <row r="296" spans="1:7" x14ac:dyDescent="0.2">
      <c r="A296" s="32">
        <v>295</v>
      </c>
      <c r="B296" s="34" t="s">
        <v>1496</v>
      </c>
      <c r="C296" s="36">
        <f ca="1">TODAY()-1861</f>
        <v>42775</v>
      </c>
      <c r="D296" s="36">
        <f ca="1">TODAY()-1850</f>
        <v>42786</v>
      </c>
      <c r="E296" s="37">
        <v>830400</v>
      </c>
      <c r="F296" s="31" t="b">
        <v>0</v>
      </c>
      <c r="G296" s="34" t="s">
        <v>1451</v>
      </c>
    </row>
    <row r="297" spans="1:7" x14ac:dyDescent="0.2">
      <c r="A297" s="32">
        <v>296</v>
      </c>
      <c r="B297" s="34" t="s">
        <v>1463</v>
      </c>
      <c r="C297" s="36">
        <f ca="1">TODAY()-1848</f>
        <v>42788</v>
      </c>
      <c r="D297" s="36">
        <f ca="1">TODAY()-1836</f>
        <v>42800</v>
      </c>
      <c r="E297" s="37">
        <v>806600</v>
      </c>
      <c r="F297" s="31" t="b">
        <v>1</v>
      </c>
      <c r="G297" s="34" t="s">
        <v>1451</v>
      </c>
    </row>
    <row r="298" spans="1:7" x14ac:dyDescent="0.2">
      <c r="A298" s="32">
        <v>297</v>
      </c>
      <c r="B298" s="34" t="s">
        <v>1499</v>
      </c>
      <c r="C298" s="36">
        <f ca="1">TODAY()-1825</f>
        <v>42811</v>
      </c>
      <c r="D298" s="36">
        <f ca="1">TODAY()-1822</f>
        <v>42814</v>
      </c>
      <c r="E298" s="37">
        <v>108600</v>
      </c>
      <c r="F298" s="31" t="b">
        <v>1</v>
      </c>
      <c r="G298" s="34" t="s">
        <v>1443</v>
      </c>
    </row>
    <row r="299" spans="1:7" x14ac:dyDescent="0.2">
      <c r="A299" s="32">
        <v>298</v>
      </c>
      <c r="B299" s="34" t="s">
        <v>1516</v>
      </c>
      <c r="C299" s="36">
        <f ca="1">TODAY()-1815</f>
        <v>42821</v>
      </c>
      <c r="D299" s="36">
        <f ca="1">TODAY()-1814</f>
        <v>42822</v>
      </c>
      <c r="E299" s="37">
        <v>178300</v>
      </c>
      <c r="F299" s="31" t="b">
        <v>1</v>
      </c>
      <c r="G299" s="34" t="s">
        <v>1435</v>
      </c>
    </row>
    <row r="300" spans="1:7" x14ac:dyDescent="0.2">
      <c r="A300" s="32">
        <v>299</v>
      </c>
      <c r="B300" s="34" t="s">
        <v>1483</v>
      </c>
      <c r="C300" s="36">
        <f ca="1">TODAY()-1805</f>
        <v>42831</v>
      </c>
      <c r="D300" s="36">
        <f ca="1">TODAY()-1804</f>
        <v>42832</v>
      </c>
      <c r="E300" s="37">
        <v>55500</v>
      </c>
      <c r="F300" s="31" t="b">
        <v>0</v>
      </c>
      <c r="G300" s="34" t="s">
        <v>1435</v>
      </c>
    </row>
    <row r="301" spans="1:7" x14ac:dyDescent="0.2">
      <c r="A301" s="32">
        <v>300</v>
      </c>
      <c r="B301" s="34" t="s">
        <v>1510</v>
      </c>
      <c r="C301" s="36">
        <f ca="1">TODAY()-1791</f>
        <v>42845</v>
      </c>
      <c r="D301" s="36">
        <f ca="1">TODAY()-1789</f>
        <v>42847</v>
      </c>
      <c r="E301" s="37">
        <v>55600</v>
      </c>
      <c r="F301" s="31" t="b">
        <v>1</v>
      </c>
      <c r="G301" s="34" t="s">
        <v>1435</v>
      </c>
    </row>
    <row r="302" spans="1:7" x14ac:dyDescent="0.2">
      <c r="A302" s="32">
        <v>301</v>
      </c>
      <c r="B302" s="34" t="s">
        <v>1459</v>
      </c>
      <c r="C302" s="36">
        <f ca="1">TODAY()-1771</f>
        <v>42865</v>
      </c>
      <c r="D302" s="36">
        <f ca="1">TODAY()-1768</f>
        <v>42868</v>
      </c>
      <c r="E302" s="37">
        <v>94300</v>
      </c>
      <c r="F302" s="31" t="b">
        <v>0</v>
      </c>
      <c r="G302" s="34" t="s">
        <v>1440</v>
      </c>
    </row>
    <row r="303" spans="1:7" x14ac:dyDescent="0.2">
      <c r="A303" s="32">
        <v>302</v>
      </c>
      <c r="B303" s="34" t="s">
        <v>1512</v>
      </c>
      <c r="C303" s="36">
        <f ca="1">TODAY()-1762</f>
        <v>42874</v>
      </c>
      <c r="D303" s="36">
        <f ca="1">TODAY()-1761</f>
        <v>42875</v>
      </c>
      <c r="E303" s="37">
        <v>104000</v>
      </c>
      <c r="F303" s="31" t="b">
        <v>1</v>
      </c>
      <c r="G303" s="34" t="s">
        <v>1440</v>
      </c>
    </row>
    <row r="304" spans="1:7" x14ac:dyDescent="0.2">
      <c r="A304" s="32">
        <v>303</v>
      </c>
      <c r="B304" s="34" t="s">
        <v>1490</v>
      </c>
      <c r="C304" s="36">
        <f ca="1">TODAY()-1752</f>
        <v>42884</v>
      </c>
      <c r="D304" s="36">
        <f ca="1">TODAY()-1751</f>
        <v>42885</v>
      </c>
      <c r="E304" s="37">
        <v>118900</v>
      </c>
      <c r="F304" s="31" t="b">
        <v>1</v>
      </c>
      <c r="G304" s="34" t="s">
        <v>1435</v>
      </c>
    </row>
    <row r="305" spans="1:7" x14ac:dyDescent="0.2">
      <c r="A305" s="32">
        <v>304</v>
      </c>
      <c r="B305" s="34" t="s">
        <v>1515</v>
      </c>
      <c r="C305" s="36">
        <f ca="1">TODAY()-1739</f>
        <v>42897</v>
      </c>
      <c r="D305" s="36">
        <f ca="1">TODAY()-1738</f>
        <v>42898</v>
      </c>
      <c r="E305" s="37">
        <v>160400</v>
      </c>
      <c r="F305" s="31" t="b">
        <v>0</v>
      </c>
      <c r="G305" s="34" t="s">
        <v>1443</v>
      </c>
    </row>
    <row r="306" spans="1:7" x14ac:dyDescent="0.2">
      <c r="A306" s="32">
        <v>305</v>
      </c>
      <c r="B306" s="34" t="s">
        <v>1496</v>
      </c>
      <c r="C306" s="36">
        <f ca="1">TODAY()-1739</f>
        <v>42897</v>
      </c>
      <c r="D306" s="36">
        <f ca="1">TODAY()-1731</f>
        <v>42905</v>
      </c>
      <c r="E306" s="37">
        <v>726000</v>
      </c>
      <c r="F306" s="31" t="b">
        <v>0</v>
      </c>
      <c r="G306" s="34" t="s">
        <v>1451</v>
      </c>
    </row>
    <row r="307" spans="1:7" x14ac:dyDescent="0.2">
      <c r="A307" s="32">
        <v>306</v>
      </c>
      <c r="B307" s="34" t="s">
        <v>1489</v>
      </c>
      <c r="C307" s="36">
        <f ca="1">TODAY()-1728</f>
        <v>42908</v>
      </c>
      <c r="D307" s="36">
        <f ca="1">TODAY()-1721</f>
        <v>42915</v>
      </c>
      <c r="E307" s="37">
        <v>513700</v>
      </c>
      <c r="F307" s="31" t="b">
        <v>1</v>
      </c>
      <c r="G307" s="34" t="s">
        <v>1440</v>
      </c>
    </row>
    <row r="308" spans="1:7" x14ac:dyDescent="0.2">
      <c r="A308" s="32">
        <v>307</v>
      </c>
      <c r="B308" s="34" t="s">
        <v>1487</v>
      </c>
      <c r="C308" s="36">
        <f ca="1">TODAY()-1714</f>
        <v>42922</v>
      </c>
      <c r="D308" s="36">
        <f ca="1">TODAY()-1704</f>
        <v>42932</v>
      </c>
      <c r="E308" s="37">
        <v>799500</v>
      </c>
      <c r="F308" s="31" t="b">
        <v>1</v>
      </c>
      <c r="G308" s="34" t="s">
        <v>1440</v>
      </c>
    </row>
    <row r="309" spans="1:7" x14ac:dyDescent="0.2">
      <c r="A309" s="32">
        <v>308</v>
      </c>
      <c r="B309" s="34" t="s">
        <v>1472</v>
      </c>
      <c r="C309" s="36">
        <f ca="1">TODAY()-1706</f>
        <v>42930</v>
      </c>
      <c r="D309" s="36">
        <f ca="1">TODAY()-1694</f>
        <v>42942</v>
      </c>
      <c r="E309" s="37">
        <v>758900</v>
      </c>
      <c r="F309" s="31" t="b">
        <v>1</v>
      </c>
      <c r="G309" s="34" t="s">
        <v>1443</v>
      </c>
    </row>
    <row r="310" spans="1:7" x14ac:dyDescent="0.2">
      <c r="A310" s="32">
        <v>309</v>
      </c>
      <c r="B310" s="34" t="s">
        <v>1441</v>
      </c>
      <c r="C310" s="36">
        <f ca="1">TODAY()-1684</f>
        <v>42952</v>
      </c>
      <c r="D310" s="36">
        <f ca="1">TODAY()-1681</f>
        <v>42955</v>
      </c>
      <c r="E310" s="37">
        <v>173100</v>
      </c>
      <c r="F310" s="31" t="b">
        <v>1</v>
      </c>
      <c r="G310" s="34" t="s">
        <v>1440</v>
      </c>
    </row>
    <row r="311" spans="1:7" x14ac:dyDescent="0.2">
      <c r="A311" s="32">
        <v>310</v>
      </c>
      <c r="B311" s="34" t="s">
        <v>1514</v>
      </c>
      <c r="C311" s="36">
        <f ca="1">TODAY()-1668</f>
        <v>42968</v>
      </c>
      <c r="D311" s="36">
        <f ca="1">TODAY()-1667</f>
        <v>42969</v>
      </c>
      <c r="E311" s="37">
        <v>104000</v>
      </c>
      <c r="F311" s="31" t="b">
        <v>0</v>
      </c>
      <c r="G311" s="34" t="s">
        <v>1440</v>
      </c>
    </row>
    <row r="312" spans="1:7" x14ac:dyDescent="0.2">
      <c r="A312" s="32">
        <v>311</v>
      </c>
      <c r="B312" s="34" t="s">
        <v>1483</v>
      </c>
      <c r="C312" s="36">
        <f ca="1">TODAY()-1661</f>
        <v>42975</v>
      </c>
      <c r="D312" s="36">
        <f ca="1">TODAY()-1659</f>
        <v>42977</v>
      </c>
      <c r="E312" s="37">
        <v>165000</v>
      </c>
      <c r="F312" s="31" t="b">
        <v>0</v>
      </c>
      <c r="G312" s="34" t="s">
        <v>1435</v>
      </c>
    </row>
    <row r="313" spans="1:7" x14ac:dyDescent="0.2">
      <c r="A313" s="32">
        <v>312</v>
      </c>
      <c r="B313" s="34" t="s">
        <v>1484</v>
      </c>
      <c r="C313" s="36">
        <f ca="1">TODAY()-1649</f>
        <v>42987</v>
      </c>
      <c r="D313" s="36">
        <f ca="1">TODAY()-1648</f>
        <v>42988</v>
      </c>
      <c r="E313" s="37">
        <v>80500</v>
      </c>
      <c r="F313" s="31" t="b">
        <v>1</v>
      </c>
      <c r="G313" s="34" t="s">
        <v>1443</v>
      </c>
    </row>
    <row r="314" spans="1:7" x14ac:dyDescent="0.2">
      <c r="A314" s="32">
        <v>313</v>
      </c>
      <c r="B314" s="34" t="s">
        <v>1479</v>
      </c>
      <c r="C314" s="36">
        <f ca="1">TODAY()-1638</f>
        <v>42998</v>
      </c>
      <c r="D314" s="36">
        <f ca="1">TODAY()-1637</f>
        <v>42999</v>
      </c>
      <c r="E314" s="37">
        <v>73200</v>
      </c>
      <c r="F314" s="31" t="b">
        <v>1</v>
      </c>
      <c r="G314" s="34" t="s">
        <v>1435</v>
      </c>
    </row>
    <row r="315" spans="1:7" x14ac:dyDescent="0.2">
      <c r="A315" s="32">
        <v>314</v>
      </c>
      <c r="B315" s="34" t="s">
        <v>1513</v>
      </c>
      <c r="C315" s="36">
        <f ca="1">TODAY()-1629</f>
        <v>43007</v>
      </c>
      <c r="D315" s="36">
        <f ca="1">TODAY()-1628</f>
        <v>43008</v>
      </c>
      <c r="E315" s="37">
        <v>146300</v>
      </c>
      <c r="F315" s="31" t="b">
        <v>1</v>
      </c>
      <c r="G315" s="34" t="s">
        <v>1443</v>
      </c>
    </row>
    <row r="316" spans="1:7" x14ac:dyDescent="0.2">
      <c r="A316" s="32">
        <v>315</v>
      </c>
      <c r="B316" s="34" t="s">
        <v>1486</v>
      </c>
      <c r="C316" s="36">
        <f ca="1">TODAY()-1619</f>
        <v>43017</v>
      </c>
      <c r="D316" s="36">
        <f ca="1">TODAY()-1617</f>
        <v>43019</v>
      </c>
      <c r="E316" s="37">
        <v>189800</v>
      </c>
      <c r="F316" s="31" t="b">
        <v>1</v>
      </c>
      <c r="G316" s="34" t="s">
        <v>1443</v>
      </c>
    </row>
    <row r="317" spans="1:7" x14ac:dyDescent="0.2">
      <c r="A317" s="32">
        <v>316</v>
      </c>
      <c r="B317" s="34" t="s">
        <v>1512</v>
      </c>
      <c r="C317" s="36">
        <f ca="1">TODAY()-1601</f>
        <v>43035</v>
      </c>
      <c r="D317" s="36">
        <f ca="1">TODAY()-1600</f>
        <v>43036</v>
      </c>
      <c r="E317" s="37">
        <v>153400</v>
      </c>
      <c r="F317" s="31" t="b">
        <v>0</v>
      </c>
      <c r="G317" s="34" t="s">
        <v>1440</v>
      </c>
    </row>
    <row r="318" spans="1:7" x14ac:dyDescent="0.2">
      <c r="A318" s="32">
        <v>317</v>
      </c>
      <c r="B318" s="34" t="s">
        <v>1468</v>
      </c>
      <c r="C318" s="36">
        <f ca="1">TODAY()-1584</f>
        <v>43052</v>
      </c>
      <c r="D318" s="36">
        <f ca="1">TODAY()-1584</f>
        <v>43052</v>
      </c>
      <c r="E318" s="37">
        <v>198200</v>
      </c>
      <c r="F318" s="31" t="b">
        <v>0</v>
      </c>
      <c r="G318" s="34" t="s">
        <v>1440</v>
      </c>
    </row>
    <row r="319" spans="1:7" x14ac:dyDescent="0.2">
      <c r="A319" s="32">
        <v>318</v>
      </c>
      <c r="B319" s="34" t="s">
        <v>1511</v>
      </c>
      <c r="C319" s="36">
        <f ca="1">TODAY()-1571</f>
        <v>43065</v>
      </c>
      <c r="D319" s="36">
        <f ca="1">TODAY()-1569</f>
        <v>43067</v>
      </c>
      <c r="E319" s="37">
        <v>137200</v>
      </c>
      <c r="F319" s="31" t="b">
        <v>1</v>
      </c>
      <c r="G319" s="34" t="s">
        <v>1440</v>
      </c>
    </row>
    <row r="320" spans="1:7" x14ac:dyDescent="0.2">
      <c r="A320" s="32">
        <v>319</v>
      </c>
      <c r="B320" s="34" t="s">
        <v>1495</v>
      </c>
      <c r="C320" s="36">
        <f ca="1">TODAY()-1562</f>
        <v>43074</v>
      </c>
      <c r="D320" s="36">
        <f ca="1">TODAY()-1561</f>
        <v>43075</v>
      </c>
      <c r="E320" s="37">
        <v>172900</v>
      </c>
      <c r="F320" s="31" t="b">
        <v>0</v>
      </c>
      <c r="G320" s="34" t="s">
        <v>1435</v>
      </c>
    </row>
    <row r="321" spans="1:7" x14ac:dyDescent="0.2">
      <c r="A321" s="32">
        <v>320</v>
      </c>
      <c r="B321" s="34" t="s">
        <v>1510</v>
      </c>
      <c r="C321" s="36">
        <f ca="1">TODAY()-1545</f>
        <v>43091</v>
      </c>
      <c r="D321" s="36">
        <f ca="1">TODAY()-1543</f>
        <v>43093</v>
      </c>
      <c r="E321" s="37">
        <v>114900</v>
      </c>
      <c r="F321" s="31" t="b">
        <v>0</v>
      </c>
      <c r="G321" s="34" t="s">
        <v>1435</v>
      </c>
    </row>
    <row r="322" spans="1:7" x14ac:dyDescent="0.2">
      <c r="A322" s="32">
        <v>321</v>
      </c>
      <c r="B322" s="34" t="s">
        <v>1441</v>
      </c>
      <c r="C322" s="36">
        <f ca="1">TODAY()-1534</f>
        <v>43102</v>
      </c>
      <c r="D322" s="36">
        <f ca="1">TODAY()-1532</f>
        <v>43104</v>
      </c>
      <c r="E322" s="37">
        <v>113200</v>
      </c>
      <c r="F322" s="31" t="b">
        <v>1</v>
      </c>
      <c r="G322" s="34" t="s">
        <v>1440</v>
      </c>
    </row>
    <row r="323" spans="1:7" x14ac:dyDescent="0.2">
      <c r="A323" s="32">
        <v>322</v>
      </c>
      <c r="B323" s="34" t="s">
        <v>1460</v>
      </c>
      <c r="C323" s="36">
        <f ca="1">TODAY()-1524</f>
        <v>43112</v>
      </c>
      <c r="D323" s="36">
        <f ca="1">TODAY()-1524</f>
        <v>43112</v>
      </c>
      <c r="E323" s="37">
        <v>104400</v>
      </c>
      <c r="F323" s="31" t="b">
        <v>1</v>
      </c>
      <c r="G323" s="34" t="s">
        <v>1440</v>
      </c>
    </row>
    <row r="324" spans="1:7" x14ac:dyDescent="0.2">
      <c r="A324" s="32">
        <v>323</v>
      </c>
      <c r="B324" s="34" t="s">
        <v>1509</v>
      </c>
      <c r="C324" s="36">
        <f ca="1">TODAY()-1524</f>
        <v>43112</v>
      </c>
      <c r="D324" s="36">
        <f ca="1">TODAY()-1513</f>
        <v>43123</v>
      </c>
      <c r="E324" s="37">
        <v>576900</v>
      </c>
      <c r="F324" s="31" t="b">
        <v>1</v>
      </c>
      <c r="G324" s="34" t="s">
        <v>1443</v>
      </c>
    </row>
    <row r="325" spans="1:7" x14ac:dyDescent="0.2">
      <c r="A325" s="32">
        <v>324</v>
      </c>
      <c r="B325" s="34" t="s">
        <v>1501</v>
      </c>
      <c r="C325" s="36">
        <f ca="1">TODAY()-1504</f>
        <v>43132</v>
      </c>
      <c r="D325" s="36">
        <f ca="1">TODAY()-1503</f>
        <v>43133</v>
      </c>
      <c r="E325" s="37">
        <v>78500</v>
      </c>
      <c r="F325" s="31" t="b">
        <v>1</v>
      </c>
      <c r="G325" s="34" t="s">
        <v>1451</v>
      </c>
    </row>
    <row r="326" spans="1:7" x14ac:dyDescent="0.2">
      <c r="A326" s="32">
        <v>325</v>
      </c>
      <c r="B326" s="34" t="s">
        <v>1436</v>
      </c>
      <c r="C326" s="36">
        <f ca="1">TODAY()-1505</f>
        <v>43131</v>
      </c>
      <c r="D326" s="36">
        <f ca="1">TODAY()-1495</f>
        <v>43141</v>
      </c>
      <c r="E326" s="37">
        <v>793400</v>
      </c>
      <c r="F326" s="31" t="b">
        <v>1</v>
      </c>
      <c r="G326" s="34" t="s">
        <v>1435</v>
      </c>
    </row>
    <row r="327" spans="1:7" x14ac:dyDescent="0.2">
      <c r="A327" s="32">
        <v>326</v>
      </c>
      <c r="B327" s="34" t="s">
        <v>1503</v>
      </c>
      <c r="C327" s="36">
        <f ca="1">TODAY()-1483</f>
        <v>43153</v>
      </c>
      <c r="D327" s="36">
        <f ca="1">TODAY()-1480</f>
        <v>43156</v>
      </c>
      <c r="E327" s="37">
        <v>187900</v>
      </c>
      <c r="F327" s="31" t="b">
        <v>1</v>
      </c>
      <c r="G327" s="34" t="s">
        <v>1451</v>
      </c>
    </row>
    <row r="328" spans="1:7" x14ac:dyDescent="0.2">
      <c r="A328" s="32">
        <v>327</v>
      </c>
      <c r="B328" s="34" t="s">
        <v>1473</v>
      </c>
      <c r="C328" s="36">
        <f ca="1">TODAY()-1480</f>
        <v>43156</v>
      </c>
      <c r="D328" s="36">
        <f ca="1">TODAY()-1468</f>
        <v>43168</v>
      </c>
      <c r="E328" s="37">
        <v>850500</v>
      </c>
      <c r="F328" s="31" t="b">
        <v>1</v>
      </c>
      <c r="G328" s="34" t="s">
        <v>1440</v>
      </c>
    </row>
    <row r="329" spans="1:7" x14ac:dyDescent="0.2">
      <c r="A329" s="32">
        <v>328</v>
      </c>
      <c r="B329" s="34" t="s">
        <v>1498</v>
      </c>
      <c r="C329" s="36">
        <f ca="1">TODAY()-1463</f>
        <v>43173</v>
      </c>
      <c r="D329" s="36">
        <f ca="1">TODAY()-1463</f>
        <v>43173</v>
      </c>
      <c r="E329" s="37">
        <v>77800</v>
      </c>
      <c r="F329" s="31" t="b">
        <v>0</v>
      </c>
      <c r="G329" s="34" t="s">
        <v>1435</v>
      </c>
    </row>
    <row r="330" spans="1:7" x14ac:dyDescent="0.2">
      <c r="A330" s="32">
        <v>329</v>
      </c>
      <c r="B330" s="34" t="s">
        <v>1472</v>
      </c>
      <c r="C330" s="36">
        <f ca="1">TODAY()-1457</f>
        <v>43179</v>
      </c>
      <c r="D330" s="36">
        <f ca="1">TODAY()-1455</f>
        <v>43181</v>
      </c>
      <c r="E330" s="37">
        <v>196400</v>
      </c>
      <c r="F330" s="31" t="b">
        <v>1</v>
      </c>
      <c r="G330" s="34" t="s">
        <v>1443</v>
      </c>
    </row>
    <row r="331" spans="1:7" x14ac:dyDescent="0.2">
      <c r="A331" s="32">
        <v>330</v>
      </c>
      <c r="B331" s="34" t="s">
        <v>1508</v>
      </c>
      <c r="C331" s="36">
        <f ca="1">TODAY()-1445</f>
        <v>43191</v>
      </c>
      <c r="D331" s="36">
        <f ca="1">TODAY()-1444</f>
        <v>43192</v>
      </c>
      <c r="E331" s="37">
        <v>146000</v>
      </c>
      <c r="F331" s="31" t="b">
        <v>1</v>
      </c>
      <c r="G331" s="34" t="s">
        <v>1435</v>
      </c>
    </row>
    <row r="332" spans="1:7" x14ac:dyDescent="0.2">
      <c r="A332" s="32">
        <v>331</v>
      </c>
      <c r="B332" s="34" t="s">
        <v>1507</v>
      </c>
      <c r="C332" s="36">
        <f ca="1">TODAY()-1420</f>
        <v>43216</v>
      </c>
      <c r="D332" s="36">
        <f ca="1">TODAY()-1419</f>
        <v>43217</v>
      </c>
      <c r="E332" s="37">
        <v>95000</v>
      </c>
      <c r="F332" s="31" t="b">
        <v>0</v>
      </c>
      <c r="G332" s="34" t="s">
        <v>1451</v>
      </c>
    </row>
    <row r="333" spans="1:7" x14ac:dyDescent="0.2">
      <c r="A333" s="32">
        <v>332</v>
      </c>
      <c r="B333" s="34" t="s">
        <v>1506</v>
      </c>
      <c r="C333" s="36">
        <f ca="1">TODAY()-1413</f>
        <v>43223</v>
      </c>
      <c r="D333" s="36">
        <f ca="1">TODAY()-1412</f>
        <v>43224</v>
      </c>
      <c r="E333" s="37">
        <v>56000</v>
      </c>
      <c r="F333" s="31" t="b">
        <v>0</v>
      </c>
      <c r="G333" s="34" t="s">
        <v>1440</v>
      </c>
    </row>
    <row r="334" spans="1:7" x14ac:dyDescent="0.2">
      <c r="A334" s="32">
        <v>333</v>
      </c>
      <c r="B334" s="34" t="s">
        <v>1460</v>
      </c>
      <c r="C334" s="36">
        <f ca="1">TODAY()-1402</f>
        <v>43234</v>
      </c>
      <c r="D334" s="36">
        <f ca="1">TODAY()-1401</f>
        <v>43235</v>
      </c>
      <c r="E334" s="37">
        <v>68400</v>
      </c>
      <c r="F334" s="31" t="b">
        <v>1</v>
      </c>
      <c r="G334" s="34" t="s">
        <v>1440</v>
      </c>
    </row>
    <row r="335" spans="1:7" x14ac:dyDescent="0.2">
      <c r="A335" s="32">
        <v>334</v>
      </c>
      <c r="B335" s="34" t="s">
        <v>1502</v>
      </c>
      <c r="C335" s="36">
        <f ca="1">TODAY()-1397</f>
        <v>43239</v>
      </c>
      <c r="D335" s="36">
        <f ca="1">TODAY()-1386</f>
        <v>43250</v>
      </c>
      <c r="E335" s="37">
        <v>582700</v>
      </c>
      <c r="F335" s="31" t="b">
        <v>1</v>
      </c>
      <c r="G335" s="34" t="s">
        <v>1451</v>
      </c>
    </row>
    <row r="336" spans="1:7" x14ac:dyDescent="0.2">
      <c r="A336" s="32">
        <v>335</v>
      </c>
      <c r="B336" s="34" t="s">
        <v>1483</v>
      </c>
      <c r="C336" s="36">
        <f ca="1">TODAY()-1371</f>
        <v>43265</v>
      </c>
      <c r="D336" s="36">
        <f ca="1">TODAY()-1370</f>
        <v>43266</v>
      </c>
      <c r="E336" s="37">
        <v>93300</v>
      </c>
      <c r="F336" s="31" t="b">
        <v>0</v>
      </c>
      <c r="G336" s="34" t="s">
        <v>1435</v>
      </c>
    </row>
    <row r="337" spans="1:7" x14ac:dyDescent="0.2">
      <c r="A337" s="32">
        <v>336</v>
      </c>
      <c r="B337" s="34" t="s">
        <v>1505</v>
      </c>
      <c r="C337" s="36">
        <f ca="1">TODAY()-1374</f>
        <v>43262</v>
      </c>
      <c r="D337" s="36">
        <f ca="1">TODAY()-1366</f>
        <v>43270</v>
      </c>
      <c r="E337" s="37">
        <v>728200</v>
      </c>
      <c r="F337" s="31" t="b">
        <v>1</v>
      </c>
      <c r="G337" s="34" t="s">
        <v>1435</v>
      </c>
    </row>
    <row r="338" spans="1:7" x14ac:dyDescent="0.2">
      <c r="A338" s="32">
        <v>337</v>
      </c>
      <c r="B338" s="34" t="s">
        <v>1479</v>
      </c>
      <c r="C338" s="36">
        <f ca="1">TODAY()-1357</f>
        <v>43279</v>
      </c>
      <c r="D338" s="36">
        <f ca="1">TODAY()-1357</f>
        <v>43279</v>
      </c>
      <c r="E338" s="37">
        <v>100100</v>
      </c>
      <c r="F338" s="31" t="b">
        <v>0</v>
      </c>
      <c r="G338" s="34" t="s">
        <v>1435</v>
      </c>
    </row>
    <row r="339" spans="1:7" x14ac:dyDescent="0.2">
      <c r="A339" s="32">
        <v>338</v>
      </c>
      <c r="B339" s="34" t="s">
        <v>1504</v>
      </c>
      <c r="C339" s="36">
        <f ca="1">TODAY()-1348</f>
        <v>43288</v>
      </c>
      <c r="D339" s="36">
        <f ca="1">TODAY()-1348</f>
        <v>43288</v>
      </c>
      <c r="E339" s="37">
        <v>188300</v>
      </c>
      <c r="F339" s="31" t="b">
        <v>1</v>
      </c>
      <c r="G339" s="34" t="s">
        <v>1435</v>
      </c>
    </row>
    <row r="340" spans="1:7" x14ac:dyDescent="0.2">
      <c r="A340" s="32">
        <v>339</v>
      </c>
      <c r="B340" s="34" t="s">
        <v>1503</v>
      </c>
      <c r="C340" s="36">
        <f ca="1">TODAY()-1345</f>
        <v>43291</v>
      </c>
      <c r="D340" s="36">
        <f ca="1">TODAY()-1338</f>
        <v>43298</v>
      </c>
      <c r="E340" s="37">
        <v>538500</v>
      </c>
      <c r="F340" s="31" t="b">
        <v>0</v>
      </c>
      <c r="G340" s="34" t="s">
        <v>1451</v>
      </c>
    </row>
    <row r="341" spans="1:7" x14ac:dyDescent="0.2">
      <c r="A341" s="32">
        <v>340</v>
      </c>
      <c r="B341" s="34" t="s">
        <v>1486</v>
      </c>
      <c r="C341" s="36">
        <f ca="1">TODAY()-1325</f>
        <v>43311</v>
      </c>
      <c r="D341" s="36">
        <f ca="1">TODAY()-1325</f>
        <v>43311</v>
      </c>
      <c r="E341" s="37">
        <v>169800</v>
      </c>
      <c r="F341" s="31" t="b">
        <v>1</v>
      </c>
      <c r="G341" s="34" t="s">
        <v>1443</v>
      </c>
    </row>
    <row r="342" spans="1:7" x14ac:dyDescent="0.2">
      <c r="A342" s="32">
        <v>341</v>
      </c>
      <c r="B342" s="34" t="s">
        <v>1470</v>
      </c>
      <c r="C342" s="36">
        <f ca="1">TODAY()-1311</f>
        <v>43325</v>
      </c>
      <c r="D342" s="36">
        <f ca="1">TODAY()-1310</f>
        <v>43326</v>
      </c>
      <c r="E342" s="37">
        <v>58100</v>
      </c>
      <c r="F342" s="31" t="b">
        <v>1</v>
      </c>
      <c r="G342" s="34" t="s">
        <v>1440</v>
      </c>
    </row>
    <row r="343" spans="1:7" x14ac:dyDescent="0.2">
      <c r="A343" s="32">
        <v>342</v>
      </c>
      <c r="B343" s="34" t="s">
        <v>1489</v>
      </c>
      <c r="C343" s="36">
        <f ca="1">TODAY()-1294</f>
        <v>43342</v>
      </c>
      <c r="D343" s="36">
        <f ca="1">TODAY()-1294</f>
        <v>43342</v>
      </c>
      <c r="E343" s="37">
        <v>172300</v>
      </c>
      <c r="F343" s="31" t="b">
        <v>1</v>
      </c>
      <c r="G343" s="34" t="s">
        <v>1440</v>
      </c>
    </row>
    <row r="344" spans="1:7" x14ac:dyDescent="0.2">
      <c r="A344" s="32">
        <v>343</v>
      </c>
      <c r="B344" s="34" t="s">
        <v>1502</v>
      </c>
      <c r="C344" s="36">
        <f ca="1">TODAY()-1280</f>
        <v>43356</v>
      </c>
      <c r="D344" s="36">
        <f ca="1">TODAY()-1279</f>
        <v>43357</v>
      </c>
      <c r="E344" s="37">
        <v>217500</v>
      </c>
      <c r="F344" s="31" t="b">
        <v>0</v>
      </c>
      <c r="G344" s="34" t="s">
        <v>1451</v>
      </c>
    </row>
    <row r="345" spans="1:7" x14ac:dyDescent="0.2">
      <c r="A345" s="32">
        <v>344</v>
      </c>
      <c r="B345" s="34" t="s">
        <v>1469</v>
      </c>
      <c r="C345" s="36">
        <f ca="1">TODAY()-1272</f>
        <v>43364</v>
      </c>
      <c r="D345" s="36">
        <f ca="1">TODAY()-1269</f>
        <v>43367</v>
      </c>
      <c r="E345" s="37">
        <v>109000</v>
      </c>
      <c r="F345" s="31" t="b">
        <v>1</v>
      </c>
      <c r="G345" s="34" t="s">
        <v>1440</v>
      </c>
    </row>
    <row r="346" spans="1:7" x14ac:dyDescent="0.2">
      <c r="A346" s="32">
        <v>345</v>
      </c>
      <c r="B346" s="34" t="s">
        <v>1495</v>
      </c>
      <c r="C346" s="36">
        <f ca="1">TODAY()-1260</f>
        <v>43376</v>
      </c>
      <c r="D346" s="36">
        <f ca="1">TODAY()-1259</f>
        <v>43377</v>
      </c>
      <c r="E346" s="37">
        <v>167600</v>
      </c>
      <c r="F346" s="31" t="b">
        <v>1</v>
      </c>
      <c r="G346" s="34" t="s">
        <v>1435</v>
      </c>
    </row>
    <row r="347" spans="1:7" x14ac:dyDescent="0.2">
      <c r="A347" s="32">
        <v>346</v>
      </c>
      <c r="B347" s="34" t="s">
        <v>1481</v>
      </c>
      <c r="C347" s="36">
        <f ca="1">TODAY()-1248</f>
        <v>43388</v>
      </c>
      <c r="D347" s="36">
        <f ca="1">TODAY()-1245</f>
        <v>43391</v>
      </c>
      <c r="E347" s="37">
        <v>100500</v>
      </c>
      <c r="F347" s="31" t="b">
        <v>0</v>
      </c>
      <c r="G347" s="34" t="s">
        <v>1451</v>
      </c>
    </row>
    <row r="348" spans="1:7" x14ac:dyDescent="0.2">
      <c r="A348" s="32">
        <v>347</v>
      </c>
      <c r="B348" s="34" t="s">
        <v>1501</v>
      </c>
      <c r="C348" s="36">
        <f ca="1">TODAY()-1251</f>
        <v>43385</v>
      </c>
      <c r="D348" s="36">
        <f ca="1">TODAY()-1239</f>
        <v>43397</v>
      </c>
      <c r="E348" s="37">
        <v>699200</v>
      </c>
      <c r="F348" s="31" t="b">
        <v>1</v>
      </c>
      <c r="G348" s="34" t="s">
        <v>1451</v>
      </c>
    </row>
    <row r="349" spans="1:7" x14ac:dyDescent="0.2">
      <c r="A349" s="32">
        <v>348</v>
      </c>
      <c r="B349" s="34" t="s">
        <v>1479</v>
      </c>
      <c r="C349" s="36">
        <f ca="1">TODAY()-1228</f>
        <v>43408</v>
      </c>
      <c r="D349" s="36">
        <f ca="1">TODAY()-1226</f>
        <v>43410</v>
      </c>
      <c r="E349" s="37">
        <v>92400</v>
      </c>
      <c r="F349" s="31" t="b">
        <v>0</v>
      </c>
      <c r="G349" s="34" t="s">
        <v>1435</v>
      </c>
    </row>
    <row r="350" spans="1:7" x14ac:dyDescent="0.2">
      <c r="A350" s="32">
        <v>349</v>
      </c>
      <c r="B350" s="34" t="s">
        <v>1472</v>
      </c>
      <c r="C350" s="36">
        <f ca="1">TODAY()-1224</f>
        <v>43412</v>
      </c>
      <c r="D350" s="36">
        <f ca="1">TODAY()-1221</f>
        <v>43415</v>
      </c>
      <c r="E350" s="37">
        <v>112500</v>
      </c>
      <c r="F350" s="31" t="b">
        <v>1</v>
      </c>
      <c r="G350" s="34" t="s">
        <v>1443</v>
      </c>
    </row>
    <row r="351" spans="1:7" x14ac:dyDescent="0.2">
      <c r="A351" s="32">
        <v>350</v>
      </c>
      <c r="B351" s="34" t="s">
        <v>1447</v>
      </c>
      <c r="C351" s="36">
        <f ca="1">TODAY()-1208</f>
        <v>43428</v>
      </c>
      <c r="D351" s="36">
        <f ca="1">TODAY()-1208</f>
        <v>43428</v>
      </c>
      <c r="E351" s="37">
        <v>184100</v>
      </c>
      <c r="F351" s="31" t="b">
        <v>1</v>
      </c>
      <c r="G351" s="34" t="s">
        <v>1440</v>
      </c>
    </row>
    <row r="352" spans="1:7" x14ac:dyDescent="0.2">
      <c r="A352" s="32">
        <v>351</v>
      </c>
      <c r="B352" s="34" t="s">
        <v>1497</v>
      </c>
      <c r="C352" s="36">
        <f ca="1">TODAY()-1199</f>
        <v>43437</v>
      </c>
      <c r="D352" s="36">
        <f ca="1">TODAY()-1196</f>
        <v>43440</v>
      </c>
      <c r="E352" s="37">
        <v>210100</v>
      </c>
      <c r="F352" s="31" t="b">
        <v>0</v>
      </c>
      <c r="G352" s="34" t="s">
        <v>1443</v>
      </c>
    </row>
    <row r="353" spans="1:7" x14ac:dyDescent="0.2">
      <c r="A353" s="32">
        <v>352</v>
      </c>
      <c r="B353" s="34" t="s">
        <v>1484</v>
      </c>
      <c r="C353" s="36">
        <f ca="1">TODAY()-1191</f>
        <v>43445</v>
      </c>
      <c r="D353" s="36">
        <f ca="1">TODAY()-1188</f>
        <v>43448</v>
      </c>
      <c r="E353" s="37">
        <v>167500</v>
      </c>
      <c r="F353" s="31" t="b">
        <v>1</v>
      </c>
      <c r="G353" s="34" t="s">
        <v>1443</v>
      </c>
    </row>
    <row r="354" spans="1:7" x14ac:dyDescent="0.2">
      <c r="A354" s="32">
        <v>353</v>
      </c>
      <c r="B354" s="34" t="s">
        <v>1500</v>
      </c>
      <c r="C354" s="36">
        <f ca="1">TODAY()-1175</f>
        <v>43461</v>
      </c>
      <c r="D354" s="36">
        <f ca="1">TODAY()-1173</f>
        <v>43463</v>
      </c>
      <c r="E354" s="37">
        <v>180100</v>
      </c>
      <c r="F354" s="31" t="b">
        <v>0</v>
      </c>
      <c r="G354" s="34" t="s">
        <v>1451</v>
      </c>
    </row>
    <row r="355" spans="1:7" x14ac:dyDescent="0.2">
      <c r="A355" s="32">
        <v>354</v>
      </c>
      <c r="B355" s="34" t="s">
        <v>1482</v>
      </c>
      <c r="C355" s="36">
        <f ca="1">TODAY()-1165</f>
        <v>43471</v>
      </c>
      <c r="D355" s="36">
        <f ca="1">TODAY()-1153</f>
        <v>43483</v>
      </c>
      <c r="E355" s="37">
        <v>696900</v>
      </c>
      <c r="F355" s="31" t="b">
        <v>1</v>
      </c>
      <c r="G355" s="34" t="s">
        <v>1440</v>
      </c>
    </row>
    <row r="356" spans="1:7" x14ac:dyDescent="0.2">
      <c r="A356" s="32">
        <v>355</v>
      </c>
      <c r="B356" s="34" t="s">
        <v>1499</v>
      </c>
      <c r="C356" s="36">
        <f ca="1">TODAY()-1148</f>
        <v>43488</v>
      </c>
      <c r="D356" s="36">
        <f ca="1">TODAY()-1147</f>
        <v>43489</v>
      </c>
      <c r="E356" s="37">
        <v>62500</v>
      </c>
      <c r="F356" s="31" t="b">
        <v>0</v>
      </c>
      <c r="G356" s="34" t="s">
        <v>1443</v>
      </c>
    </row>
    <row r="357" spans="1:7" x14ac:dyDescent="0.2">
      <c r="A357" s="32">
        <v>356</v>
      </c>
      <c r="B357" s="34" t="s">
        <v>1498</v>
      </c>
      <c r="C357" s="36">
        <f ca="1">TODAY()-1130</f>
        <v>43506</v>
      </c>
      <c r="D357" s="36">
        <f ca="1">TODAY()-1129</f>
        <v>43507</v>
      </c>
      <c r="E357" s="37">
        <v>203500</v>
      </c>
      <c r="F357" s="31" t="b">
        <v>1</v>
      </c>
      <c r="G357" s="34" t="s">
        <v>1435</v>
      </c>
    </row>
    <row r="358" spans="1:7" x14ac:dyDescent="0.2">
      <c r="A358" s="32">
        <v>357</v>
      </c>
      <c r="B358" s="34" t="s">
        <v>1463</v>
      </c>
      <c r="C358" s="36">
        <f ca="1">TODAY()-1113</f>
        <v>43523</v>
      </c>
      <c r="D358" s="36">
        <f ca="1">TODAY()-1112</f>
        <v>43524</v>
      </c>
      <c r="E358" s="37">
        <v>56400</v>
      </c>
      <c r="F358" s="31" t="b">
        <v>0</v>
      </c>
      <c r="G358" s="34" t="s">
        <v>1451</v>
      </c>
    </row>
    <row r="359" spans="1:7" x14ac:dyDescent="0.2">
      <c r="A359" s="32">
        <v>358</v>
      </c>
      <c r="B359" s="34" t="s">
        <v>1441</v>
      </c>
      <c r="C359" s="36">
        <f ca="1">TODAY()-1116</f>
        <v>43520</v>
      </c>
      <c r="D359" s="36">
        <f ca="1">TODAY()-1105</f>
        <v>43531</v>
      </c>
      <c r="E359" s="37">
        <v>815100</v>
      </c>
      <c r="F359" s="31" t="b">
        <v>0</v>
      </c>
      <c r="G359" s="34" t="s">
        <v>1440</v>
      </c>
    </row>
    <row r="360" spans="1:7" x14ac:dyDescent="0.2">
      <c r="A360" s="32">
        <v>359</v>
      </c>
      <c r="B360" s="34" t="s">
        <v>1477</v>
      </c>
      <c r="C360" s="36">
        <f ca="1">TODAY()-1093</f>
        <v>43543</v>
      </c>
      <c r="D360" s="36">
        <f ca="1">TODAY()-1091</f>
        <v>43545</v>
      </c>
      <c r="E360" s="37">
        <v>55500</v>
      </c>
      <c r="F360" s="31" t="b">
        <v>1</v>
      </c>
      <c r="G360" s="34" t="s">
        <v>1443</v>
      </c>
    </row>
    <row r="361" spans="1:7" x14ac:dyDescent="0.2">
      <c r="A361" s="32">
        <v>360</v>
      </c>
      <c r="B361" s="34" t="s">
        <v>1497</v>
      </c>
      <c r="C361" s="36">
        <f ca="1">TODAY()-1084</f>
        <v>43552</v>
      </c>
      <c r="D361" s="36">
        <f ca="1">TODAY()-1083</f>
        <v>43553</v>
      </c>
      <c r="E361" s="37">
        <v>110800</v>
      </c>
      <c r="F361" s="31" t="b">
        <v>1</v>
      </c>
      <c r="G361" s="34" t="s">
        <v>1443</v>
      </c>
    </row>
    <row r="362" spans="1:7" x14ac:dyDescent="0.2">
      <c r="A362" s="32">
        <v>361</v>
      </c>
      <c r="B362" s="34" t="s">
        <v>1496</v>
      </c>
      <c r="C362" s="36">
        <f ca="1">TODAY()-1076</f>
        <v>43560</v>
      </c>
      <c r="D362" s="36">
        <f ca="1">TODAY()-1076</f>
        <v>43560</v>
      </c>
      <c r="E362" s="37">
        <v>135500</v>
      </c>
      <c r="F362" s="31" t="b">
        <v>0</v>
      </c>
      <c r="G362" s="34" t="s">
        <v>1451</v>
      </c>
    </row>
    <row r="363" spans="1:7" x14ac:dyDescent="0.2">
      <c r="A363" s="32">
        <v>362</v>
      </c>
      <c r="B363" s="34" t="s">
        <v>1449</v>
      </c>
      <c r="C363" s="36">
        <f ca="1">TODAY()-1068</f>
        <v>43568</v>
      </c>
      <c r="D363" s="36">
        <f ca="1">TODAY()-1068</f>
        <v>43568</v>
      </c>
      <c r="E363" s="37">
        <v>188000</v>
      </c>
      <c r="F363" s="31" t="b">
        <v>0</v>
      </c>
      <c r="G363" s="34" t="s">
        <v>1440</v>
      </c>
    </row>
    <row r="364" spans="1:7" x14ac:dyDescent="0.2">
      <c r="A364" s="32">
        <v>363</v>
      </c>
      <c r="B364" s="34" t="s">
        <v>1483</v>
      </c>
      <c r="C364" s="36">
        <f ca="1">TODAY()-1067</f>
        <v>43569</v>
      </c>
      <c r="D364" s="36">
        <f ca="1">TODAY()-1057</f>
        <v>43579</v>
      </c>
      <c r="E364" s="37">
        <v>563700</v>
      </c>
      <c r="F364" s="31" t="b">
        <v>1</v>
      </c>
      <c r="G364" s="34" t="s">
        <v>1435</v>
      </c>
    </row>
    <row r="365" spans="1:7" x14ac:dyDescent="0.2">
      <c r="A365" s="32">
        <v>364</v>
      </c>
      <c r="B365" s="34" t="s">
        <v>1495</v>
      </c>
      <c r="C365" s="36">
        <f ca="1">TODAY()-1034</f>
        <v>43602</v>
      </c>
      <c r="D365" s="36">
        <f ca="1">TODAY()-1031</f>
        <v>43605</v>
      </c>
      <c r="E365" s="37">
        <v>180300</v>
      </c>
      <c r="F365" s="31" t="b">
        <v>0</v>
      </c>
      <c r="G365" s="34" t="s">
        <v>1435</v>
      </c>
    </row>
    <row r="366" spans="1:7" x14ac:dyDescent="0.2">
      <c r="A366" s="32">
        <v>365</v>
      </c>
      <c r="B366" s="34" t="s">
        <v>1482</v>
      </c>
      <c r="C366" s="36">
        <f ca="1">TODAY()-1036</f>
        <v>43600</v>
      </c>
      <c r="D366" s="36">
        <f ca="1">TODAY()-1026</f>
        <v>43610</v>
      </c>
      <c r="E366" s="37">
        <v>615000</v>
      </c>
      <c r="F366" s="31" t="b">
        <v>0</v>
      </c>
      <c r="G366" s="34" t="s">
        <v>1440</v>
      </c>
    </row>
    <row r="367" spans="1:7" x14ac:dyDescent="0.2">
      <c r="A367" s="32">
        <v>366</v>
      </c>
      <c r="B367" s="34" t="s">
        <v>1491</v>
      </c>
      <c r="C367" s="36">
        <f ca="1">TODAY()-1013</f>
        <v>43623</v>
      </c>
      <c r="D367" s="36">
        <f ca="1">TODAY()-1012</f>
        <v>43624</v>
      </c>
      <c r="E367" s="37">
        <v>59600</v>
      </c>
      <c r="F367" s="31" t="b">
        <v>0</v>
      </c>
      <c r="G367" s="34" t="s">
        <v>1435</v>
      </c>
    </row>
    <row r="368" spans="1:7" x14ac:dyDescent="0.2">
      <c r="A368" s="32">
        <v>367</v>
      </c>
      <c r="B368" s="34" t="s">
        <v>1465</v>
      </c>
      <c r="C368" s="36">
        <f ca="1">TODAY()-1020</f>
        <v>43616</v>
      </c>
      <c r="D368" s="36">
        <f ca="1">TODAY()-1008</f>
        <v>43628</v>
      </c>
      <c r="E368" s="37">
        <v>738300</v>
      </c>
      <c r="F368" s="31" t="b">
        <v>0</v>
      </c>
      <c r="G368" s="34" t="s">
        <v>1435</v>
      </c>
    </row>
    <row r="369" spans="1:7" x14ac:dyDescent="0.2">
      <c r="A369" s="32">
        <v>368</v>
      </c>
      <c r="B369" s="34" t="s">
        <v>1475</v>
      </c>
      <c r="C369" s="36">
        <f ca="1">TODAY()-991</f>
        <v>43645</v>
      </c>
      <c r="D369" s="36">
        <f ca="1">TODAY()-989</f>
        <v>43647</v>
      </c>
      <c r="E369" s="37">
        <v>212000</v>
      </c>
      <c r="F369" s="31" t="b">
        <v>1</v>
      </c>
      <c r="G369" s="34" t="s">
        <v>1440</v>
      </c>
    </row>
    <row r="370" spans="1:7" x14ac:dyDescent="0.2">
      <c r="A370" s="32">
        <v>369</v>
      </c>
      <c r="B370" s="34" t="s">
        <v>1463</v>
      </c>
      <c r="C370" s="36">
        <f ca="1">TODAY()-978</f>
        <v>43658</v>
      </c>
      <c r="D370" s="36">
        <f ca="1">TODAY()-976</f>
        <v>43660</v>
      </c>
      <c r="E370" s="37">
        <v>55500</v>
      </c>
      <c r="F370" s="31" t="b">
        <v>0</v>
      </c>
      <c r="G370" s="34" t="s">
        <v>1451</v>
      </c>
    </row>
    <row r="371" spans="1:7" x14ac:dyDescent="0.2">
      <c r="A371" s="32">
        <v>370</v>
      </c>
      <c r="B371" s="34" t="s">
        <v>1459</v>
      </c>
      <c r="C371" s="36">
        <f ca="1">TODAY()-969</f>
        <v>43667</v>
      </c>
      <c r="D371" s="36">
        <f ca="1">TODAY()-959</f>
        <v>43677</v>
      </c>
      <c r="E371" s="37">
        <v>591500</v>
      </c>
      <c r="F371" s="31" t="b">
        <v>0</v>
      </c>
      <c r="G371" s="34" t="s">
        <v>1440</v>
      </c>
    </row>
    <row r="372" spans="1:7" x14ac:dyDescent="0.2">
      <c r="A372" s="32">
        <v>371</v>
      </c>
      <c r="B372" s="34" t="s">
        <v>1494</v>
      </c>
      <c r="C372" s="36">
        <f ca="1">TODAY()-954</f>
        <v>43682</v>
      </c>
      <c r="D372" s="36">
        <f ca="1">TODAY()-953</f>
        <v>43683</v>
      </c>
      <c r="E372" s="37">
        <v>142200</v>
      </c>
      <c r="F372" s="31" t="b">
        <v>1</v>
      </c>
      <c r="G372" s="34" t="s">
        <v>1440</v>
      </c>
    </row>
    <row r="373" spans="1:7" x14ac:dyDescent="0.2">
      <c r="A373" s="32">
        <v>372</v>
      </c>
      <c r="B373" s="34" t="s">
        <v>1452</v>
      </c>
      <c r="C373" s="36">
        <f ca="1">TODAY()-958</f>
        <v>43678</v>
      </c>
      <c r="D373" s="36">
        <f ca="1">TODAY()-948</f>
        <v>43688</v>
      </c>
      <c r="E373" s="37">
        <v>649100</v>
      </c>
      <c r="F373" s="31" t="b">
        <v>0</v>
      </c>
      <c r="G373" s="34" t="s">
        <v>1451</v>
      </c>
    </row>
    <row r="374" spans="1:7" x14ac:dyDescent="0.2">
      <c r="A374" s="32">
        <v>373</v>
      </c>
      <c r="B374" s="34" t="s">
        <v>1477</v>
      </c>
      <c r="C374" s="36">
        <f ca="1">TODAY()-937</f>
        <v>43699</v>
      </c>
      <c r="D374" s="36">
        <f ca="1">TODAY()-935</f>
        <v>43701</v>
      </c>
      <c r="E374" s="37">
        <v>73800</v>
      </c>
      <c r="F374" s="31" t="b">
        <v>0</v>
      </c>
      <c r="G374" s="34" t="s">
        <v>1443</v>
      </c>
    </row>
    <row r="375" spans="1:7" x14ac:dyDescent="0.2">
      <c r="A375" s="32">
        <v>374</v>
      </c>
      <c r="B375" s="34" t="s">
        <v>1493</v>
      </c>
      <c r="C375" s="36">
        <f ca="1">TODAY()-929</f>
        <v>43707</v>
      </c>
      <c r="D375" s="36">
        <f ca="1">TODAY()-926</f>
        <v>43710</v>
      </c>
      <c r="E375" s="37">
        <v>118200</v>
      </c>
      <c r="F375" s="31" t="b">
        <v>1</v>
      </c>
      <c r="G375" s="34" t="s">
        <v>1451</v>
      </c>
    </row>
    <row r="376" spans="1:7" x14ac:dyDescent="0.2">
      <c r="A376" s="32">
        <v>375</v>
      </c>
      <c r="B376" s="34" t="s">
        <v>1492</v>
      </c>
      <c r="C376" s="36">
        <f ca="1">TODAY()-926</f>
        <v>43710</v>
      </c>
      <c r="D376" s="36">
        <f ca="1">TODAY()-915</f>
        <v>43721</v>
      </c>
      <c r="E376" s="37">
        <v>886400</v>
      </c>
      <c r="F376" s="31" t="b">
        <v>0</v>
      </c>
      <c r="G376" s="34" t="s">
        <v>1435</v>
      </c>
    </row>
    <row r="377" spans="1:7" x14ac:dyDescent="0.2">
      <c r="A377" s="32">
        <v>376</v>
      </c>
      <c r="B377" s="34" t="s">
        <v>1491</v>
      </c>
      <c r="C377" s="36">
        <f ca="1">TODAY()-898</f>
        <v>43738</v>
      </c>
      <c r="D377" s="36">
        <f ca="1">TODAY()-897</f>
        <v>43739</v>
      </c>
      <c r="E377" s="37">
        <v>185700</v>
      </c>
      <c r="F377" s="31" t="b">
        <v>0</v>
      </c>
      <c r="G377" s="34" t="s">
        <v>1435</v>
      </c>
    </row>
    <row r="378" spans="1:7" x14ac:dyDescent="0.2">
      <c r="A378" s="32">
        <v>377</v>
      </c>
      <c r="B378" s="34" t="s">
        <v>1490</v>
      </c>
      <c r="C378" s="36">
        <f ca="1">TODAY()-900</f>
        <v>43736</v>
      </c>
      <c r="D378" s="36">
        <f ca="1">TODAY()-889</f>
        <v>43747</v>
      </c>
      <c r="E378" s="37">
        <v>783400</v>
      </c>
      <c r="F378" s="31" t="b">
        <v>1</v>
      </c>
      <c r="G378" s="34" t="s">
        <v>1435</v>
      </c>
    </row>
    <row r="379" spans="1:7" x14ac:dyDescent="0.2">
      <c r="A379" s="32">
        <v>378</v>
      </c>
      <c r="B379" s="34" t="s">
        <v>1489</v>
      </c>
      <c r="C379" s="36">
        <f ca="1">TODAY()-872</f>
        <v>43764</v>
      </c>
      <c r="D379" s="36">
        <f ca="1">TODAY()-870</f>
        <v>43766</v>
      </c>
      <c r="E379" s="37">
        <v>66000</v>
      </c>
      <c r="F379" s="31" t="b">
        <v>0</v>
      </c>
      <c r="G379" s="34" t="s">
        <v>1440</v>
      </c>
    </row>
    <row r="380" spans="1:7" x14ac:dyDescent="0.2">
      <c r="A380" s="32">
        <v>379</v>
      </c>
      <c r="B380" s="34" t="s">
        <v>1488</v>
      </c>
      <c r="C380" s="36">
        <f ca="1">TODAY()-863</f>
        <v>43773</v>
      </c>
      <c r="D380" s="36">
        <f ca="1">TODAY()-863</f>
        <v>43773</v>
      </c>
      <c r="E380" s="37">
        <v>156000</v>
      </c>
      <c r="F380" s="31" t="b">
        <v>1</v>
      </c>
      <c r="G380" s="34" t="s">
        <v>1435</v>
      </c>
    </row>
    <row r="381" spans="1:7" x14ac:dyDescent="0.2">
      <c r="A381" s="32">
        <v>380</v>
      </c>
      <c r="B381" s="34" t="s">
        <v>1487</v>
      </c>
      <c r="C381" s="36">
        <f ca="1">TODAY()-865</f>
        <v>43771</v>
      </c>
      <c r="D381" s="36">
        <f ca="1">TODAY()-853</f>
        <v>43783</v>
      </c>
      <c r="E381" s="37">
        <v>762900</v>
      </c>
      <c r="F381" s="31" t="b">
        <v>1</v>
      </c>
      <c r="G381" s="34" t="s">
        <v>1440</v>
      </c>
    </row>
    <row r="382" spans="1:7" x14ac:dyDescent="0.2">
      <c r="A382" s="32">
        <v>381</v>
      </c>
      <c r="B382" s="34" t="s">
        <v>1486</v>
      </c>
      <c r="C382" s="36">
        <f ca="1">TODAY()-845</f>
        <v>43791</v>
      </c>
      <c r="D382" s="36">
        <f ca="1">TODAY()-842</f>
        <v>43794</v>
      </c>
      <c r="E382" s="37">
        <v>86600</v>
      </c>
      <c r="F382" s="31" t="b">
        <v>0</v>
      </c>
      <c r="G382" s="34" t="s">
        <v>1443</v>
      </c>
    </row>
    <row r="383" spans="1:7" x14ac:dyDescent="0.2">
      <c r="A383" s="32">
        <v>382</v>
      </c>
      <c r="B383" s="34" t="s">
        <v>1459</v>
      </c>
      <c r="C383" s="36">
        <f ca="1">TODAY()-826</f>
        <v>43810</v>
      </c>
      <c r="D383" s="36">
        <f ca="1">TODAY()-824</f>
        <v>43812</v>
      </c>
      <c r="E383" s="37">
        <v>71300</v>
      </c>
      <c r="F383" s="31" t="b">
        <v>0</v>
      </c>
      <c r="G383" s="34" t="s">
        <v>1440</v>
      </c>
    </row>
    <row r="384" spans="1:7" x14ac:dyDescent="0.2">
      <c r="A384" s="32">
        <v>383</v>
      </c>
      <c r="B384" s="34" t="s">
        <v>1485</v>
      </c>
      <c r="C384" s="36">
        <f ca="1">TODAY()-811</f>
        <v>43825</v>
      </c>
      <c r="D384" s="36">
        <f ca="1">TODAY()-810</f>
        <v>43826</v>
      </c>
      <c r="E384" s="37">
        <v>62900</v>
      </c>
      <c r="F384" s="31" t="b">
        <v>1</v>
      </c>
      <c r="G384" s="34" t="s">
        <v>1443</v>
      </c>
    </row>
    <row r="385" spans="1:7" x14ac:dyDescent="0.2">
      <c r="A385" s="32">
        <v>384</v>
      </c>
      <c r="B385" s="34" t="s">
        <v>1484</v>
      </c>
      <c r="C385" s="36">
        <f ca="1">TODAY()-801</f>
        <v>43835</v>
      </c>
      <c r="D385" s="36">
        <f ca="1">TODAY()-801</f>
        <v>43835</v>
      </c>
      <c r="E385" s="37">
        <v>126500</v>
      </c>
      <c r="F385" s="31" t="b">
        <v>1</v>
      </c>
      <c r="G385" s="34" t="s">
        <v>1443</v>
      </c>
    </row>
    <row r="386" spans="1:7" x14ac:dyDescent="0.2">
      <c r="A386" s="32">
        <v>385</v>
      </c>
      <c r="B386" s="34" t="s">
        <v>1483</v>
      </c>
      <c r="C386" s="36">
        <f ca="1">TODAY()-798</f>
        <v>43838</v>
      </c>
      <c r="D386" s="36">
        <f ca="1">TODAY()-790</f>
        <v>43846</v>
      </c>
      <c r="E386" s="37">
        <v>828900</v>
      </c>
      <c r="F386" s="31" t="b">
        <v>0</v>
      </c>
      <c r="G386" s="34" t="s">
        <v>1435</v>
      </c>
    </row>
    <row r="387" spans="1:7" x14ac:dyDescent="0.2">
      <c r="A387" s="32">
        <v>386</v>
      </c>
      <c r="B387" s="34" t="s">
        <v>1447</v>
      </c>
      <c r="C387" s="36">
        <f ca="1">TODAY()-780</f>
        <v>43856</v>
      </c>
      <c r="D387" s="36">
        <f ca="1">TODAY()-778</f>
        <v>43858</v>
      </c>
      <c r="E387" s="37">
        <v>81400</v>
      </c>
      <c r="F387" s="31" t="b">
        <v>1</v>
      </c>
      <c r="G387" s="34" t="s">
        <v>1440</v>
      </c>
    </row>
    <row r="388" spans="1:7" x14ac:dyDescent="0.2">
      <c r="A388" s="32">
        <v>387</v>
      </c>
      <c r="B388" s="34" t="s">
        <v>1476</v>
      </c>
      <c r="C388" s="36">
        <f ca="1">TODAY()-764</f>
        <v>43872</v>
      </c>
      <c r="D388" s="36">
        <f ca="1">TODAY()-763</f>
        <v>43873</v>
      </c>
      <c r="E388" s="37">
        <v>67100</v>
      </c>
      <c r="F388" s="31" t="b">
        <v>1</v>
      </c>
      <c r="G388" s="34" t="s">
        <v>1435</v>
      </c>
    </row>
    <row r="389" spans="1:7" x14ac:dyDescent="0.2">
      <c r="A389" s="32">
        <v>388</v>
      </c>
      <c r="B389" s="34" t="s">
        <v>1449</v>
      </c>
      <c r="C389" s="36">
        <f ca="1">TODAY()-759</f>
        <v>43877</v>
      </c>
      <c r="D389" s="36">
        <f ca="1">TODAY()-759</f>
        <v>43877</v>
      </c>
      <c r="E389" s="37">
        <v>143100</v>
      </c>
      <c r="F389" s="31" t="b">
        <v>0</v>
      </c>
      <c r="G389" s="34" t="s">
        <v>1440</v>
      </c>
    </row>
    <row r="390" spans="1:7" x14ac:dyDescent="0.2">
      <c r="A390" s="32">
        <v>389</v>
      </c>
      <c r="B390" s="34" t="s">
        <v>1482</v>
      </c>
      <c r="C390" s="36">
        <f ca="1">TODAY()-745</f>
        <v>43891</v>
      </c>
      <c r="D390" s="36">
        <f ca="1">TODAY()-735</f>
        <v>43901</v>
      </c>
      <c r="E390" s="37">
        <v>763200</v>
      </c>
      <c r="F390" s="31" t="b">
        <v>0</v>
      </c>
      <c r="G390" s="34" t="s">
        <v>1440</v>
      </c>
    </row>
    <row r="391" spans="1:7" x14ac:dyDescent="0.2">
      <c r="A391" s="32">
        <v>390</v>
      </c>
      <c r="B391" s="34" t="s">
        <v>1481</v>
      </c>
      <c r="C391" s="36">
        <f ca="1">TODAY()-721</f>
        <v>43915</v>
      </c>
      <c r="D391" s="36">
        <f ca="1">TODAY()-720</f>
        <v>43916</v>
      </c>
      <c r="E391" s="37">
        <v>133800</v>
      </c>
      <c r="F391" s="31" t="b">
        <v>0</v>
      </c>
      <c r="G391" s="34" t="s">
        <v>1451</v>
      </c>
    </row>
    <row r="392" spans="1:7" x14ac:dyDescent="0.2">
      <c r="A392" s="32">
        <v>391</v>
      </c>
      <c r="B392" s="34" t="s">
        <v>1480</v>
      </c>
      <c r="C392" s="36">
        <f ca="1">TODAY()-703</f>
        <v>43933</v>
      </c>
      <c r="D392" s="36">
        <f ca="1">TODAY()-703</f>
        <v>43933</v>
      </c>
      <c r="E392" s="37">
        <v>122900</v>
      </c>
      <c r="F392" s="31" t="b">
        <v>1</v>
      </c>
      <c r="G392" s="34" t="s">
        <v>1435</v>
      </c>
    </row>
    <row r="393" spans="1:7" x14ac:dyDescent="0.2">
      <c r="A393" s="32">
        <v>392</v>
      </c>
      <c r="B393" s="34" t="s">
        <v>1470</v>
      </c>
      <c r="C393" s="36">
        <f ca="1">TODAY()-690</f>
        <v>43946</v>
      </c>
      <c r="D393" s="36">
        <f ca="1">TODAY()-689</f>
        <v>43947</v>
      </c>
      <c r="E393" s="37">
        <v>86200</v>
      </c>
      <c r="F393" s="31" t="b">
        <v>0</v>
      </c>
      <c r="G393" s="34" t="s">
        <v>1440</v>
      </c>
    </row>
    <row r="394" spans="1:7" x14ac:dyDescent="0.2">
      <c r="A394" s="32">
        <v>393</v>
      </c>
      <c r="B394" s="34" t="s">
        <v>1458</v>
      </c>
      <c r="C394" s="36">
        <f ca="1">TODAY()-674</f>
        <v>43962</v>
      </c>
      <c r="D394" s="36">
        <f ca="1">TODAY()-674</f>
        <v>43962</v>
      </c>
      <c r="E394" s="37">
        <v>214900</v>
      </c>
      <c r="F394" s="31" t="b">
        <v>1</v>
      </c>
      <c r="G394" s="34" t="s">
        <v>1435</v>
      </c>
    </row>
    <row r="395" spans="1:7" x14ac:dyDescent="0.2">
      <c r="A395" s="32">
        <v>394</v>
      </c>
      <c r="B395" s="34" t="s">
        <v>1465</v>
      </c>
      <c r="C395" s="36">
        <f ca="1">TODAY()-670</f>
        <v>43966</v>
      </c>
      <c r="D395" s="36">
        <f ca="1">TODAY()-662</f>
        <v>43974</v>
      </c>
      <c r="E395" s="37">
        <v>683200</v>
      </c>
      <c r="F395" s="31" t="b">
        <v>0</v>
      </c>
      <c r="G395" s="34" t="s">
        <v>1435</v>
      </c>
    </row>
    <row r="396" spans="1:7" x14ac:dyDescent="0.2">
      <c r="A396" s="32">
        <v>395</v>
      </c>
      <c r="B396" s="34" t="s">
        <v>1452</v>
      </c>
      <c r="C396" s="36">
        <f ca="1">TODAY()-661</f>
        <v>43975</v>
      </c>
      <c r="D396" s="36">
        <f ca="1">TODAY()-652</f>
        <v>43984</v>
      </c>
      <c r="E396" s="37">
        <v>860300</v>
      </c>
      <c r="F396" s="31" t="b">
        <v>0</v>
      </c>
      <c r="G396" s="34" t="s">
        <v>1451</v>
      </c>
    </row>
    <row r="397" spans="1:7" x14ac:dyDescent="0.2">
      <c r="A397" s="32">
        <v>396</v>
      </c>
      <c r="B397" s="34" t="s">
        <v>1479</v>
      </c>
      <c r="C397" s="36">
        <f ca="1">TODAY()-644</f>
        <v>43992</v>
      </c>
      <c r="D397" s="36">
        <f ca="1">TODAY()-644</f>
        <v>43992</v>
      </c>
      <c r="E397" s="37">
        <v>133300</v>
      </c>
      <c r="F397" s="31" t="b">
        <v>1</v>
      </c>
      <c r="G397" s="34" t="s">
        <v>1435</v>
      </c>
    </row>
    <row r="398" spans="1:7" x14ac:dyDescent="0.2">
      <c r="A398" s="32">
        <v>397</v>
      </c>
      <c r="B398" s="34" t="s">
        <v>1478</v>
      </c>
      <c r="C398" s="36">
        <f ca="1">TODAY()-639</f>
        <v>43997</v>
      </c>
      <c r="D398" s="36">
        <f ca="1">TODAY()-639</f>
        <v>43997</v>
      </c>
      <c r="E398" s="37">
        <v>158700</v>
      </c>
      <c r="F398" s="31" t="b">
        <v>0</v>
      </c>
      <c r="G398" s="34" t="s">
        <v>1438</v>
      </c>
    </row>
    <row r="399" spans="1:7" x14ac:dyDescent="0.2">
      <c r="A399" s="32">
        <v>398</v>
      </c>
      <c r="B399" s="34" t="s">
        <v>1477</v>
      </c>
      <c r="C399" s="36">
        <f ca="1">TODAY()-634</f>
        <v>44002</v>
      </c>
      <c r="D399" s="36">
        <f ca="1">TODAY()-632</f>
        <v>44004</v>
      </c>
      <c r="E399" s="37">
        <v>137700</v>
      </c>
      <c r="F399" s="31" t="b">
        <v>1</v>
      </c>
      <c r="G399" s="34" t="s">
        <v>1443</v>
      </c>
    </row>
    <row r="400" spans="1:7" x14ac:dyDescent="0.2">
      <c r="A400" s="32">
        <v>399</v>
      </c>
      <c r="B400" s="34" t="s">
        <v>1476</v>
      </c>
      <c r="C400" s="36">
        <f ca="1">TODAY()-623</f>
        <v>44013</v>
      </c>
      <c r="D400" s="36">
        <f ca="1">TODAY()-623</f>
        <v>44013</v>
      </c>
      <c r="E400" s="37">
        <v>128700</v>
      </c>
      <c r="F400" s="31" t="b">
        <v>1</v>
      </c>
      <c r="G400" s="34" t="s">
        <v>1435</v>
      </c>
    </row>
    <row r="401" spans="1:7" x14ac:dyDescent="0.2">
      <c r="A401" s="32">
        <v>400</v>
      </c>
      <c r="B401" s="34" t="s">
        <v>1442</v>
      </c>
      <c r="C401" s="36">
        <f ca="1">TODAY()-616</f>
        <v>44020</v>
      </c>
      <c r="D401" s="36">
        <f ca="1">TODAY()-609</f>
        <v>44027</v>
      </c>
      <c r="E401" s="37">
        <v>520400</v>
      </c>
      <c r="F401" s="31" t="b">
        <v>0</v>
      </c>
      <c r="G401" s="34" t="s">
        <v>1438</v>
      </c>
    </row>
    <row r="402" spans="1:7" x14ac:dyDescent="0.2">
      <c r="A402" s="32">
        <v>401</v>
      </c>
      <c r="B402" s="34" t="s">
        <v>1475</v>
      </c>
      <c r="C402" s="36">
        <f ca="1">TODAY()-598</f>
        <v>44038</v>
      </c>
      <c r="D402" s="36">
        <f ca="1">TODAY()-595</f>
        <v>44041</v>
      </c>
      <c r="E402" s="37">
        <v>55800</v>
      </c>
      <c r="F402" s="31" t="b">
        <v>1</v>
      </c>
      <c r="G402" s="34" t="s">
        <v>1440</v>
      </c>
    </row>
    <row r="403" spans="1:7" x14ac:dyDescent="0.2">
      <c r="A403" s="32">
        <v>402</v>
      </c>
      <c r="B403" s="34" t="s">
        <v>1474</v>
      </c>
      <c r="C403" s="36">
        <f ca="1">TODAY()-586</f>
        <v>44050</v>
      </c>
      <c r="D403" s="36">
        <f ca="1">TODAY()-578</f>
        <v>44058</v>
      </c>
      <c r="E403" s="37">
        <v>829400</v>
      </c>
      <c r="F403" s="31" t="b">
        <v>1</v>
      </c>
      <c r="G403" s="34" t="s">
        <v>1438</v>
      </c>
    </row>
    <row r="404" spans="1:7" x14ac:dyDescent="0.2">
      <c r="A404" s="32">
        <v>403</v>
      </c>
      <c r="B404" s="34" t="s">
        <v>1473</v>
      </c>
      <c r="C404" s="36">
        <f ca="1">TODAY()-552</f>
        <v>44084</v>
      </c>
      <c r="D404" s="36">
        <f ca="1">TODAY()-549</f>
        <v>44087</v>
      </c>
      <c r="E404" s="37">
        <v>117500</v>
      </c>
      <c r="F404" s="31" t="b">
        <v>0</v>
      </c>
      <c r="G404" s="34" t="s">
        <v>1440</v>
      </c>
    </row>
    <row r="405" spans="1:7" x14ac:dyDescent="0.2">
      <c r="A405" s="32">
        <v>404</v>
      </c>
      <c r="B405" s="34" t="s">
        <v>1472</v>
      </c>
      <c r="C405" s="36">
        <f ca="1">TODAY()-543</f>
        <v>44093</v>
      </c>
      <c r="D405" s="36">
        <f ca="1">TODAY()-542</f>
        <v>44094</v>
      </c>
      <c r="E405" s="37">
        <v>73700</v>
      </c>
      <c r="F405" s="31" t="b">
        <v>0</v>
      </c>
      <c r="G405" s="34" t="s">
        <v>1443</v>
      </c>
    </row>
    <row r="406" spans="1:7" x14ac:dyDescent="0.2">
      <c r="A406" s="32">
        <v>405</v>
      </c>
      <c r="B406" s="34" t="s">
        <v>1471</v>
      </c>
      <c r="C406" s="36">
        <f ca="1">TODAY()-544</f>
        <v>44092</v>
      </c>
      <c r="D406" s="36">
        <f ca="1">TODAY()-532</f>
        <v>44104</v>
      </c>
      <c r="E406" s="37">
        <v>666800</v>
      </c>
      <c r="F406" s="31" t="b">
        <v>1</v>
      </c>
      <c r="G406" s="34" t="s">
        <v>1435</v>
      </c>
    </row>
    <row r="407" spans="1:7" x14ac:dyDescent="0.2">
      <c r="A407" s="32">
        <v>406</v>
      </c>
      <c r="B407" s="34" t="s">
        <v>1465</v>
      </c>
      <c r="C407" s="36">
        <f ca="1">TODAY()-535</f>
        <v>44101</v>
      </c>
      <c r="D407" s="36">
        <f ca="1">TODAY()-525</f>
        <v>44111</v>
      </c>
      <c r="E407" s="37">
        <v>668500</v>
      </c>
      <c r="F407" s="31" t="b">
        <v>1</v>
      </c>
      <c r="G407" s="34" t="s">
        <v>1435</v>
      </c>
    </row>
    <row r="408" spans="1:7" x14ac:dyDescent="0.2">
      <c r="A408" s="32">
        <v>407</v>
      </c>
      <c r="B408" s="34" t="s">
        <v>1470</v>
      </c>
      <c r="C408" s="36">
        <f ca="1">TODAY()-517</f>
        <v>44119</v>
      </c>
      <c r="D408" s="36">
        <f ca="1">TODAY()-510</f>
        <v>44126</v>
      </c>
      <c r="E408" s="37">
        <v>283300</v>
      </c>
      <c r="F408" s="31" t="b">
        <v>0</v>
      </c>
      <c r="G408" s="34" t="s">
        <v>1440</v>
      </c>
    </row>
    <row r="409" spans="1:7" x14ac:dyDescent="0.2">
      <c r="A409" s="32">
        <v>408</v>
      </c>
      <c r="B409" s="34" t="s">
        <v>1441</v>
      </c>
      <c r="C409" s="36">
        <f ca="1">TODAY()-497</f>
        <v>44139</v>
      </c>
      <c r="D409" s="36">
        <f ca="1">TODAY()-496</f>
        <v>44140</v>
      </c>
      <c r="E409" s="37">
        <v>172900</v>
      </c>
      <c r="F409" s="31" t="b">
        <v>1</v>
      </c>
      <c r="G409" s="34" t="s">
        <v>1440</v>
      </c>
    </row>
    <row r="410" spans="1:7" x14ac:dyDescent="0.2">
      <c r="A410" s="32">
        <v>409</v>
      </c>
      <c r="B410" s="34" t="s">
        <v>1469</v>
      </c>
      <c r="C410" s="36">
        <f ca="1">TODAY()-495</f>
        <v>44141</v>
      </c>
      <c r="D410" s="36">
        <f ca="1">TODAY()-487</f>
        <v>44149</v>
      </c>
      <c r="E410" s="37">
        <v>767500</v>
      </c>
      <c r="F410" s="31" t="b">
        <v>1</v>
      </c>
      <c r="G410" s="34" t="s">
        <v>1440</v>
      </c>
    </row>
    <row r="411" spans="1:7" x14ac:dyDescent="0.2">
      <c r="A411" s="32">
        <v>410</v>
      </c>
      <c r="B411" s="34" t="s">
        <v>1468</v>
      </c>
      <c r="C411" s="36">
        <f ca="1">TODAY()-475</f>
        <v>44161</v>
      </c>
      <c r="D411" s="36">
        <f ca="1">TODAY()-474</f>
        <v>44162</v>
      </c>
      <c r="E411" s="37">
        <v>114600</v>
      </c>
      <c r="F411" s="31" t="b">
        <v>1</v>
      </c>
      <c r="G411" s="34" t="s">
        <v>1440</v>
      </c>
    </row>
    <row r="412" spans="1:7" x14ac:dyDescent="0.2">
      <c r="A412" s="32">
        <v>411</v>
      </c>
      <c r="B412" s="34" t="s">
        <v>1467</v>
      </c>
      <c r="C412" s="36">
        <f ca="1">TODAY()-471</f>
        <v>44165</v>
      </c>
      <c r="D412" s="36">
        <f ca="1">TODAY()-468</f>
        <v>44168</v>
      </c>
      <c r="E412" s="37">
        <v>137800</v>
      </c>
      <c r="F412" s="31" t="b">
        <v>0</v>
      </c>
      <c r="G412" s="34" t="s">
        <v>1451</v>
      </c>
    </row>
    <row r="413" spans="1:7" x14ac:dyDescent="0.2">
      <c r="A413" s="32">
        <v>412</v>
      </c>
      <c r="B413" s="34" t="s">
        <v>1466</v>
      </c>
      <c r="C413" s="36">
        <f ca="1">TODAY()-454</f>
        <v>44182</v>
      </c>
      <c r="D413" s="36">
        <f ca="1">TODAY()-451</f>
        <v>44185</v>
      </c>
      <c r="E413" s="37">
        <v>97600</v>
      </c>
      <c r="F413" s="31" t="b">
        <v>0</v>
      </c>
      <c r="G413" s="34" t="s">
        <v>1451</v>
      </c>
    </row>
    <row r="414" spans="1:7" x14ac:dyDescent="0.2">
      <c r="A414" s="32">
        <v>413</v>
      </c>
      <c r="B414" s="34" t="s">
        <v>1465</v>
      </c>
      <c r="C414" s="36">
        <f ca="1">TODAY()-435</f>
        <v>44201</v>
      </c>
      <c r="D414" s="36">
        <f ca="1">TODAY()-426</f>
        <v>44210</v>
      </c>
      <c r="E414" s="37">
        <v>644900</v>
      </c>
      <c r="F414" s="31" t="b">
        <v>1</v>
      </c>
      <c r="G414" s="34" t="s">
        <v>1435</v>
      </c>
    </row>
    <row r="415" spans="1:7" x14ac:dyDescent="0.2">
      <c r="A415" s="32">
        <v>414</v>
      </c>
      <c r="B415" s="34" t="s">
        <v>1449</v>
      </c>
      <c r="C415" s="36">
        <f ca="1">TODAY()-416</f>
        <v>44220</v>
      </c>
      <c r="D415" s="36">
        <f ca="1">TODAY()-404</f>
        <v>44232</v>
      </c>
      <c r="E415" s="37">
        <v>845600</v>
      </c>
      <c r="F415" s="31" t="b">
        <v>0</v>
      </c>
      <c r="G415" s="34" t="s">
        <v>1440</v>
      </c>
    </row>
    <row r="416" spans="1:7" x14ac:dyDescent="0.2">
      <c r="A416" s="32">
        <v>415</v>
      </c>
      <c r="B416" s="34" t="s">
        <v>1464</v>
      </c>
      <c r="C416" s="36">
        <f ca="1">TODAY()-379</f>
        <v>44257</v>
      </c>
      <c r="D416" s="36">
        <f ca="1">TODAY()-377</f>
        <v>44259</v>
      </c>
      <c r="E416" s="37">
        <v>151900</v>
      </c>
      <c r="F416" s="31" t="b">
        <v>1</v>
      </c>
      <c r="G416" s="34" t="s">
        <v>1440</v>
      </c>
    </row>
    <row r="417" spans="1:7" x14ac:dyDescent="0.2">
      <c r="A417" s="32">
        <v>416</v>
      </c>
      <c r="B417" s="34" t="s">
        <v>1463</v>
      </c>
      <c r="C417" s="36">
        <f ca="1">TODAY()-377</f>
        <v>44259</v>
      </c>
      <c r="D417" s="36">
        <f ca="1">TODAY()-366</f>
        <v>44270</v>
      </c>
      <c r="E417" s="37">
        <v>815200</v>
      </c>
      <c r="F417" s="31" t="b">
        <v>1</v>
      </c>
      <c r="G417" s="34" t="s">
        <v>1451</v>
      </c>
    </row>
    <row r="418" spans="1:7" x14ac:dyDescent="0.2">
      <c r="A418" s="32">
        <v>417</v>
      </c>
      <c r="B418" s="34" t="s">
        <v>1441</v>
      </c>
      <c r="C418" s="36">
        <f ca="1">TODAY()-363</f>
        <v>44273</v>
      </c>
      <c r="D418" s="36">
        <f ca="1">TODAY()-355</f>
        <v>44281</v>
      </c>
      <c r="E418" s="37">
        <v>705500</v>
      </c>
      <c r="F418" s="31" t="b">
        <v>1</v>
      </c>
      <c r="G418" s="34" t="s">
        <v>1440</v>
      </c>
    </row>
    <row r="419" spans="1:7" x14ac:dyDescent="0.2">
      <c r="A419" s="32">
        <v>418</v>
      </c>
      <c r="B419" s="34" t="s">
        <v>1462</v>
      </c>
      <c r="C419" s="36">
        <f ca="1">TODAY()-344</f>
        <v>44292</v>
      </c>
      <c r="D419" s="36">
        <f ca="1">TODAY()-342</f>
        <v>44294</v>
      </c>
      <c r="E419" s="37">
        <v>97500</v>
      </c>
      <c r="F419" s="31" t="b">
        <v>0</v>
      </c>
      <c r="G419" s="34" t="s">
        <v>1435</v>
      </c>
    </row>
    <row r="420" spans="1:7" x14ac:dyDescent="0.2">
      <c r="A420" s="32">
        <v>419</v>
      </c>
      <c r="B420" s="34" t="s">
        <v>1461</v>
      </c>
      <c r="C420" s="36">
        <f ca="1">TODAY()-333</f>
        <v>44303</v>
      </c>
      <c r="D420" s="36">
        <f ca="1">TODAY()-330</f>
        <v>44306</v>
      </c>
      <c r="E420" s="37">
        <v>197100</v>
      </c>
      <c r="F420" s="31" t="b">
        <v>0</v>
      </c>
      <c r="G420" s="34" t="s">
        <v>1438</v>
      </c>
    </row>
    <row r="421" spans="1:7" x14ac:dyDescent="0.2">
      <c r="A421" s="32">
        <v>420</v>
      </c>
      <c r="B421" s="34" t="s">
        <v>1460</v>
      </c>
      <c r="C421" s="36">
        <f ca="1">TODAY()-306</f>
        <v>44330</v>
      </c>
      <c r="D421" s="36">
        <f ca="1">TODAY()-303</f>
        <v>44333</v>
      </c>
      <c r="E421" s="37">
        <v>210100</v>
      </c>
      <c r="F421" s="31" t="b">
        <v>1</v>
      </c>
      <c r="G421" s="34" t="s">
        <v>1440</v>
      </c>
    </row>
    <row r="422" spans="1:7" x14ac:dyDescent="0.2">
      <c r="A422" s="32">
        <v>421</v>
      </c>
      <c r="B422" s="34" t="s">
        <v>1459</v>
      </c>
      <c r="C422" s="36">
        <f ca="1">TODAY()-288</f>
        <v>44348</v>
      </c>
      <c r="D422" s="36">
        <f ca="1">TODAY()-288</f>
        <v>44348</v>
      </c>
      <c r="E422" s="37">
        <v>199600</v>
      </c>
      <c r="F422" s="31" t="b">
        <v>1</v>
      </c>
      <c r="G422" s="34" t="s">
        <v>1440</v>
      </c>
    </row>
    <row r="423" spans="1:7" x14ac:dyDescent="0.2">
      <c r="A423" s="32">
        <v>422</v>
      </c>
      <c r="B423" s="34" t="s">
        <v>1458</v>
      </c>
      <c r="C423" s="36">
        <f ca="1">TODAY()-287</f>
        <v>44349</v>
      </c>
      <c r="D423" s="36">
        <f ca="1">TODAY()-278</f>
        <v>44358</v>
      </c>
      <c r="E423" s="37">
        <v>783700</v>
      </c>
      <c r="F423" s="31" t="b">
        <v>0</v>
      </c>
      <c r="G423" s="34" t="s">
        <v>1435</v>
      </c>
    </row>
    <row r="424" spans="1:7" x14ac:dyDescent="0.2">
      <c r="A424" s="32">
        <v>423</v>
      </c>
      <c r="B424" s="34" t="s">
        <v>1457</v>
      </c>
      <c r="C424" s="36">
        <f ca="1">TODAY()-268</f>
        <v>44368</v>
      </c>
      <c r="D424" s="36">
        <f ca="1">TODAY()-265</f>
        <v>44371</v>
      </c>
      <c r="E424" s="37">
        <v>134900</v>
      </c>
      <c r="F424" s="31" t="b">
        <v>0</v>
      </c>
      <c r="G424" s="34" t="s">
        <v>1438</v>
      </c>
    </row>
    <row r="425" spans="1:7" x14ac:dyDescent="0.2">
      <c r="A425" s="32">
        <v>424</v>
      </c>
      <c r="B425" s="34" t="s">
        <v>1456</v>
      </c>
      <c r="C425" s="36">
        <f ca="1">TODAY()-255</f>
        <v>44381</v>
      </c>
      <c r="D425" s="36">
        <f ca="1">TODAY()-255</f>
        <v>44381</v>
      </c>
      <c r="E425" s="37">
        <v>72800</v>
      </c>
      <c r="F425" s="31" t="b">
        <v>0</v>
      </c>
      <c r="G425" s="34" t="s">
        <v>1443</v>
      </c>
    </row>
    <row r="426" spans="1:7" x14ac:dyDescent="0.2">
      <c r="A426" s="32">
        <v>425</v>
      </c>
      <c r="B426" s="34" t="s">
        <v>1446</v>
      </c>
      <c r="C426" s="36">
        <f ca="1">TODAY()-244</f>
        <v>44392</v>
      </c>
      <c r="D426" s="36">
        <f ca="1">TODAY()-243</f>
        <v>44393</v>
      </c>
      <c r="E426" s="37">
        <v>187900</v>
      </c>
      <c r="F426" s="31" t="b">
        <v>1</v>
      </c>
      <c r="G426" s="34" t="s">
        <v>1443</v>
      </c>
    </row>
    <row r="427" spans="1:7" x14ac:dyDescent="0.2">
      <c r="A427" s="32">
        <v>426</v>
      </c>
      <c r="B427" s="34" t="s">
        <v>1455</v>
      </c>
      <c r="C427" s="36">
        <f ca="1">TODAY()-238</f>
        <v>44398</v>
      </c>
      <c r="D427" s="36">
        <f ca="1">TODAY()-228</f>
        <v>44408</v>
      </c>
      <c r="E427" s="37">
        <v>660800</v>
      </c>
      <c r="F427" s="31" t="b">
        <v>1</v>
      </c>
      <c r="G427" s="34" t="s">
        <v>1435</v>
      </c>
    </row>
    <row r="428" spans="1:7" x14ac:dyDescent="0.2">
      <c r="A428" s="32">
        <v>427</v>
      </c>
      <c r="B428" s="34" t="s">
        <v>1454</v>
      </c>
      <c r="C428" s="36">
        <f ca="1">TODAY()-220</f>
        <v>44416</v>
      </c>
      <c r="D428" s="36">
        <f ca="1">TODAY()-219</f>
        <v>44417</v>
      </c>
      <c r="E428" s="37">
        <v>92700</v>
      </c>
      <c r="F428" s="31" t="b">
        <v>0</v>
      </c>
      <c r="G428" s="34" t="s">
        <v>1438</v>
      </c>
    </row>
    <row r="429" spans="1:7" x14ac:dyDescent="0.2">
      <c r="A429" s="32">
        <v>428</v>
      </c>
      <c r="B429" s="34" t="s">
        <v>1453</v>
      </c>
      <c r="C429" s="36">
        <f ca="1">TODAY()-221</f>
        <v>44415</v>
      </c>
      <c r="D429" s="36">
        <f ca="1">TODAY()-212</f>
        <v>44424</v>
      </c>
      <c r="E429" s="37">
        <v>556000</v>
      </c>
      <c r="F429" s="31" t="b">
        <v>0</v>
      </c>
      <c r="G429" s="34" t="s">
        <v>1443</v>
      </c>
    </row>
    <row r="430" spans="1:7" x14ac:dyDescent="0.2">
      <c r="A430" s="32">
        <v>429</v>
      </c>
      <c r="B430" s="34" t="s">
        <v>1442</v>
      </c>
      <c r="C430" s="36">
        <f ca="1">TODAY()-201</f>
        <v>44435</v>
      </c>
      <c r="D430" s="36">
        <f ca="1">TODAY()-201</f>
        <v>44435</v>
      </c>
      <c r="E430" s="37">
        <v>56300</v>
      </c>
      <c r="F430" s="31" t="b">
        <v>0</v>
      </c>
      <c r="G430" s="34" t="s">
        <v>1438</v>
      </c>
    </row>
    <row r="431" spans="1:7" x14ac:dyDescent="0.2">
      <c r="A431" s="32">
        <v>430</v>
      </c>
      <c r="B431" s="34" t="s">
        <v>1452</v>
      </c>
      <c r="C431" s="36">
        <f ca="1">TODAY()-194</f>
        <v>44442</v>
      </c>
      <c r="D431" s="36">
        <f ca="1">TODAY()-191</f>
        <v>44445</v>
      </c>
      <c r="E431" s="37">
        <v>92500</v>
      </c>
      <c r="F431" s="31" t="b">
        <v>0</v>
      </c>
      <c r="G431" s="34" t="s">
        <v>1451</v>
      </c>
    </row>
    <row r="432" spans="1:7" x14ac:dyDescent="0.2">
      <c r="A432" s="32">
        <v>431</v>
      </c>
      <c r="B432" s="34" t="s">
        <v>1450</v>
      </c>
      <c r="C432" s="36">
        <f ca="1">TODAY()-176</f>
        <v>44460</v>
      </c>
      <c r="D432" s="36">
        <f ca="1">TODAY()-175</f>
        <v>44461</v>
      </c>
      <c r="E432" s="37">
        <v>203200</v>
      </c>
      <c r="F432" s="31" t="b">
        <v>0</v>
      </c>
      <c r="G432" s="34" t="s">
        <v>1440</v>
      </c>
    </row>
    <row r="433" spans="1:7" x14ac:dyDescent="0.2">
      <c r="A433" s="32">
        <v>432</v>
      </c>
      <c r="B433" s="34" t="s">
        <v>1449</v>
      </c>
      <c r="C433" s="36">
        <f ca="1">TODAY()-164</f>
        <v>44472</v>
      </c>
      <c r="D433" s="36">
        <f ca="1">TODAY()-161</f>
        <v>44475</v>
      </c>
      <c r="E433" s="37">
        <v>169200</v>
      </c>
      <c r="F433" s="31" t="b">
        <v>0</v>
      </c>
      <c r="G433" s="34" t="s">
        <v>1440</v>
      </c>
    </row>
    <row r="434" spans="1:7" x14ac:dyDescent="0.2">
      <c r="A434" s="32">
        <v>433</v>
      </c>
      <c r="B434" s="34" t="s">
        <v>1448</v>
      </c>
      <c r="C434" s="36">
        <f ca="1">TODAY()-153</f>
        <v>44483</v>
      </c>
      <c r="D434" s="36">
        <f ca="1">TODAY()-152</f>
        <v>44484</v>
      </c>
      <c r="E434" s="37">
        <v>93000</v>
      </c>
      <c r="F434" s="31" t="b">
        <v>0</v>
      </c>
      <c r="G434" s="34" t="s">
        <v>1443</v>
      </c>
    </row>
    <row r="435" spans="1:7" x14ac:dyDescent="0.2">
      <c r="A435" s="32">
        <v>434</v>
      </c>
      <c r="B435" s="34" t="s">
        <v>1447</v>
      </c>
      <c r="C435" s="36">
        <f ca="1">TODAY()-146</f>
        <v>44490</v>
      </c>
      <c r="D435" s="36">
        <f ca="1">TODAY()-138</f>
        <v>44498</v>
      </c>
      <c r="E435" s="37">
        <v>623700</v>
      </c>
      <c r="F435" s="31" t="b">
        <v>1</v>
      </c>
      <c r="G435" s="34" t="s">
        <v>1440</v>
      </c>
    </row>
    <row r="436" spans="1:7" x14ac:dyDescent="0.2">
      <c r="A436" s="32">
        <v>435</v>
      </c>
      <c r="B436" s="34" t="s">
        <v>1446</v>
      </c>
      <c r="C436" s="36">
        <f ca="1">TODAY()-121</f>
        <v>44515</v>
      </c>
      <c r="D436" s="36">
        <f ca="1">TODAY()-119</f>
        <v>44517</v>
      </c>
      <c r="E436" s="37">
        <v>70300</v>
      </c>
      <c r="F436" s="31" t="b">
        <v>0</v>
      </c>
      <c r="G436" s="34" t="s">
        <v>1443</v>
      </c>
    </row>
    <row r="437" spans="1:7" x14ac:dyDescent="0.2">
      <c r="A437" s="32">
        <v>436</v>
      </c>
      <c r="B437" s="34" t="s">
        <v>1445</v>
      </c>
      <c r="C437" s="36">
        <f ca="1">TODAY()-110</f>
        <v>44526</v>
      </c>
      <c r="D437" s="36">
        <f ca="1">TODAY()-107</f>
        <v>44529</v>
      </c>
      <c r="E437" s="37">
        <v>151500</v>
      </c>
      <c r="F437" s="31" t="b">
        <v>0</v>
      </c>
      <c r="G437" s="34" t="s">
        <v>1438</v>
      </c>
    </row>
    <row r="438" spans="1:7" x14ac:dyDescent="0.2">
      <c r="A438" s="32">
        <v>437</v>
      </c>
      <c r="B438" s="34" t="s">
        <v>1444</v>
      </c>
      <c r="C438" s="36">
        <f ca="1">TODAY()-80</f>
        <v>44556</v>
      </c>
      <c r="D438" s="36">
        <f ca="1">TODAY()-80</f>
        <v>44556</v>
      </c>
      <c r="E438" s="37">
        <v>108000</v>
      </c>
      <c r="F438" s="31" t="b">
        <v>0</v>
      </c>
      <c r="G438" s="34" t="s">
        <v>1443</v>
      </c>
    </row>
    <row r="439" spans="1:7" x14ac:dyDescent="0.2">
      <c r="A439" s="32">
        <v>438</v>
      </c>
      <c r="B439" s="34" t="s">
        <v>1442</v>
      </c>
      <c r="C439" s="36">
        <f ca="1">TODAY()-84</f>
        <v>44552</v>
      </c>
      <c r="D439" s="36">
        <f ca="1">TODAY()-72</f>
        <v>44564</v>
      </c>
      <c r="E439" s="37">
        <v>746600</v>
      </c>
      <c r="F439" s="31" t="b">
        <v>1</v>
      </c>
      <c r="G439" s="34" t="s">
        <v>1438</v>
      </c>
    </row>
    <row r="440" spans="1:7" x14ac:dyDescent="0.2">
      <c r="A440" s="32">
        <v>439</v>
      </c>
      <c r="B440" s="34" t="s">
        <v>1441</v>
      </c>
      <c r="C440" s="36">
        <f ca="1">TODAY()-64</f>
        <v>44572</v>
      </c>
      <c r="D440" s="36">
        <f ca="1">TODAY()-61</f>
        <v>44575</v>
      </c>
      <c r="E440" s="37">
        <v>109100</v>
      </c>
      <c r="F440" s="31" t="b">
        <v>1</v>
      </c>
      <c r="G440" s="34" t="s">
        <v>1440</v>
      </c>
    </row>
    <row r="441" spans="1:7" x14ac:dyDescent="0.2">
      <c r="A441" s="32">
        <v>440</v>
      </c>
      <c r="B441" s="34" t="s">
        <v>1439</v>
      </c>
      <c r="C441" s="36">
        <f ca="1">TODAY()-57</f>
        <v>44579</v>
      </c>
      <c r="D441" s="36">
        <f ca="1">TODAY()-56</f>
        <v>44580</v>
      </c>
      <c r="E441" s="37">
        <v>58900</v>
      </c>
      <c r="F441" s="31" t="b">
        <v>0</v>
      </c>
      <c r="G441" s="34" t="s">
        <v>1438</v>
      </c>
    </row>
    <row r="442" spans="1:7" x14ac:dyDescent="0.2">
      <c r="A442" s="32">
        <v>441</v>
      </c>
      <c r="B442" s="34" t="s">
        <v>1437</v>
      </c>
      <c r="C442" s="36">
        <f ca="1">TODAY()-39</f>
        <v>44597</v>
      </c>
      <c r="D442" s="36">
        <f ca="1">TODAY()-31</f>
        <v>44605</v>
      </c>
      <c r="E442" s="37">
        <v>577900</v>
      </c>
      <c r="F442" s="31" t="b">
        <v>1</v>
      </c>
      <c r="G442" s="34" t="s">
        <v>1435</v>
      </c>
    </row>
    <row r="443" spans="1:7" x14ac:dyDescent="0.2">
      <c r="A443" s="32">
        <v>442</v>
      </c>
      <c r="B443" s="34" t="s">
        <v>1436</v>
      </c>
      <c r="C443" s="36">
        <f ca="1">TODAY()-28</f>
        <v>44608</v>
      </c>
      <c r="D443" s="36">
        <f ca="1">TODAY()-18</f>
        <v>44618</v>
      </c>
      <c r="E443" s="37">
        <v>685000</v>
      </c>
      <c r="F443" s="31" t="b">
        <v>1</v>
      </c>
      <c r="G443" s="34" t="s">
        <v>1435</v>
      </c>
    </row>
    <row r="444" spans="1:7" x14ac:dyDescent="0.2">
      <c r="A444" s="29"/>
      <c r="B444" s="30"/>
      <c r="C444" s="29"/>
      <c r="D444" s="29"/>
      <c r="E444" s="29"/>
      <c r="F444" s="29"/>
      <c r="G444" s="29"/>
    </row>
    <row r="445" spans="1:7" x14ac:dyDescent="0.2">
      <c r="A445" s="29"/>
      <c r="B445" s="30"/>
      <c r="C445" s="29"/>
      <c r="D445" s="29"/>
      <c r="E445" s="29"/>
      <c r="F445" s="29"/>
      <c r="G445" s="29"/>
    </row>
    <row r="446" spans="1:7" x14ac:dyDescent="0.2">
      <c r="A446" s="29"/>
      <c r="B446" s="30"/>
      <c r="C446" s="29"/>
      <c r="D446" s="29"/>
      <c r="E446" s="29"/>
      <c r="F446" s="29"/>
      <c r="G446" s="29"/>
    </row>
    <row r="447" spans="1:7" x14ac:dyDescent="0.2">
      <c r="A447" s="29"/>
      <c r="B447" s="30"/>
      <c r="C447" s="29"/>
      <c r="D447" s="29"/>
      <c r="E447" s="29"/>
      <c r="F447" s="29"/>
      <c r="G447" s="29"/>
    </row>
    <row r="448" spans="1:7" x14ac:dyDescent="0.2">
      <c r="A448" s="29"/>
      <c r="B448" s="30"/>
      <c r="C448" s="29"/>
      <c r="D448" s="29"/>
      <c r="E448" s="29"/>
      <c r="F448" s="29"/>
      <c r="G448" s="29"/>
    </row>
    <row r="449" spans="1:7" x14ac:dyDescent="0.2">
      <c r="A449" s="29"/>
      <c r="B449" s="30"/>
      <c r="C449" s="29"/>
      <c r="D449" s="29"/>
      <c r="E449" s="29"/>
      <c r="F449" s="29"/>
      <c r="G449" s="29"/>
    </row>
    <row r="450" spans="1:7" x14ac:dyDescent="0.2">
      <c r="A450" s="29"/>
      <c r="B450" s="30"/>
      <c r="C450" s="29"/>
      <c r="D450" s="29"/>
      <c r="E450" s="29"/>
      <c r="F450" s="29"/>
      <c r="G450" s="29"/>
    </row>
    <row r="451" spans="1:7" x14ac:dyDescent="0.2">
      <c r="A451" s="29"/>
      <c r="B451" s="30"/>
      <c r="C451" s="29"/>
      <c r="D451" s="29"/>
      <c r="E451" s="29"/>
      <c r="F451" s="29"/>
      <c r="G451" s="29"/>
    </row>
    <row r="452" spans="1:7" x14ac:dyDescent="0.2">
      <c r="A452" s="29"/>
      <c r="B452" s="30"/>
      <c r="C452" s="29"/>
      <c r="D452" s="29"/>
      <c r="E452" s="29"/>
      <c r="F452" s="29"/>
      <c r="G452" s="29"/>
    </row>
    <row r="453" spans="1:7" x14ac:dyDescent="0.2">
      <c r="A453" s="29"/>
      <c r="B453" s="30"/>
      <c r="C453" s="29"/>
      <c r="D453" s="29"/>
      <c r="E453" s="29"/>
      <c r="F453" s="29"/>
      <c r="G453" s="29"/>
    </row>
    <row r="454" spans="1:7" x14ac:dyDescent="0.2">
      <c r="A454" s="29"/>
      <c r="B454" s="30"/>
      <c r="C454" s="29"/>
      <c r="D454" s="29"/>
      <c r="E454" s="29"/>
      <c r="F454" s="29"/>
      <c r="G454" s="29"/>
    </row>
    <row r="455" spans="1:7" x14ac:dyDescent="0.2">
      <c r="A455" s="29"/>
      <c r="B455" s="30"/>
      <c r="C455" s="29"/>
      <c r="D455" s="29"/>
      <c r="E455" s="29"/>
      <c r="F455" s="29"/>
      <c r="G455" s="29"/>
    </row>
    <row r="456" spans="1:7" x14ac:dyDescent="0.2">
      <c r="A456" s="29"/>
      <c r="B456" s="30"/>
      <c r="C456" s="29"/>
      <c r="D456" s="29"/>
      <c r="E456" s="29"/>
      <c r="F456" s="29"/>
      <c r="G456" s="29"/>
    </row>
    <row r="457" spans="1:7" x14ac:dyDescent="0.2">
      <c r="A457" s="29"/>
      <c r="B457" s="30"/>
      <c r="C457" s="29"/>
      <c r="D457" s="29"/>
      <c r="E457" s="29"/>
      <c r="F457" s="29"/>
      <c r="G457" s="29"/>
    </row>
    <row r="458" spans="1:7" x14ac:dyDescent="0.2">
      <c r="A458" s="29"/>
      <c r="B458" s="30"/>
      <c r="C458" s="29"/>
      <c r="D458" s="29"/>
      <c r="E458" s="29"/>
      <c r="F458" s="29"/>
      <c r="G458" s="29"/>
    </row>
    <row r="459" spans="1:7" x14ac:dyDescent="0.2">
      <c r="A459" s="29"/>
      <c r="B459" s="30"/>
      <c r="C459" s="29"/>
      <c r="D459" s="29"/>
      <c r="E459" s="29"/>
      <c r="F459" s="29"/>
      <c r="G459" s="29"/>
    </row>
    <row r="460" spans="1:7" x14ac:dyDescent="0.2">
      <c r="A460" s="29"/>
      <c r="B460" s="30"/>
      <c r="C460" s="29"/>
      <c r="D460" s="29"/>
      <c r="E460" s="29"/>
      <c r="F460" s="29"/>
      <c r="G460" s="29"/>
    </row>
    <row r="461" spans="1:7" x14ac:dyDescent="0.2">
      <c r="A461" s="29"/>
      <c r="B461" s="30"/>
      <c r="C461" s="29"/>
      <c r="D461" s="29"/>
      <c r="E461" s="29"/>
      <c r="F461" s="29"/>
      <c r="G461" s="29"/>
    </row>
    <row r="462" spans="1:7" x14ac:dyDescent="0.2">
      <c r="A462" s="29"/>
      <c r="B462" s="30"/>
      <c r="C462" s="29"/>
      <c r="D462" s="29"/>
      <c r="E462" s="29"/>
      <c r="F462" s="29"/>
      <c r="G462" s="29"/>
    </row>
    <row r="463" spans="1:7" x14ac:dyDescent="0.2">
      <c r="A463" s="29"/>
      <c r="B463" s="30"/>
      <c r="C463" s="29"/>
      <c r="D463" s="29"/>
      <c r="E463" s="29"/>
      <c r="F463" s="29"/>
      <c r="G463" s="29"/>
    </row>
    <row r="464" spans="1:7" x14ac:dyDescent="0.2">
      <c r="A464" s="29"/>
      <c r="B464" s="30"/>
      <c r="C464" s="29"/>
      <c r="D464" s="29"/>
      <c r="E464" s="29"/>
      <c r="F464" s="29"/>
      <c r="G464" s="29"/>
    </row>
    <row r="465" spans="1:7" x14ac:dyDescent="0.2">
      <c r="A465" s="29"/>
      <c r="B465" s="30"/>
      <c r="C465" s="29"/>
      <c r="D465" s="29"/>
      <c r="E465" s="29"/>
      <c r="F465" s="29"/>
      <c r="G465" s="29"/>
    </row>
    <row r="466" spans="1:7" x14ac:dyDescent="0.2">
      <c r="A466" s="29"/>
      <c r="B466" s="30"/>
      <c r="C466" s="29"/>
      <c r="D466" s="29"/>
      <c r="E466" s="29"/>
      <c r="F466" s="29"/>
      <c r="G466" s="29"/>
    </row>
    <row r="467" spans="1:7" x14ac:dyDescent="0.2">
      <c r="A467" s="29"/>
      <c r="B467" s="30"/>
      <c r="C467" s="29"/>
      <c r="D467" s="29"/>
      <c r="E467" s="29"/>
      <c r="F467" s="29"/>
      <c r="G467" s="29"/>
    </row>
    <row r="468" spans="1:7" x14ac:dyDescent="0.2">
      <c r="A468" s="29"/>
      <c r="B468" s="30"/>
      <c r="C468" s="29"/>
      <c r="D468" s="29"/>
      <c r="E468" s="29"/>
      <c r="F468" s="29"/>
      <c r="G468" s="29"/>
    </row>
    <row r="469" spans="1:7" x14ac:dyDescent="0.2">
      <c r="A469" s="29"/>
      <c r="B469" s="30"/>
      <c r="C469" s="29"/>
      <c r="D469" s="29"/>
      <c r="E469" s="29"/>
      <c r="F469" s="29"/>
      <c r="G469" s="29"/>
    </row>
    <row r="470" spans="1:7" x14ac:dyDescent="0.2">
      <c r="A470" s="29"/>
      <c r="B470" s="30"/>
      <c r="C470" s="29"/>
      <c r="D470" s="29"/>
      <c r="E470" s="29"/>
      <c r="F470" s="29"/>
      <c r="G470" s="29"/>
    </row>
    <row r="471" spans="1:7" x14ac:dyDescent="0.2">
      <c r="A471" s="29"/>
      <c r="B471" s="30"/>
      <c r="C471" s="29"/>
      <c r="D471" s="29"/>
      <c r="E471" s="29"/>
      <c r="F471" s="29"/>
      <c r="G471" s="29"/>
    </row>
    <row r="472" spans="1:7" x14ac:dyDescent="0.2">
      <c r="A472" s="29"/>
      <c r="B472" s="30"/>
      <c r="C472" s="29"/>
      <c r="D472" s="29"/>
      <c r="E472" s="29"/>
      <c r="F472" s="29"/>
      <c r="G472" s="29"/>
    </row>
    <row r="473" spans="1:7" x14ac:dyDescent="0.2">
      <c r="A473" s="29"/>
      <c r="B473" s="30"/>
      <c r="C473" s="29"/>
      <c r="D473" s="29"/>
      <c r="E473" s="29"/>
      <c r="F473" s="29"/>
      <c r="G473" s="29"/>
    </row>
    <row r="474" spans="1:7" x14ac:dyDescent="0.2">
      <c r="A474" s="29"/>
      <c r="B474" s="30"/>
      <c r="C474" s="29"/>
      <c r="D474" s="29"/>
      <c r="E474" s="29"/>
      <c r="F474" s="29"/>
      <c r="G474" s="29"/>
    </row>
    <row r="475" spans="1:7" x14ac:dyDescent="0.2">
      <c r="A475" s="29"/>
      <c r="B475" s="30"/>
      <c r="C475" s="29"/>
      <c r="D475" s="29"/>
      <c r="E475" s="29"/>
      <c r="F475" s="29"/>
      <c r="G475" s="29"/>
    </row>
    <row r="476" spans="1:7" x14ac:dyDescent="0.2">
      <c r="A476" s="29"/>
      <c r="B476" s="30"/>
      <c r="C476" s="29"/>
      <c r="D476" s="29"/>
      <c r="E476" s="29"/>
      <c r="F476" s="29"/>
      <c r="G476" s="29"/>
    </row>
    <row r="477" spans="1:7" x14ac:dyDescent="0.2">
      <c r="A477" s="29"/>
      <c r="B477" s="30"/>
      <c r="C477" s="29"/>
      <c r="D477" s="29"/>
      <c r="E477" s="29"/>
      <c r="F477" s="29"/>
      <c r="G477" s="29"/>
    </row>
    <row r="478" spans="1:7" x14ac:dyDescent="0.2">
      <c r="A478" s="29"/>
      <c r="B478" s="30"/>
      <c r="C478" s="29"/>
      <c r="D478" s="29"/>
      <c r="E478" s="29"/>
      <c r="F478" s="29"/>
      <c r="G478" s="29"/>
    </row>
    <row r="479" spans="1:7" x14ac:dyDescent="0.2">
      <c r="A479" s="29"/>
      <c r="B479" s="30"/>
      <c r="C479" s="29"/>
      <c r="D479" s="29"/>
      <c r="E479" s="29"/>
      <c r="F479" s="29"/>
      <c r="G479" s="29"/>
    </row>
    <row r="480" spans="1:7" x14ac:dyDescent="0.2">
      <c r="A480" s="29"/>
      <c r="B480" s="30"/>
      <c r="C480" s="29"/>
      <c r="D480" s="29"/>
      <c r="E480" s="29"/>
      <c r="F480" s="29"/>
      <c r="G480" s="29"/>
    </row>
    <row r="481" spans="1:7" x14ac:dyDescent="0.2">
      <c r="A481" s="29"/>
      <c r="B481" s="30"/>
      <c r="C481" s="29"/>
      <c r="D481" s="29"/>
      <c r="E481" s="29"/>
      <c r="F481" s="29"/>
      <c r="G481" s="29"/>
    </row>
    <row r="482" spans="1:7" x14ac:dyDescent="0.2">
      <c r="A482" s="29"/>
      <c r="B482" s="30"/>
      <c r="C482" s="29"/>
      <c r="D482" s="29"/>
      <c r="E482" s="29"/>
      <c r="F482" s="29"/>
      <c r="G482" s="29"/>
    </row>
    <row r="483" spans="1:7" x14ac:dyDescent="0.2">
      <c r="A483" s="29"/>
      <c r="B483" s="30"/>
      <c r="C483" s="29"/>
      <c r="D483" s="29"/>
      <c r="E483" s="29"/>
      <c r="F483" s="29"/>
      <c r="G483" s="29"/>
    </row>
    <row r="484" spans="1:7" x14ac:dyDescent="0.2">
      <c r="A484" s="29"/>
      <c r="B484" s="30"/>
      <c r="C484" s="29"/>
      <c r="D484" s="29"/>
      <c r="E484" s="29"/>
      <c r="F484" s="29"/>
      <c r="G484" s="29"/>
    </row>
    <row r="485" spans="1:7" x14ac:dyDescent="0.2">
      <c r="A485" s="29"/>
      <c r="B485" s="30"/>
      <c r="C485" s="29"/>
      <c r="D485" s="29"/>
      <c r="E485" s="29"/>
      <c r="F485" s="29"/>
      <c r="G485" s="29"/>
    </row>
    <row r="486" spans="1:7" x14ac:dyDescent="0.2">
      <c r="A486" s="29"/>
      <c r="B486" s="30"/>
      <c r="C486" s="29"/>
      <c r="D486" s="29"/>
      <c r="E486" s="29"/>
      <c r="F486" s="29"/>
      <c r="G486" s="29"/>
    </row>
    <row r="487" spans="1:7" x14ac:dyDescent="0.2">
      <c r="A487" s="29"/>
      <c r="B487" s="30"/>
      <c r="C487" s="29"/>
      <c r="D487" s="29"/>
      <c r="E487" s="29"/>
      <c r="F487" s="29"/>
      <c r="G487" s="29"/>
    </row>
    <row r="488" spans="1:7" x14ac:dyDescent="0.2">
      <c r="A488" s="29"/>
      <c r="B488" s="30"/>
      <c r="C488" s="29"/>
      <c r="D488" s="29"/>
      <c r="E488" s="29"/>
      <c r="F488" s="29"/>
      <c r="G488" s="29"/>
    </row>
    <row r="489" spans="1:7" x14ac:dyDescent="0.2">
      <c r="A489" s="29"/>
      <c r="B489" s="30"/>
      <c r="C489" s="29"/>
      <c r="D489" s="29"/>
      <c r="E489" s="29"/>
      <c r="F489" s="29"/>
      <c r="G489" s="29"/>
    </row>
    <row r="490" spans="1:7" x14ac:dyDescent="0.2">
      <c r="A490" s="29"/>
      <c r="B490" s="30"/>
      <c r="C490" s="29"/>
      <c r="D490" s="29"/>
      <c r="E490" s="29"/>
      <c r="F490" s="29"/>
      <c r="G490" s="29"/>
    </row>
    <row r="491" spans="1:7" x14ac:dyDescent="0.2">
      <c r="A491" s="29"/>
      <c r="B491" s="30"/>
      <c r="C491" s="29"/>
      <c r="D491" s="29"/>
      <c r="E491" s="29"/>
      <c r="F491" s="29"/>
      <c r="G491" s="29"/>
    </row>
    <row r="492" spans="1:7" x14ac:dyDescent="0.2">
      <c r="A492" s="29"/>
      <c r="B492" s="30"/>
      <c r="C492" s="29"/>
      <c r="D492" s="29"/>
      <c r="E492" s="29"/>
      <c r="F492" s="29"/>
      <c r="G492" s="29"/>
    </row>
    <row r="493" spans="1:7" x14ac:dyDescent="0.2">
      <c r="A493" s="29"/>
      <c r="B493" s="30"/>
      <c r="C493" s="29"/>
      <c r="D493" s="29"/>
      <c r="E493" s="29"/>
      <c r="F493" s="29"/>
      <c r="G493" s="29"/>
    </row>
    <row r="494" spans="1:7" x14ac:dyDescent="0.2">
      <c r="A494" s="29"/>
      <c r="B494" s="30"/>
      <c r="C494" s="29"/>
      <c r="D494" s="29"/>
      <c r="E494" s="29"/>
      <c r="F494" s="29"/>
      <c r="G494" s="29"/>
    </row>
    <row r="495" spans="1:7" x14ac:dyDescent="0.2">
      <c r="A495" s="29"/>
      <c r="B495" s="30"/>
      <c r="C495" s="29"/>
      <c r="D495" s="29"/>
      <c r="E495" s="29"/>
      <c r="F495" s="29"/>
      <c r="G495" s="29"/>
    </row>
    <row r="496" spans="1:7" x14ac:dyDescent="0.2">
      <c r="A496" s="29"/>
      <c r="B496" s="30"/>
      <c r="C496" s="29"/>
      <c r="D496" s="29"/>
      <c r="E496" s="29"/>
      <c r="F496" s="29"/>
      <c r="G496" s="29"/>
    </row>
    <row r="497" spans="1:7" x14ac:dyDescent="0.2">
      <c r="A497" s="29"/>
      <c r="B497" s="30"/>
      <c r="C497" s="29"/>
      <c r="D497" s="29"/>
      <c r="E497" s="29"/>
      <c r="F497" s="29"/>
      <c r="G497" s="29"/>
    </row>
    <row r="498" spans="1:7" x14ac:dyDescent="0.2">
      <c r="A498" s="29"/>
      <c r="B498" s="30"/>
      <c r="C498" s="29"/>
      <c r="D498" s="29"/>
      <c r="E498" s="29"/>
      <c r="F498" s="29"/>
      <c r="G498" s="29"/>
    </row>
    <row r="499" spans="1:7" x14ac:dyDescent="0.2">
      <c r="A499" s="29"/>
      <c r="B499" s="30"/>
      <c r="C499" s="29"/>
      <c r="D499" s="29"/>
      <c r="E499" s="29"/>
      <c r="F499" s="29"/>
      <c r="G499" s="29"/>
    </row>
    <row r="500" spans="1:7" x14ac:dyDescent="0.2">
      <c r="A500" s="29"/>
      <c r="B500" s="30"/>
      <c r="C500" s="29"/>
      <c r="D500" s="29"/>
      <c r="E500" s="29"/>
      <c r="F500" s="29"/>
      <c r="G500" s="29"/>
    </row>
    <row r="501" spans="1:7" x14ac:dyDescent="0.2">
      <c r="A501" s="29"/>
      <c r="B501" s="30"/>
      <c r="C501" s="29"/>
      <c r="D501" s="29"/>
      <c r="E501" s="29"/>
      <c r="F501" s="29"/>
      <c r="G501" s="29"/>
    </row>
    <row r="502" spans="1:7" x14ac:dyDescent="0.2">
      <c r="A502" s="29"/>
      <c r="B502" s="30"/>
      <c r="C502" s="29"/>
      <c r="D502" s="29"/>
      <c r="E502" s="29"/>
      <c r="F502" s="29"/>
      <c r="G502" s="29"/>
    </row>
    <row r="503" spans="1:7" x14ac:dyDescent="0.2">
      <c r="A503" s="29"/>
      <c r="B503" s="30"/>
      <c r="C503" s="29"/>
      <c r="D503" s="29"/>
      <c r="E503" s="29"/>
      <c r="F503" s="29"/>
      <c r="G503" s="29"/>
    </row>
    <row r="504" spans="1:7" x14ac:dyDescent="0.2">
      <c r="A504" s="29"/>
      <c r="B504" s="30"/>
      <c r="C504" s="29"/>
      <c r="D504" s="29"/>
      <c r="E504" s="29"/>
      <c r="F504" s="29"/>
      <c r="G504" s="29"/>
    </row>
    <row r="505" spans="1:7" x14ac:dyDescent="0.2">
      <c r="A505" s="29"/>
      <c r="B505" s="30"/>
      <c r="C505" s="29"/>
      <c r="D505" s="29"/>
      <c r="E505" s="29"/>
      <c r="F505" s="29"/>
      <c r="G505" s="29"/>
    </row>
    <row r="506" spans="1:7" x14ac:dyDescent="0.2">
      <c r="A506" s="29"/>
      <c r="B506" s="30"/>
      <c r="C506" s="29"/>
      <c r="D506" s="29"/>
      <c r="E506" s="29"/>
      <c r="F506" s="29"/>
      <c r="G506" s="29"/>
    </row>
    <row r="507" spans="1:7" x14ac:dyDescent="0.2">
      <c r="A507" s="29"/>
      <c r="B507" s="30"/>
      <c r="C507" s="29"/>
      <c r="D507" s="29"/>
      <c r="E507" s="29"/>
      <c r="F507" s="29"/>
      <c r="G507" s="29"/>
    </row>
    <row r="508" spans="1:7" x14ac:dyDescent="0.2">
      <c r="A508" s="29"/>
      <c r="B508" s="30"/>
      <c r="C508" s="29"/>
      <c r="D508" s="29"/>
      <c r="E508" s="29"/>
      <c r="F508" s="29"/>
      <c r="G508" s="29"/>
    </row>
    <row r="509" spans="1:7" x14ac:dyDescent="0.2">
      <c r="A509" s="29"/>
      <c r="B509" s="30"/>
      <c r="C509" s="29"/>
      <c r="D509" s="29"/>
      <c r="E509" s="29"/>
      <c r="F509" s="29"/>
      <c r="G509" s="29"/>
    </row>
    <row r="510" spans="1:7" x14ac:dyDescent="0.2">
      <c r="A510" s="29"/>
      <c r="B510" s="30"/>
      <c r="C510" s="29"/>
      <c r="D510" s="29"/>
      <c r="E510" s="29"/>
      <c r="F510" s="29"/>
      <c r="G510" s="29"/>
    </row>
    <row r="511" spans="1:7" x14ac:dyDescent="0.2">
      <c r="A511" s="29"/>
      <c r="B511" s="30"/>
      <c r="C511" s="29"/>
      <c r="D511" s="29"/>
      <c r="E511" s="29"/>
      <c r="F511" s="29"/>
      <c r="G511" s="29"/>
    </row>
    <row r="512" spans="1:7" x14ac:dyDescent="0.2">
      <c r="A512" s="29"/>
      <c r="B512" s="30"/>
      <c r="C512" s="29"/>
      <c r="D512" s="29"/>
      <c r="E512" s="29"/>
      <c r="F512" s="29"/>
      <c r="G512" s="29"/>
    </row>
    <row r="513" spans="1:7" x14ac:dyDescent="0.2">
      <c r="A513" s="29"/>
      <c r="B513" s="30"/>
      <c r="C513" s="29"/>
      <c r="D513" s="29"/>
      <c r="E513" s="29"/>
      <c r="F513" s="29"/>
      <c r="G513" s="29"/>
    </row>
    <row r="514" spans="1:7" x14ac:dyDescent="0.2">
      <c r="A514" s="29"/>
      <c r="B514" s="30"/>
      <c r="C514" s="29"/>
      <c r="D514" s="29"/>
      <c r="E514" s="29"/>
      <c r="F514" s="29"/>
      <c r="G514" s="29"/>
    </row>
    <row r="515" spans="1:7" x14ac:dyDescent="0.2">
      <c r="A515" s="29"/>
      <c r="B515" s="30"/>
      <c r="C515" s="29"/>
      <c r="D515" s="29"/>
      <c r="E515" s="29"/>
      <c r="F515" s="29"/>
      <c r="G515" s="29"/>
    </row>
    <row r="516" spans="1:7" x14ac:dyDescent="0.2">
      <c r="A516" s="29"/>
      <c r="B516" s="30"/>
      <c r="C516" s="29"/>
      <c r="D516" s="29"/>
      <c r="E516" s="29"/>
      <c r="F516" s="29"/>
      <c r="G516" s="29"/>
    </row>
    <row r="517" spans="1:7" x14ac:dyDescent="0.2">
      <c r="A517" s="29"/>
      <c r="B517" s="30"/>
      <c r="C517" s="29"/>
      <c r="D517" s="29"/>
      <c r="E517" s="29"/>
      <c r="F517" s="29"/>
      <c r="G517" s="29"/>
    </row>
    <row r="518" spans="1:7" x14ac:dyDescent="0.2">
      <c r="A518" s="29"/>
      <c r="B518" s="30"/>
      <c r="C518" s="29"/>
      <c r="D518" s="29"/>
      <c r="E518" s="29"/>
      <c r="F518" s="29"/>
      <c r="G518" s="29"/>
    </row>
    <row r="519" spans="1:7" x14ac:dyDescent="0.2">
      <c r="A519" s="29"/>
      <c r="B519" s="30"/>
      <c r="C519" s="29"/>
      <c r="D519" s="29"/>
      <c r="E519" s="29"/>
      <c r="F519" s="29"/>
      <c r="G519" s="29"/>
    </row>
    <row r="520" spans="1:7" x14ac:dyDescent="0.2">
      <c r="A520" s="29"/>
      <c r="B520" s="30"/>
      <c r="C520" s="29"/>
      <c r="D520" s="29"/>
      <c r="E520" s="29"/>
      <c r="F520" s="29"/>
      <c r="G520" s="29"/>
    </row>
    <row r="521" spans="1:7" x14ac:dyDescent="0.2">
      <c r="A521" s="29"/>
      <c r="B521" s="30"/>
      <c r="C521" s="29"/>
      <c r="D521" s="29"/>
      <c r="E521" s="29"/>
      <c r="F521" s="29"/>
      <c r="G521" s="29"/>
    </row>
    <row r="522" spans="1:7" x14ac:dyDescent="0.2">
      <c r="A522" s="29"/>
      <c r="B522" s="30"/>
      <c r="C522" s="29"/>
      <c r="D522" s="29"/>
      <c r="E522" s="29"/>
      <c r="F522" s="29"/>
      <c r="G522" s="29"/>
    </row>
    <row r="523" spans="1:7" x14ac:dyDescent="0.2">
      <c r="A523" s="29"/>
      <c r="B523" s="30"/>
      <c r="C523" s="29"/>
      <c r="D523" s="29"/>
      <c r="E523" s="29"/>
      <c r="F523" s="29"/>
      <c r="G523" s="29"/>
    </row>
    <row r="524" spans="1:7" x14ac:dyDescent="0.2">
      <c r="A524" s="29"/>
      <c r="B524" s="30"/>
      <c r="C524" s="29"/>
      <c r="D524" s="29"/>
      <c r="E524" s="29"/>
      <c r="F524" s="29"/>
      <c r="G524" s="29"/>
    </row>
    <row r="525" spans="1:7" x14ac:dyDescent="0.2">
      <c r="A525" s="29"/>
      <c r="B525" s="30"/>
      <c r="C525" s="29"/>
      <c r="D525" s="29"/>
      <c r="E525" s="29"/>
      <c r="F525" s="29"/>
      <c r="G525" s="29"/>
    </row>
    <row r="526" spans="1:7" x14ac:dyDescent="0.2">
      <c r="A526" s="29"/>
      <c r="B526" s="30"/>
      <c r="C526" s="29"/>
      <c r="D526" s="29"/>
      <c r="E526" s="29"/>
      <c r="F526" s="29"/>
      <c r="G526" s="29"/>
    </row>
    <row r="527" spans="1:7" x14ac:dyDescent="0.2">
      <c r="A527" s="29"/>
      <c r="B527" s="30"/>
      <c r="C527" s="29"/>
      <c r="D527" s="29"/>
      <c r="E527" s="29"/>
      <c r="F527" s="29"/>
      <c r="G527" s="29"/>
    </row>
    <row r="528" spans="1:7" x14ac:dyDescent="0.2">
      <c r="A528" s="29"/>
      <c r="B528" s="30"/>
      <c r="C528" s="29"/>
      <c r="D528" s="29"/>
      <c r="E528" s="29"/>
      <c r="F528" s="29"/>
      <c r="G528" s="29"/>
    </row>
    <row r="529" spans="1:7" x14ac:dyDescent="0.2">
      <c r="A529" s="29"/>
      <c r="B529" s="30"/>
      <c r="C529" s="29"/>
      <c r="D529" s="29"/>
      <c r="E529" s="29"/>
      <c r="F529" s="29"/>
      <c r="G529" s="29"/>
    </row>
    <row r="530" spans="1:7" x14ac:dyDescent="0.2">
      <c r="A530" s="29"/>
      <c r="B530" s="30"/>
      <c r="C530" s="29"/>
      <c r="D530" s="29"/>
      <c r="E530" s="29"/>
      <c r="F530" s="29"/>
      <c r="G530" s="29"/>
    </row>
    <row r="531" spans="1:7" x14ac:dyDescent="0.2">
      <c r="A531" s="29"/>
      <c r="B531" s="30"/>
      <c r="C531" s="29"/>
      <c r="D531" s="29"/>
      <c r="E531" s="29"/>
      <c r="F531" s="29"/>
      <c r="G531" s="29"/>
    </row>
    <row r="532" spans="1:7" x14ac:dyDescent="0.2">
      <c r="A532" s="29"/>
      <c r="B532" s="30"/>
      <c r="C532" s="29"/>
      <c r="D532" s="29"/>
      <c r="E532" s="29"/>
      <c r="F532" s="29"/>
      <c r="G532" s="29"/>
    </row>
    <row r="533" spans="1:7" x14ac:dyDescent="0.2">
      <c r="A533" s="29"/>
      <c r="B533" s="30"/>
      <c r="C533" s="29"/>
      <c r="D533" s="29"/>
      <c r="E533" s="29"/>
      <c r="F533" s="29"/>
      <c r="G533" s="29"/>
    </row>
    <row r="534" spans="1:7" x14ac:dyDescent="0.2">
      <c r="A534" s="29"/>
      <c r="B534" s="30"/>
      <c r="C534" s="29"/>
      <c r="D534" s="29"/>
      <c r="E534" s="29"/>
      <c r="F534" s="29"/>
      <c r="G534" s="29"/>
    </row>
    <row r="535" spans="1:7" x14ac:dyDescent="0.2">
      <c r="A535" s="29"/>
      <c r="B535" s="30"/>
      <c r="C535" s="29"/>
      <c r="D535" s="29"/>
      <c r="E535" s="29"/>
      <c r="F535" s="29"/>
      <c r="G535" s="29"/>
    </row>
    <row r="536" spans="1:7" x14ac:dyDescent="0.2">
      <c r="A536" s="29"/>
      <c r="B536" s="30"/>
      <c r="C536" s="29"/>
      <c r="D536" s="29"/>
      <c r="E536" s="29"/>
      <c r="F536" s="29"/>
      <c r="G536" s="29"/>
    </row>
    <row r="537" spans="1:7" x14ac:dyDescent="0.2">
      <c r="A537" s="29"/>
      <c r="B537" s="30"/>
      <c r="C537" s="29"/>
      <c r="D537" s="29"/>
      <c r="E537" s="29"/>
      <c r="F537" s="29"/>
      <c r="G537" s="29"/>
    </row>
    <row r="538" spans="1:7" x14ac:dyDescent="0.2">
      <c r="A538" s="29"/>
      <c r="B538" s="30"/>
      <c r="C538" s="29"/>
      <c r="D538" s="29"/>
      <c r="E538" s="29"/>
      <c r="F538" s="29"/>
      <c r="G538" s="29"/>
    </row>
    <row r="539" spans="1:7" x14ac:dyDescent="0.2">
      <c r="A539" s="29"/>
      <c r="B539" s="30"/>
      <c r="C539" s="29"/>
      <c r="D539" s="29"/>
      <c r="E539" s="29"/>
      <c r="F539" s="29"/>
      <c r="G539" s="29"/>
    </row>
    <row r="540" spans="1:7" x14ac:dyDescent="0.2">
      <c r="A540" s="29"/>
      <c r="B540" s="30"/>
      <c r="C540" s="29"/>
      <c r="D540" s="29"/>
      <c r="E540" s="29"/>
      <c r="F540" s="29"/>
      <c r="G540" s="29"/>
    </row>
    <row r="541" spans="1:7" x14ac:dyDescent="0.2">
      <c r="A541" s="29"/>
      <c r="B541" s="30"/>
      <c r="C541" s="29"/>
      <c r="D541" s="29"/>
      <c r="E541" s="29"/>
      <c r="F541" s="29"/>
      <c r="G541" s="29"/>
    </row>
    <row r="542" spans="1:7" x14ac:dyDescent="0.2">
      <c r="A542" s="29"/>
      <c r="B542" s="30"/>
      <c r="C542" s="29"/>
      <c r="D542" s="29"/>
      <c r="E542" s="29"/>
      <c r="F542" s="29"/>
      <c r="G542" s="29"/>
    </row>
    <row r="543" spans="1:7" x14ac:dyDescent="0.2">
      <c r="A543" s="29"/>
      <c r="B543" s="30"/>
      <c r="C543" s="29"/>
      <c r="D543" s="29"/>
      <c r="E543" s="29"/>
      <c r="F543" s="29"/>
      <c r="G543" s="29"/>
    </row>
    <row r="544" spans="1:7" x14ac:dyDescent="0.2">
      <c r="A544" s="29"/>
      <c r="B544" s="30"/>
      <c r="C544" s="29"/>
      <c r="D544" s="29"/>
      <c r="E544" s="29"/>
      <c r="F544" s="29"/>
      <c r="G544" s="29"/>
    </row>
    <row r="545" spans="1:7" x14ac:dyDescent="0.2">
      <c r="A545" s="29"/>
      <c r="B545" s="30"/>
      <c r="C545" s="29"/>
      <c r="D545" s="29"/>
      <c r="E545" s="29"/>
      <c r="F545" s="29"/>
      <c r="G545" s="29"/>
    </row>
    <row r="546" spans="1:7" x14ac:dyDescent="0.2">
      <c r="A546" s="29"/>
      <c r="B546" s="30"/>
      <c r="C546" s="29"/>
      <c r="D546" s="29"/>
      <c r="E546" s="29"/>
      <c r="F546" s="29"/>
      <c r="G546" s="2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10</vt:i4>
      </vt:variant>
    </vt:vector>
  </HeadingPairs>
  <TitlesOfParts>
    <vt:vector size="10" baseType="lpstr">
      <vt:lpstr>bank egy</vt:lpstr>
      <vt:lpstr>bank kettő</vt:lpstr>
      <vt:lpstr>tantárgy</vt:lpstr>
      <vt:lpstr>hallgatók</vt:lpstr>
      <vt:lpstr>adósok</vt:lpstr>
      <vt:lpstr>munkák</vt:lpstr>
      <vt:lpstr>egyenlegek</vt:lpstr>
      <vt:lpstr>jegyzőkönyv</vt:lpstr>
      <vt:lpstr>javítások</vt:lpstr>
      <vt:lpstr>létszám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feltételes formázás példák</dc:title>
  <dc:subject>feltételes formázás példák</dc:subject>
  <dc:creator>Margitfalvi Árpád</dc:creator>
  <cp:lastModifiedBy>Nagy Szabolcs</cp:lastModifiedBy>
  <dcterms:created xsi:type="dcterms:W3CDTF">2022-02-05T15:45:03Z</dcterms:created>
  <dcterms:modified xsi:type="dcterms:W3CDTF">2022-03-16T12:14:02Z</dcterms:modified>
</cp:coreProperties>
</file>