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pp-backend-final\"/>
    </mc:Choice>
  </mc:AlternateContent>
  <xr:revisionPtr revIDLastSave="0" documentId="13_ncr:1_{41C8BDCE-955E-49E9-858A-3A0B3DC54916}" xr6:coauthVersionLast="47" xr6:coauthVersionMax="47" xr10:uidLastSave="{00000000-0000-0000-0000-000000000000}"/>
  <bookViews>
    <workbookView xWindow="-120" yWindow="-120" windowWidth="29040" windowHeight="15720" tabRatio="641" firstSheet="2" activeTab="14" xr2:uid="{76B85E1F-2916-4A73-8C16-DE09674BF13B}"/>
  </bookViews>
  <sheets>
    <sheet name="Perhitungan Bulbous Bow" sheetId="3" state="hidden" r:id="rId1"/>
    <sheet name="Data Kapal 1" sheetId="1" state="hidden" r:id="rId2"/>
    <sheet name="FOC REAL DF8" sheetId="8" r:id="rId3"/>
    <sheet name="FOC REAL DK9" sheetId="13" r:id="rId4"/>
    <sheet name="Testing DF8 (3)" sheetId="9" r:id="rId5"/>
    <sheet name="Sheet3" sheetId="29" state="hidden" r:id="rId6"/>
    <sheet name="DataRegresi DF 8" sheetId="21" state="hidden" r:id="rId7"/>
    <sheet name="Hasil Regresi DF8_1" sheetId="27" state="hidden" r:id="rId8"/>
    <sheet name="Hasil Regresi DF8_2" sheetId="23" state="hidden" r:id="rId9"/>
    <sheet name="Testing DK9 (3)" sheetId="10" r:id="rId10"/>
    <sheet name="Data Regresi DK 9" sheetId="25" state="hidden" r:id="rId11"/>
    <sheet name="Hasil Regresi DK9_1" sheetId="26" state="hidden" r:id="rId12"/>
    <sheet name="Sheet2" sheetId="28" state="hidden" r:id="rId13"/>
    <sheet name="Sheet1" sheetId="14" state="hidden" r:id="rId14"/>
    <sheet name="ferry" sheetId="11" r:id="rId15"/>
    <sheet name="kencana" sheetId="12" r:id="rId16"/>
  </sheets>
  <externalReferences>
    <externalReference r:id="rId17"/>
  </externalReferences>
  <definedNames>
    <definedName name="_xlnm._FilterDatabase" localSheetId="5" hidden="1">Sheet3!$B$3:$J$107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2" l="1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31" i="12"/>
  <c r="U32" i="12"/>
  <c r="U30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53" i="12"/>
  <c r="X152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3" i="12"/>
  <c r="H30" i="11"/>
  <c r="CE245" i="9"/>
  <c r="CG136" i="9"/>
  <c r="J111" i="29"/>
  <c r="J112" i="29"/>
  <c r="J113" i="29"/>
  <c r="J114" i="29"/>
  <c r="J115" i="29"/>
  <c r="J116" i="29"/>
  <c r="J117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J161" i="29"/>
  <c r="J162" i="29"/>
  <c r="J163" i="29"/>
  <c r="J164" i="29"/>
  <c r="J165" i="29"/>
  <c r="J166" i="29"/>
  <c r="J167" i="29"/>
  <c r="J168" i="29"/>
  <c r="J169" i="29"/>
  <c r="J170" i="29"/>
  <c r="J171" i="29"/>
  <c r="J172" i="29"/>
  <c r="J173" i="29"/>
  <c r="J174" i="29"/>
  <c r="J175" i="29"/>
  <c r="J176" i="29"/>
  <c r="J177" i="29"/>
  <c r="J178" i="29"/>
  <c r="J179" i="29"/>
  <c r="J180" i="29"/>
  <c r="J181" i="29"/>
  <c r="J182" i="29"/>
  <c r="J183" i="29"/>
  <c r="J184" i="29"/>
  <c r="J185" i="29"/>
  <c r="J18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110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111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5" i="29"/>
  <c r="C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4" i="29"/>
  <c r="AU134" i="9"/>
  <c r="AU127" i="9"/>
  <c r="AU128" i="9"/>
  <c r="AU129" i="9"/>
  <c r="AU130" i="9"/>
  <c r="AU131" i="9"/>
  <c r="AU132" i="9"/>
  <c r="AU133" i="9"/>
  <c r="AA33" i="9"/>
  <c r="W33" i="9"/>
  <c r="AN35" i="9"/>
  <c r="CA251" i="10" l="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" i="11"/>
  <c r="Q131" i="11"/>
  <c r="O131" i="11" s="1"/>
  <c r="Q132" i="11"/>
  <c r="R132" i="11" s="1"/>
  <c r="Q133" i="11"/>
  <c r="O133" i="11" s="1"/>
  <c r="BZ256" i="10"/>
  <c r="CA161" i="10"/>
  <c r="CA166" i="10"/>
  <c r="CA171" i="10"/>
  <c r="CA176" i="10"/>
  <c r="CA181" i="10"/>
  <c r="CA186" i="10"/>
  <c r="CA191" i="10"/>
  <c r="CA196" i="10"/>
  <c r="CA201" i="10"/>
  <c r="CA206" i="10"/>
  <c r="CA211" i="10"/>
  <c r="CA216" i="10"/>
  <c r="CA221" i="10"/>
  <c r="CA226" i="10"/>
  <c r="CA231" i="10"/>
  <c r="CA236" i="10"/>
  <c r="CA241" i="10"/>
  <c r="CA246" i="10"/>
  <c r="CA156" i="10"/>
  <c r="V199" i="10"/>
  <c r="BZ151" i="10"/>
  <c r="P132" i="11" l="1"/>
  <c r="P131" i="11"/>
  <c r="O132" i="11"/>
  <c r="S131" i="11"/>
  <c r="R131" i="11"/>
  <c r="S133" i="11"/>
  <c r="R133" i="11"/>
  <c r="P133" i="11"/>
  <c r="S132" i="11"/>
  <c r="CD242" i="9"/>
  <c r="CD32" i="9"/>
  <c r="CD31" i="9"/>
  <c r="CD136" i="9" s="1"/>
  <c r="CD33" i="9"/>
  <c r="CC31" i="9"/>
  <c r="AE140" i="9"/>
  <c r="AE156" i="10"/>
  <c r="AE31" i="10"/>
  <c r="AE33" i="9"/>
  <c r="AE31" i="9"/>
  <c r="AK31" i="9" s="1"/>
  <c r="AD157" i="10"/>
  <c r="AD158" i="10"/>
  <c r="AD159" i="10"/>
  <c r="AD160" i="10"/>
  <c r="AD161" i="10"/>
  <c r="AD162" i="10"/>
  <c r="AD163" i="10"/>
  <c r="AD164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98" i="10"/>
  <c r="AD199" i="10"/>
  <c r="AD200" i="10"/>
  <c r="AD201" i="10"/>
  <c r="AD202" i="10"/>
  <c r="AD203" i="10"/>
  <c r="AD204" i="10"/>
  <c r="AD205" i="10"/>
  <c r="AD206" i="10"/>
  <c r="AD207" i="10"/>
  <c r="AD208" i="10"/>
  <c r="AD209" i="10"/>
  <c r="AD210" i="10"/>
  <c r="AD211" i="10"/>
  <c r="AD212" i="10"/>
  <c r="AD213" i="10"/>
  <c r="AD214" i="10"/>
  <c r="AD215" i="10"/>
  <c r="AD216" i="10"/>
  <c r="AD217" i="10"/>
  <c r="AD218" i="10"/>
  <c r="AD219" i="10"/>
  <c r="AD220" i="10"/>
  <c r="AD221" i="10"/>
  <c r="AD222" i="10"/>
  <c r="AD223" i="10"/>
  <c r="AD224" i="10"/>
  <c r="AD225" i="10"/>
  <c r="AD226" i="10"/>
  <c r="AD227" i="10"/>
  <c r="AD228" i="10"/>
  <c r="AD229" i="10"/>
  <c r="AD230" i="10"/>
  <c r="AD231" i="10"/>
  <c r="AD232" i="10"/>
  <c r="AD233" i="10"/>
  <c r="AD234" i="10"/>
  <c r="AD235" i="10"/>
  <c r="AD236" i="10"/>
  <c r="AD237" i="10"/>
  <c r="AD238" i="10"/>
  <c r="AD239" i="10"/>
  <c r="AD240" i="10"/>
  <c r="AD241" i="10"/>
  <c r="AD242" i="10"/>
  <c r="AD243" i="10"/>
  <c r="AD244" i="10"/>
  <c r="AD245" i="10"/>
  <c r="AD246" i="10"/>
  <c r="AD247" i="10"/>
  <c r="AD248" i="10"/>
  <c r="AD249" i="10"/>
  <c r="AD250" i="10"/>
  <c r="AD251" i="10"/>
  <c r="AD156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D122" i="10"/>
  <c r="AD123" i="10"/>
  <c r="AD124" i="10"/>
  <c r="AD125" i="10"/>
  <c r="AD126" i="10"/>
  <c r="AD127" i="10"/>
  <c r="AD128" i="10"/>
  <c r="AD129" i="10"/>
  <c r="AD130" i="10"/>
  <c r="AD131" i="10"/>
  <c r="AD132" i="10"/>
  <c r="AD133" i="10"/>
  <c r="AD134" i="10"/>
  <c r="AD135" i="10"/>
  <c r="AD136" i="10"/>
  <c r="AD137" i="10"/>
  <c r="AD138" i="10"/>
  <c r="AD139" i="10"/>
  <c r="AD140" i="10"/>
  <c r="AD141" i="10"/>
  <c r="AD142" i="10"/>
  <c r="AD143" i="10"/>
  <c r="AD144" i="10"/>
  <c r="AD145" i="10"/>
  <c r="AD146" i="10"/>
  <c r="AD147" i="10"/>
  <c r="AD148" i="10"/>
  <c r="AD149" i="10"/>
  <c r="AD150" i="10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37" i="9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AB46" i="13"/>
  <c r="AC46" i="13"/>
  <c r="AD46" i="13"/>
  <c r="T58" i="13"/>
  <c r="U58" i="13"/>
  <c r="S58" i="13"/>
  <c r="P57" i="13"/>
  <c r="P58" i="13"/>
  <c r="T48" i="8"/>
  <c r="T56" i="13"/>
  <c r="T42" i="13"/>
  <c r="U42" i="13"/>
  <c r="T43" i="13"/>
  <c r="U43" i="13"/>
  <c r="T44" i="13"/>
  <c r="U44" i="13"/>
  <c r="T45" i="13"/>
  <c r="U45" i="13"/>
  <c r="T46" i="13"/>
  <c r="U46" i="13"/>
  <c r="S46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Y43" i="13"/>
  <c r="G113" i="13"/>
  <c r="AA65" i="13"/>
  <c r="R65" i="13"/>
  <c r="Q65" i="13"/>
  <c r="AD60" i="13"/>
  <c r="AB60" i="13"/>
  <c r="AD59" i="13"/>
  <c r="AB59" i="13"/>
  <c r="AD58" i="13"/>
  <c r="AB58" i="13"/>
  <c r="AD57" i="13"/>
  <c r="AB57" i="13"/>
  <c r="U57" i="13"/>
  <c r="T57" i="13"/>
  <c r="S57" i="13"/>
  <c r="AD56" i="13"/>
  <c r="AB56" i="13"/>
  <c r="U56" i="13"/>
  <c r="S56" i="13"/>
  <c r="AD55" i="13"/>
  <c r="AB55" i="13"/>
  <c r="U55" i="13"/>
  <c r="T55" i="13"/>
  <c r="S55" i="13"/>
  <c r="AD54" i="13"/>
  <c r="AB54" i="13"/>
  <c r="U54" i="13"/>
  <c r="T54" i="13"/>
  <c r="S54" i="13"/>
  <c r="AD53" i="13"/>
  <c r="AB53" i="13"/>
  <c r="U53" i="13"/>
  <c r="T53" i="13"/>
  <c r="S53" i="13"/>
  <c r="AD52" i="13"/>
  <c r="AB52" i="13"/>
  <c r="U52" i="13"/>
  <c r="T52" i="13"/>
  <c r="S52" i="13"/>
  <c r="AD51" i="13"/>
  <c r="AB51" i="13"/>
  <c r="U51" i="13"/>
  <c r="T51" i="13"/>
  <c r="S51" i="13"/>
  <c r="AD50" i="13"/>
  <c r="AB50" i="13"/>
  <c r="U50" i="13"/>
  <c r="T50" i="13"/>
  <c r="S50" i="13"/>
  <c r="AD49" i="13"/>
  <c r="AB49" i="13"/>
  <c r="U49" i="13"/>
  <c r="T49" i="13"/>
  <c r="S49" i="13"/>
  <c r="AD48" i="13"/>
  <c r="AB48" i="13"/>
  <c r="U48" i="13"/>
  <c r="T48" i="13"/>
  <c r="S48" i="13"/>
  <c r="AD47" i="13"/>
  <c r="AB47" i="13"/>
  <c r="U47" i="13"/>
  <c r="T47" i="13"/>
  <c r="S47" i="13"/>
  <c r="AD45" i="13"/>
  <c r="AB45" i="13"/>
  <c r="S45" i="13"/>
  <c r="AD44" i="13"/>
  <c r="AB44" i="13"/>
  <c r="S44" i="13"/>
  <c r="AD43" i="13"/>
  <c r="AB43" i="13"/>
  <c r="S43" i="13"/>
  <c r="AD42" i="13"/>
  <c r="AC42" i="13"/>
  <c r="Y42" i="13"/>
  <c r="S42" i="13"/>
  <c r="P42" i="13"/>
  <c r="AD41" i="13"/>
  <c r="AC41" i="13"/>
  <c r="AB41" i="13"/>
  <c r="U41" i="13"/>
  <c r="T41" i="13"/>
  <c r="S41" i="13"/>
  <c r="S31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Y7" i="13"/>
  <c r="AD32" i="9"/>
  <c r="AD33" i="9"/>
  <c r="AD34" i="9"/>
  <c r="AD35" i="9"/>
  <c r="AD36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Z239" i="9"/>
  <c r="Z240" i="9"/>
  <c r="Z141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32" i="9"/>
  <c r="AK33" i="9" l="1"/>
  <c r="T31" i="13"/>
  <c r="V44" i="13"/>
  <c r="V46" i="13"/>
  <c r="V43" i="13"/>
  <c r="V45" i="13"/>
  <c r="V42" i="13"/>
  <c r="V58" i="13"/>
  <c r="X65" i="13"/>
  <c r="O65" i="13"/>
  <c r="V55" i="13"/>
  <c r="AC49" i="13"/>
  <c r="V53" i="13"/>
  <c r="AC57" i="13"/>
  <c r="V47" i="13"/>
  <c r="V41" i="13"/>
  <c r="AC43" i="13"/>
  <c r="V48" i="13"/>
  <c r="AC52" i="13"/>
  <c r="V56" i="13"/>
  <c r="AC60" i="13"/>
  <c r="AC47" i="13"/>
  <c r="V51" i="13"/>
  <c r="AC55" i="13"/>
  <c r="S65" i="13"/>
  <c r="AC59" i="13"/>
  <c r="AC50" i="13"/>
  <c r="V54" i="13"/>
  <c r="AC58" i="13"/>
  <c r="AC44" i="13"/>
  <c r="V49" i="13"/>
  <c r="AC53" i="13"/>
  <c r="V57" i="13"/>
  <c r="Z65" i="13"/>
  <c r="AE41" i="13"/>
  <c r="AB42" i="13"/>
  <c r="AE51" i="13" s="1"/>
  <c r="AC48" i="13"/>
  <c r="V52" i="13"/>
  <c r="AC56" i="13"/>
  <c r="AC51" i="13"/>
  <c r="AC45" i="13"/>
  <c r="V50" i="13"/>
  <c r="AC54" i="13"/>
  <c r="O149" i="12"/>
  <c r="Q149" i="12" s="1"/>
  <c r="O131" i="12"/>
  <c r="P131" i="12" s="1"/>
  <c r="O132" i="12"/>
  <c r="Q132" i="12" s="1"/>
  <c r="O133" i="12"/>
  <c r="S133" i="12" s="1"/>
  <c r="O134" i="12"/>
  <c r="Q134" i="12" s="1"/>
  <c r="P134" i="12"/>
  <c r="O135" i="12"/>
  <c r="P135" i="12" s="1"/>
  <c r="O136" i="12"/>
  <c r="Q136" i="12" s="1"/>
  <c r="O137" i="12"/>
  <c r="S137" i="12" s="1"/>
  <c r="O138" i="12"/>
  <c r="Q138" i="12" s="1"/>
  <c r="O139" i="12"/>
  <c r="P139" i="12" s="1"/>
  <c r="O140" i="12"/>
  <c r="Q140" i="12" s="1"/>
  <c r="O141" i="12"/>
  <c r="S141" i="12" s="1"/>
  <c r="O142" i="12"/>
  <c r="Q142" i="12" s="1"/>
  <c r="O143" i="12"/>
  <c r="P143" i="12" s="1"/>
  <c r="O144" i="12"/>
  <c r="Q144" i="12" s="1"/>
  <c r="O145" i="12"/>
  <c r="S145" i="12" s="1"/>
  <c r="O146" i="12"/>
  <c r="R146" i="12" s="1"/>
  <c r="O147" i="12"/>
  <c r="P147" i="12" s="1"/>
  <c r="O148" i="12"/>
  <c r="Q148" i="12" s="1"/>
  <c r="AE46" i="13" l="1"/>
  <c r="AB65" i="13"/>
  <c r="AE58" i="13"/>
  <c r="AE49" i="13"/>
  <c r="AE48" i="13"/>
  <c r="AE50" i="13"/>
  <c r="AE55" i="13"/>
  <c r="AE45" i="13"/>
  <c r="AE53" i="13"/>
  <c r="AE47" i="13"/>
  <c r="AE44" i="13"/>
  <c r="AE52" i="13"/>
  <c r="AE43" i="13"/>
  <c r="AE42" i="13"/>
  <c r="AE60" i="13"/>
  <c r="AE57" i="13"/>
  <c r="AE54" i="13"/>
  <c r="AE59" i="13"/>
  <c r="AE56" i="13"/>
  <c r="Q145" i="12"/>
  <c r="S138" i="12"/>
  <c r="P132" i="12"/>
  <c r="R138" i="12"/>
  <c r="R131" i="12"/>
  <c r="S134" i="12"/>
  <c r="S149" i="12"/>
  <c r="R145" i="12"/>
  <c r="P136" i="12"/>
  <c r="P146" i="12"/>
  <c r="R142" i="12"/>
  <c r="Q133" i="12"/>
  <c r="P149" i="12"/>
  <c r="S142" i="12"/>
  <c r="P142" i="12"/>
  <c r="P133" i="12"/>
  <c r="Q147" i="12"/>
  <c r="Q141" i="12"/>
  <c r="P138" i="12"/>
  <c r="P144" i="12"/>
  <c r="P141" i="12"/>
  <c r="R134" i="12"/>
  <c r="S131" i="12"/>
  <c r="Q137" i="12"/>
  <c r="S146" i="12"/>
  <c r="Q146" i="12"/>
  <c r="P140" i="12"/>
  <c r="P137" i="12"/>
  <c r="P148" i="12"/>
  <c r="S135" i="12"/>
  <c r="S143" i="12"/>
  <c r="R135" i="12"/>
  <c r="S139" i="12"/>
  <c r="S147" i="12"/>
  <c r="R143" i="12"/>
  <c r="R139" i="12"/>
  <c r="R147" i="12"/>
  <c r="Q143" i="12"/>
  <c r="R141" i="12"/>
  <c r="Q139" i="12"/>
  <c r="R137" i="12"/>
  <c r="Q135" i="12"/>
  <c r="R133" i="12"/>
  <c r="R149" i="12"/>
  <c r="S144" i="12"/>
  <c r="S140" i="12"/>
  <c r="S136" i="12"/>
  <c r="S132" i="12"/>
  <c r="Q131" i="12"/>
  <c r="R148" i="12"/>
  <c r="R144" i="12"/>
  <c r="R140" i="12"/>
  <c r="R136" i="12"/>
  <c r="R132" i="12"/>
  <c r="P145" i="12"/>
  <c r="S148" i="12"/>
  <c r="O30" i="12" l="1"/>
  <c r="R30" i="12" s="1"/>
  <c r="H30" i="12"/>
  <c r="J30" i="12" s="1"/>
  <c r="O245" i="12"/>
  <c r="S245" i="12" s="1"/>
  <c r="O244" i="12"/>
  <c r="O243" i="12"/>
  <c r="O242" i="12"/>
  <c r="R242" i="12" s="1"/>
  <c r="O241" i="12"/>
  <c r="O240" i="12"/>
  <c r="O239" i="12"/>
  <c r="O238" i="12"/>
  <c r="R238" i="12" s="1"/>
  <c r="O237" i="12"/>
  <c r="O236" i="12"/>
  <c r="O235" i="12"/>
  <c r="O234" i="12"/>
  <c r="O233" i="12"/>
  <c r="O232" i="12"/>
  <c r="O231" i="12"/>
  <c r="O230" i="12"/>
  <c r="R230" i="12" s="1"/>
  <c r="O229" i="12"/>
  <c r="S229" i="12" s="1"/>
  <c r="O228" i="12"/>
  <c r="O227" i="12"/>
  <c r="O226" i="12"/>
  <c r="R226" i="12" s="1"/>
  <c r="O225" i="12"/>
  <c r="O224" i="12"/>
  <c r="O223" i="12"/>
  <c r="O222" i="12"/>
  <c r="R222" i="12" s="1"/>
  <c r="O221" i="12"/>
  <c r="O220" i="12"/>
  <c r="O219" i="12"/>
  <c r="O218" i="12"/>
  <c r="O217" i="12"/>
  <c r="O216" i="12"/>
  <c r="O215" i="12"/>
  <c r="O214" i="12"/>
  <c r="R214" i="12" s="1"/>
  <c r="O213" i="12"/>
  <c r="S213" i="12" s="1"/>
  <c r="O212" i="12"/>
  <c r="O211" i="12"/>
  <c r="O210" i="12"/>
  <c r="R210" i="12" s="1"/>
  <c r="O209" i="12"/>
  <c r="O208" i="12"/>
  <c r="O207" i="12"/>
  <c r="O206" i="12"/>
  <c r="R206" i="12" s="1"/>
  <c r="O205" i="12"/>
  <c r="S205" i="12" s="1"/>
  <c r="O204" i="12"/>
  <c r="O203" i="12"/>
  <c r="O202" i="12"/>
  <c r="R202" i="12" s="1"/>
  <c r="O201" i="12"/>
  <c r="O200" i="12"/>
  <c r="O199" i="12"/>
  <c r="O198" i="12"/>
  <c r="R198" i="12" s="1"/>
  <c r="O197" i="12"/>
  <c r="S197" i="12" s="1"/>
  <c r="O196" i="12"/>
  <c r="O195" i="12"/>
  <c r="O194" i="12"/>
  <c r="R194" i="12" s="1"/>
  <c r="O193" i="12"/>
  <c r="O192" i="12"/>
  <c r="Q192" i="12" s="1"/>
  <c r="O191" i="12"/>
  <c r="O190" i="12"/>
  <c r="S190" i="12" s="1"/>
  <c r="O189" i="12"/>
  <c r="O188" i="12"/>
  <c r="Q188" i="12" s="1"/>
  <c r="O187" i="12"/>
  <c r="O186" i="12"/>
  <c r="S186" i="12" s="1"/>
  <c r="O185" i="12"/>
  <c r="O184" i="12"/>
  <c r="Q184" i="12" s="1"/>
  <c r="O183" i="12"/>
  <c r="O182" i="12"/>
  <c r="S182" i="12" s="1"/>
  <c r="O181" i="12"/>
  <c r="O180" i="12"/>
  <c r="Q180" i="12" s="1"/>
  <c r="O179" i="12"/>
  <c r="O178" i="12"/>
  <c r="S178" i="12" s="1"/>
  <c r="O177" i="12"/>
  <c r="O176" i="12"/>
  <c r="Q176" i="12" s="1"/>
  <c r="O175" i="12"/>
  <c r="O174" i="12"/>
  <c r="S174" i="12" s="1"/>
  <c r="O173" i="12"/>
  <c r="O172" i="12"/>
  <c r="Q172" i="12" s="1"/>
  <c r="O171" i="12"/>
  <c r="O170" i="12"/>
  <c r="S170" i="12" s="1"/>
  <c r="O169" i="12"/>
  <c r="O168" i="12"/>
  <c r="Q168" i="12" s="1"/>
  <c r="O167" i="12"/>
  <c r="O166" i="12"/>
  <c r="Q166" i="12" s="1"/>
  <c r="O165" i="12"/>
  <c r="S165" i="12" s="1"/>
  <c r="O164" i="12"/>
  <c r="S164" i="12" s="1"/>
  <c r="O163" i="12"/>
  <c r="S163" i="12" s="1"/>
  <c r="O162" i="12"/>
  <c r="R162" i="12" s="1"/>
  <c r="O161" i="12"/>
  <c r="O160" i="12"/>
  <c r="P160" i="12" s="1"/>
  <c r="O159" i="12"/>
  <c r="S159" i="12" s="1"/>
  <c r="O158" i="12"/>
  <c r="R158" i="12" s="1"/>
  <c r="O157" i="12"/>
  <c r="P157" i="12" s="1"/>
  <c r="O156" i="12"/>
  <c r="P156" i="12" s="1"/>
  <c r="O155" i="12"/>
  <c r="S155" i="12" s="1"/>
  <c r="O154" i="12"/>
  <c r="R154" i="12" s="1"/>
  <c r="O153" i="12"/>
  <c r="P153" i="12" s="1"/>
  <c r="O152" i="12"/>
  <c r="O151" i="12"/>
  <c r="S151" i="12" s="1"/>
  <c r="O150" i="12"/>
  <c r="R150" i="12" s="1"/>
  <c r="O130" i="12"/>
  <c r="S130" i="12" s="1"/>
  <c r="O129" i="12"/>
  <c r="R129" i="12" s="1"/>
  <c r="O128" i="12"/>
  <c r="S128" i="12" s="1"/>
  <c r="O127" i="12"/>
  <c r="R127" i="12" s="1"/>
  <c r="O126" i="12"/>
  <c r="Q126" i="12" s="1"/>
  <c r="O125" i="12"/>
  <c r="O124" i="12"/>
  <c r="S124" i="12" s="1"/>
  <c r="O123" i="12"/>
  <c r="R123" i="12" s="1"/>
  <c r="O122" i="12"/>
  <c r="Q122" i="12" s="1"/>
  <c r="O121" i="12"/>
  <c r="O120" i="12"/>
  <c r="S120" i="12" s="1"/>
  <c r="O119" i="12"/>
  <c r="Q119" i="12" s="1"/>
  <c r="O118" i="12"/>
  <c r="Q118" i="12" s="1"/>
  <c r="O117" i="12"/>
  <c r="O116" i="12"/>
  <c r="S116" i="12" s="1"/>
  <c r="O115" i="12"/>
  <c r="Q115" i="12" s="1"/>
  <c r="O114" i="12"/>
  <c r="P114" i="12" s="1"/>
  <c r="O113" i="12"/>
  <c r="O112" i="12"/>
  <c r="S112" i="12" s="1"/>
  <c r="O111" i="12"/>
  <c r="S111" i="12" s="1"/>
  <c r="O110" i="12"/>
  <c r="R110" i="12" s="1"/>
  <c r="O109" i="12"/>
  <c r="P109" i="12" s="1"/>
  <c r="O108" i="12"/>
  <c r="S108" i="12" s="1"/>
  <c r="O107" i="12"/>
  <c r="S107" i="12" s="1"/>
  <c r="O106" i="12"/>
  <c r="S106" i="12" s="1"/>
  <c r="O105" i="12"/>
  <c r="R105" i="12" s="1"/>
  <c r="O104" i="12"/>
  <c r="S104" i="12" s="1"/>
  <c r="O103" i="12"/>
  <c r="R103" i="12" s="1"/>
  <c r="O102" i="12"/>
  <c r="O101" i="12"/>
  <c r="P101" i="12" s="1"/>
  <c r="O100" i="12"/>
  <c r="S100" i="12" s="1"/>
  <c r="O99" i="12"/>
  <c r="S99" i="12" s="1"/>
  <c r="O98" i="12"/>
  <c r="S98" i="12" s="1"/>
  <c r="O97" i="12"/>
  <c r="O96" i="12"/>
  <c r="O95" i="12"/>
  <c r="P95" i="12" s="1"/>
  <c r="O94" i="12"/>
  <c r="R94" i="12" s="1"/>
  <c r="O93" i="12"/>
  <c r="R93" i="12" s="1"/>
  <c r="O92" i="12"/>
  <c r="S92" i="12" s="1"/>
  <c r="O91" i="12"/>
  <c r="O90" i="12"/>
  <c r="S90" i="12" s="1"/>
  <c r="O89" i="12"/>
  <c r="O88" i="12"/>
  <c r="O87" i="12"/>
  <c r="P87" i="12" s="1"/>
  <c r="O86" i="12"/>
  <c r="S86" i="12" s="1"/>
  <c r="O85" i="12"/>
  <c r="O84" i="12"/>
  <c r="O83" i="12"/>
  <c r="P83" i="12" s="1"/>
  <c r="O82" i="12"/>
  <c r="S82" i="12" s="1"/>
  <c r="O81" i="12"/>
  <c r="O80" i="12"/>
  <c r="S80" i="12" s="1"/>
  <c r="O79" i="12"/>
  <c r="O78" i="12"/>
  <c r="O77" i="12"/>
  <c r="R77" i="12" s="1"/>
  <c r="O76" i="12"/>
  <c r="O75" i="12"/>
  <c r="S75" i="12" s="1"/>
  <c r="O74" i="12"/>
  <c r="O73" i="12"/>
  <c r="R73" i="12" s="1"/>
  <c r="O72" i="12"/>
  <c r="S72" i="12" s="1"/>
  <c r="O71" i="12"/>
  <c r="P71" i="12" s="1"/>
  <c r="O70" i="12"/>
  <c r="R70" i="12" s="1"/>
  <c r="O69" i="12"/>
  <c r="P69" i="12" s="1"/>
  <c r="O68" i="12"/>
  <c r="S68" i="12" s="1"/>
  <c r="O67" i="12"/>
  <c r="S67" i="12" s="1"/>
  <c r="O66" i="12"/>
  <c r="S66" i="12" s="1"/>
  <c r="O65" i="12"/>
  <c r="O64" i="12"/>
  <c r="P64" i="12" s="1"/>
  <c r="O63" i="12"/>
  <c r="O62" i="12"/>
  <c r="O61" i="12"/>
  <c r="R61" i="12" s="1"/>
  <c r="O60" i="12"/>
  <c r="O59" i="12"/>
  <c r="O58" i="12"/>
  <c r="S58" i="12" s="1"/>
  <c r="O57" i="12"/>
  <c r="Q57" i="12" s="1"/>
  <c r="O56" i="12"/>
  <c r="O55" i="12"/>
  <c r="P55" i="12" s="1"/>
  <c r="O54" i="12"/>
  <c r="S54" i="12" s="1"/>
  <c r="O53" i="12"/>
  <c r="Q53" i="12" s="1"/>
  <c r="O52" i="12"/>
  <c r="S52" i="12" s="1"/>
  <c r="O51" i="12"/>
  <c r="R51" i="12" s="1"/>
  <c r="O50" i="12"/>
  <c r="O49" i="12"/>
  <c r="P49" i="12" s="1"/>
  <c r="O48" i="12"/>
  <c r="S48" i="12" s="1"/>
  <c r="O47" i="12"/>
  <c r="O46" i="12"/>
  <c r="R46" i="12" s="1"/>
  <c r="O45" i="12"/>
  <c r="P45" i="12" s="1"/>
  <c r="O44" i="12"/>
  <c r="P44" i="12" s="1"/>
  <c r="O43" i="12"/>
  <c r="P43" i="12" s="1"/>
  <c r="O42" i="12"/>
  <c r="R42" i="12" s="1"/>
  <c r="O41" i="12"/>
  <c r="P41" i="12" s="1"/>
  <c r="O40" i="12"/>
  <c r="P40" i="12" s="1"/>
  <c r="O39" i="12"/>
  <c r="P39" i="12" s="1"/>
  <c r="O38" i="12"/>
  <c r="R38" i="12" s="1"/>
  <c r="O37" i="12"/>
  <c r="O36" i="12"/>
  <c r="P36" i="12" s="1"/>
  <c r="O35" i="12"/>
  <c r="P35" i="12" s="1"/>
  <c r="O34" i="12"/>
  <c r="O33" i="12"/>
  <c r="S33" i="12" s="1"/>
  <c r="O32" i="12"/>
  <c r="P32" i="12" s="1"/>
  <c r="O31" i="12"/>
  <c r="Q31" i="12" s="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O209" i="11" s="1"/>
  <c r="Q210" i="11"/>
  <c r="O210" i="11" s="1"/>
  <c r="Q211" i="11"/>
  <c r="O211" i="11" s="1"/>
  <c r="Q212" i="11"/>
  <c r="Q213" i="11"/>
  <c r="O213" i="11" s="1"/>
  <c r="Q214" i="11"/>
  <c r="O214" i="11" s="1"/>
  <c r="Q215" i="11"/>
  <c r="O215" i="11" s="1"/>
  <c r="Q216" i="11"/>
  <c r="Q217" i="11"/>
  <c r="O217" i="11" s="1"/>
  <c r="Q218" i="11"/>
  <c r="O218" i="11" s="1"/>
  <c r="Q219" i="11"/>
  <c r="R219" i="11" s="1"/>
  <c r="Q220" i="11"/>
  <c r="O220" i="11" s="1"/>
  <c r="Q221" i="11"/>
  <c r="O221" i="11" s="1"/>
  <c r="Q222" i="11"/>
  <c r="O222" i="11" s="1"/>
  <c r="Q223" i="11"/>
  <c r="O223" i="11" s="1"/>
  <c r="Q224" i="11"/>
  <c r="O224" i="11" s="1"/>
  <c r="Q225" i="11"/>
  <c r="O225" i="11" s="1"/>
  <c r="Q226" i="11"/>
  <c r="O226" i="11" s="1"/>
  <c r="Q227" i="11"/>
  <c r="O227" i="11" s="1"/>
  <c r="Q228" i="11"/>
  <c r="O228" i="11" s="1"/>
  <c r="Q229" i="11"/>
  <c r="O229" i="11" s="1"/>
  <c r="Q230" i="11"/>
  <c r="O230" i="11" s="1"/>
  <c r="Q231" i="11"/>
  <c r="O231" i="11" s="1"/>
  <c r="Q232" i="11"/>
  <c r="O232" i="11" s="1"/>
  <c r="Q233" i="11"/>
  <c r="O233" i="11" s="1"/>
  <c r="Q234" i="11"/>
  <c r="O234" i="11" s="1"/>
  <c r="Q134" i="11"/>
  <c r="P134" i="11" s="1"/>
  <c r="Q31" i="11"/>
  <c r="R31" i="11" s="1"/>
  <c r="Q32" i="11"/>
  <c r="R32" i="11" s="1"/>
  <c r="Q33" i="11"/>
  <c r="S33" i="11" s="1"/>
  <c r="Q34" i="11"/>
  <c r="P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S41" i="11" s="1"/>
  <c r="Q42" i="11"/>
  <c r="P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S49" i="11" s="1"/>
  <c r="Q50" i="11"/>
  <c r="P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S57" i="11" s="1"/>
  <c r="Q58" i="11"/>
  <c r="P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S65" i="11" s="1"/>
  <c r="Q66" i="11"/>
  <c r="P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S73" i="11" s="1"/>
  <c r="Q74" i="11"/>
  <c r="P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S81" i="11" s="1"/>
  <c r="Q82" i="11"/>
  <c r="P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S89" i="11" s="1"/>
  <c r="Q90" i="11"/>
  <c r="P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S97" i="11" s="1"/>
  <c r="Q98" i="11"/>
  <c r="P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S105" i="11" s="1"/>
  <c r="Q106" i="11"/>
  <c r="P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S113" i="11" s="1"/>
  <c r="Q114" i="11"/>
  <c r="P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S121" i="11" s="1"/>
  <c r="Q122" i="11"/>
  <c r="P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S129" i="11" s="1"/>
  <c r="Q130" i="11"/>
  <c r="P130" i="11" s="1"/>
  <c r="Q30" i="11"/>
  <c r="R30" i="11" s="1"/>
  <c r="H126" i="11"/>
  <c r="J126" i="11" s="1"/>
  <c r="N126" i="11" s="1"/>
  <c r="H127" i="11"/>
  <c r="J127" i="11" s="1"/>
  <c r="N127" i="11" s="1"/>
  <c r="H128" i="11"/>
  <c r="J128" i="11" s="1"/>
  <c r="N128" i="11" s="1"/>
  <c r="J30" i="11"/>
  <c r="D3" i="9"/>
  <c r="D9" i="9" s="1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BJ156" i="10"/>
  <c r="BG156" i="10"/>
  <c r="BE156" i="10"/>
  <c r="BD156" i="10" s="1"/>
  <c r="AK252" i="10"/>
  <c r="AK253" i="10"/>
  <c r="AK254" i="10"/>
  <c r="AD252" i="10"/>
  <c r="AD253" i="10"/>
  <c r="AD254" i="10"/>
  <c r="U30" i="11" l="1"/>
  <c r="N30" i="11"/>
  <c r="D10" i="9"/>
  <c r="G5" i="9"/>
  <c r="V235" i="9"/>
  <c r="V227" i="9"/>
  <c r="V219" i="9"/>
  <c r="V211" i="9"/>
  <c r="V203" i="9"/>
  <c r="V195" i="9"/>
  <c r="V187" i="9"/>
  <c r="V179" i="9"/>
  <c r="V171" i="9"/>
  <c r="V163" i="9"/>
  <c r="V155" i="9"/>
  <c r="V147" i="9"/>
  <c r="V239" i="9"/>
  <c r="V231" i="9"/>
  <c r="V223" i="9"/>
  <c r="V215" i="9"/>
  <c r="V207" i="9"/>
  <c r="V199" i="9"/>
  <c r="V191" i="9"/>
  <c r="V183" i="9"/>
  <c r="V175" i="9"/>
  <c r="V167" i="9"/>
  <c r="V229" i="9"/>
  <c r="V221" i="9"/>
  <c r="V213" i="9"/>
  <c r="V197" i="9"/>
  <c r="V189" i="9"/>
  <c r="V181" i="9"/>
  <c r="V173" i="9"/>
  <c r="V165" i="9"/>
  <c r="V157" i="9"/>
  <c r="V149" i="9"/>
  <c r="V141" i="9"/>
  <c r="O219" i="11"/>
  <c r="R211" i="11"/>
  <c r="O134" i="11"/>
  <c r="R215" i="11"/>
  <c r="O104" i="11"/>
  <c r="R134" i="11"/>
  <c r="P104" i="11"/>
  <c r="P61" i="11"/>
  <c r="R214" i="11"/>
  <c r="P45" i="11"/>
  <c r="R218" i="11"/>
  <c r="R98" i="11"/>
  <c r="S71" i="11"/>
  <c r="O74" i="11"/>
  <c r="P102" i="11"/>
  <c r="P56" i="11"/>
  <c r="R34" i="11"/>
  <c r="S134" i="11"/>
  <c r="O64" i="11"/>
  <c r="P93" i="11"/>
  <c r="P54" i="11"/>
  <c r="S112" i="11"/>
  <c r="O58" i="11"/>
  <c r="P88" i="11"/>
  <c r="P48" i="11"/>
  <c r="S90" i="11"/>
  <c r="R210" i="11"/>
  <c r="O56" i="11"/>
  <c r="P86" i="11"/>
  <c r="O40" i="11"/>
  <c r="P77" i="11"/>
  <c r="P40" i="11"/>
  <c r="S56" i="11"/>
  <c r="O128" i="11"/>
  <c r="P118" i="11"/>
  <c r="P72" i="11"/>
  <c r="P38" i="11"/>
  <c r="S48" i="11"/>
  <c r="O120" i="11"/>
  <c r="P109" i="11"/>
  <c r="P70" i="11"/>
  <c r="P32" i="11"/>
  <c r="S32" i="11"/>
  <c r="N30" i="12"/>
  <c r="S206" i="12"/>
  <c r="Q67" i="12"/>
  <c r="R67" i="12"/>
  <c r="P38" i="12"/>
  <c r="Q51" i="12"/>
  <c r="Q94" i="12"/>
  <c r="R126" i="12"/>
  <c r="P67" i="12"/>
  <c r="P66" i="12"/>
  <c r="S42" i="12"/>
  <c r="Q54" i="12"/>
  <c r="Q66" i="12"/>
  <c r="R122" i="12"/>
  <c r="Q164" i="12"/>
  <c r="S222" i="12"/>
  <c r="R66" i="12"/>
  <c r="P54" i="12"/>
  <c r="S45" i="12"/>
  <c r="S110" i="12"/>
  <c r="R115" i="12"/>
  <c r="S157" i="12"/>
  <c r="Q55" i="12"/>
  <c r="S38" i="12"/>
  <c r="S51" i="12"/>
  <c r="R55" i="12"/>
  <c r="R92" i="12"/>
  <c r="S94" i="12"/>
  <c r="Q104" i="12"/>
  <c r="Q114" i="12"/>
  <c r="R118" i="12"/>
  <c r="S122" i="12"/>
  <c r="S126" i="12"/>
  <c r="Q150" i="12"/>
  <c r="Q162" i="12"/>
  <c r="S230" i="12"/>
  <c r="Q45" i="12"/>
  <c r="S55" i="12"/>
  <c r="R114" i="12"/>
  <c r="S118" i="12"/>
  <c r="S162" i="12"/>
  <c r="P164" i="12"/>
  <c r="S114" i="12"/>
  <c r="Q70" i="12"/>
  <c r="Q48" i="12"/>
  <c r="S70" i="12"/>
  <c r="S103" i="12"/>
  <c r="P123" i="12"/>
  <c r="Q151" i="12"/>
  <c r="R35" i="12"/>
  <c r="P42" i="12"/>
  <c r="R48" i="12"/>
  <c r="R119" i="12"/>
  <c r="R163" i="12"/>
  <c r="Q41" i="12"/>
  <c r="R54" i="12"/>
  <c r="Q71" i="12"/>
  <c r="P75" i="12"/>
  <c r="Q95" i="12"/>
  <c r="P128" i="12"/>
  <c r="P130" i="12"/>
  <c r="S150" i="12"/>
  <c r="R164" i="12"/>
  <c r="S214" i="12"/>
  <c r="R39" i="12"/>
  <c r="R41" i="12"/>
  <c r="P51" i="12"/>
  <c r="P70" i="12"/>
  <c r="R71" i="12"/>
  <c r="Q75" i="12"/>
  <c r="P94" i="12"/>
  <c r="R95" i="12"/>
  <c r="Q128" i="12"/>
  <c r="Q130" i="12"/>
  <c r="R157" i="12"/>
  <c r="Q159" i="12"/>
  <c r="S238" i="12"/>
  <c r="S41" i="12"/>
  <c r="S71" i="12"/>
  <c r="R75" i="12"/>
  <c r="S95" i="12"/>
  <c r="R130" i="12"/>
  <c r="R45" i="12"/>
  <c r="P103" i="12"/>
  <c r="R104" i="12"/>
  <c r="R109" i="12"/>
  <c r="S115" i="12"/>
  <c r="S119" i="12"/>
  <c r="S123" i="12"/>
  <c r="P127" i="12"/>
  <c r="R153" i="12"/>
  <c r="S194" i="12"/>
  <c r="Q103" i="12"/>
  <c r="S127" i="12"/>
  <c r="S153" i="12"/>
  <c r="S202" i="12"/>
  <c r="Q63" i="12"/>
  <c r="S63" i="12"/>
  <c r="R63" i="12"/>
  <c r="S78" i="12"/>
  <c r="R78" i="12"/>
  <c r="P78" i="12"/>
  <c r="Q78" i="12"/>
  <c r="P80" i="12"/>
  <c r="Q50" i="12"/>
  <c r="S50" i="12"/>
  <c r="R50" i="12"/>
  <c r="Q37" i="12"/>
  <c r="S37" i="12"/>
  <c r="R37" i="12"/>
  <c r="P50" i="12"/>
  <c r="S59" i="12"/>
  <c r="P59" i="12"/>
  <c r="R59" i="12"/>
  <c r="Q59" i="12"/>
  <c r="S79" i="12"/>
  <c r="R79" i="12"/>
  <c r="Q79" i="12"/>
  <c r="S88" i="12"/>
  <c r="P88" i="12"/>
  <c r="R88" i="12"/>
  <c r="Q88" i="12"/>
  <c r="P37" i="12"/>
  <c r="P79" i="12"/>
  <c r="P91" i="12"/>
  <c r="Q91" i="12"/>
  <c r="S91" i="12"/>
  <c r="R91" i="12"/>
  <c r="R234" i="12"/>
  <c r="S234" i="12"/>
  <c r="P31" i="12"/>
  <c r="R31" i="12"/>
  <c r="P62" i="12"/>
  <c r="S62" i="12"/>
  <c r="R62" i="12"/>
  <c r="Q62" i="12"/>
  <c r="Q102" i="12"/>
  <c r="S102" i="12"/>
  <c r="R102" i="12"/>
  <c r="P102" i="12"/>
  <c r="R218" i="12"/>
  <c r="S218" i="12"/>
  <c r="Q47" i="12"/>
  <c r="S47" i="12"/>
  <c r="S60" i="12"/>
  <c r="R60" i="12"/>
  <c r="S74" i="12"/>
  <c r="R74" i="12"/>
  <c r="Q74" i="12"/>
  <c r="S84" i="12"/>
  <c r="P84" i="12"/>
  <c r="R84" i="12"/>
  <c r="Q84" i="12"/>
  <c r="P161" i="12"/>
  <c r="Q161" i="12"/>
  <c r="S161" i="12"/>
  <c r="R161" i="12"/>
  <c r="R34" i="12"/>
  <c r="P34" i="12"/>
  <c r="S34" i="12"/>
  <c r="P63" i="12"/>
  <c r="R47" i="12"/>
  <c r="P74" i="12"/>
  <c r="P129" i="12"/>
  <c r="P33" i="12"/>
  <c r="Q43" i="12"/>
  <c r="P58" i="12"/>
  <c r="P73" i="12"/>
  <c r="P82" i="12"/>
  <c r="Q83" i="12"/>
  <c r="Q86" i="12"/>
  <c r="Q87" i="12"/>
  <c r="Q90" i="12"/>
  <c r="P99" i="12"/>
  <c r="P107" i="12"/>
  <c r="P30" i="12"/>
  <c r="Q33" i="12"/>
  <c r="R43" i="12"/>
  <c r="P46" i="12"/>
  <c r="S53" i="12"/>
  <c r="P57" i="12"/>
  <c r="Q58" i="12"/>
  <c r="P77" i="12"/>
  <c r="Q82" i="12"/>
  <c r="R83" i="12"/>
  <c r="R86" i="12"/>
  <c r="R87" i="12"/>
  <c r="R90" i="12"/>
  <c r="P98" i="12"/>
  <c r="Q99" i="12"/>
  <c r="P106" i="12"/>
  <c r="Q107" i="12"/>
  <c r="P111" i="12"/>
  <c r="P124" i="12"/>
  <c r="P86" i="12"/>
  <c r="P90" i="12"/>
  <c r="S30" i="12"/>
  <c r="R33" i="12"/>
  <c r="Q39" i="12"/>
  <c r="S46" i="12"/>
  <c r="R57" i="12"/>
  <c r="R58" i="12"/>
  <c r="Q72" i="12"/>
  <c r="R82" i="12"/>
  <c r="S83" i="12"/>
  <c r="S87" i="12"/>
  <c r="Q98" i="12"/>
  <c r="R99" i="12"/>
  <c r="Q106" i="12"/>
  <c r="R107" i="12"/>
  <c r="P110" i="12"/>
  <c r="Q111" i="12"/>
  <c r="P112" i="12"/>
  <c r="P116" i="12"/>
  <c r="P120" i="12"/>
  <c r="Q124" i="12"/>
  <c r="P154" i="12"/>
  <c r="Q155" i="12"/>
  <c r="P158" i="12"/>
  <c r="S210" i="12"/>
  <c r="S226" i="12"/>
  <c r="S242" i="12"/>
  <c r="S57" i="12"/>
  <c r="R72" i="12"/>
  <c r="R98" i="12"/>
  <c r="P105" i="12"/>
  <c r="R106" i="12"/>
  <c r="Q110" i="12"/>
  <c r="R111" i="12"/>
  <c r="P115" i="12"/>
  <c r="Q116" i="12"/>
  <c r="P118" i="12"/>
  <c r="P119" i="12"/>
  <c r="Q120" i="12"/>
  <c r="P122" i="12"/>
  <c r="Q123" i="12"/>
  <c r="R124" i="12"/>
  <c r="P126" i="12"/>
  <c r="Q127" i="12"/>
  <c r="R128" i="12"/>
  <c r="Q154" i="12"/>
  <c r="R155" i="12"/>
  <c r="Q158" i="12"/>
  <c r="Q35" i="12"/>
  <c r="P48" i="12"/>
  <c r="P52" i="12"/>
  <c r="R116" i="12"/>
  <c r="R120" i="12"/>
  <c r="P150" i="12"/>
  <c r="R151" i="12"/>
  <c r="Q153" i="12"/>
  <c r="S154" i="12"/>
  <c r="Q157" i="12"/>
  <c r="S158" i="12"/>
  <c r="R159" i="12"/>
  <c r="P162" i="12"/>
  <c r="Q163" i="12"/>
  <c r="S198" i="12"/>
  <c r="S76" i="12"/>
  <c r="R76" i="12"/>
  <c r="Q76" i="12"/>
  <c r="P76" i="12"/>
  <c r="R167" i="12"/>
  <c r="S167" i="12"/>
  <c r="Q167" i="12"/>
  <c r="P167" i="12"/>
  <c r="S65" i="12"/>
  <c r="Q65" i="12"/>
  <c r="R65" i="12"/>
  <c r="P65" i="12"/>
  <c r="S85" i="12"/>
  <c r="Q85" i="12"/>
  <c r="R85" i="12"/>
  <c r="P240" i="12"/>
  <c r="S240" i="12"/>
  <c r="R240" i="12"/>
  <c r="Q240" i="12"/>
  <c r="Q49" i="12"/>
  <c r="S49" i="12"/>
  <c r="R49" i="12"/>
  <c r="P85" i="12"/>
  <c r="S96" i="12"/>
  <c r="R96" i="12"/>
  <c r="Q96" i="12"/>
  <c r="S32" i="12"/>
  <c r="R32" i="12"/>
  <c r="Q32" i="12"/>
  <c r="S36" i="12"/>
  <c r="R36" i="12"/>
  <c r="Q36" i="12"/>
  <c r="S40" i="12"/>
  <c r="R40" i="12"/>
  <c r="Q40" i="12"/>
  <c r="R44" i="12"/>
  <c r="S44" i="12"/>
  <c r="Q44" i="12"/>
  <c r="P96" i="12"/>
  <c r="S117" i="12"/>
  <c r="Q117" i="12"/>
  <c r="R117" i="12"/>
  <c r="P117" i="12"/>
  <c r="S56" i="12"/>
  <c r="R56" i="12"/>
  <c r="Q56" i="12"/>
  <c r="P56" i="12"/>
  <c r="S64" i="12"/>
  <c r="R64" i="12"/>
  <c r="Q64" i="12"/>
  <c r="S97" i="12"/>
  <c r="Q97" i="12"/>
  <c r="R169" i="12"/>
  <c r="Q169" i="12"/>
  <c r="S169" i="12"/>
  <c r="P169" i="12"/>
  <c r="P200" i="12"/>
  <c r="S200" i="12"/>
  <c r="R200" i="12"/>
  <c r="Q200" i="12"/>
  <c r="R237" i="12"/>
  <c r="Q237" i="12"/>
  <c r="P237" i="12"/>
  <c r="S31" i="12"/>
  <c r="S35" i="12"/>
  <c r="S39" i="12"/>
  <c r="S43" i="12"/>
  <c r="S77" i="12"/>
  <c r="Q77" i="12"/>
  <c r="P97" i="12"/>
  <c r="P108" i="12"/>
  <c r="S109" i="12"/>
  <c r="Q109" i="12"/>
  <c r="S160" i="12"/>
  <c r="R160" i="12"/>
  <c r="Q160" i="12"/>
  <c r="R181" i="12"/>
  <c r="Q181" i="12"/>
  <c r="S181" i="12"/>
  <c r="P181" i="12"/>
  <c r="R189" i="12"/>
  <c r="Q189" i="12"/>
  <c r="S189" i="12"/>
  <c r="P189" i="12"/>
  <c r="S237" i="12"/>
  <c r="S89" i="12"/>
  <c r="Q89" i="12"/>
  <c r="R97" i="12"/>
  <c r="Q108" i="12"/>
  <c r="S121" i="12"/>
  <c r="Q121" i="12"/>
  <c r="P68" i="12"/>
  <c r="S69" i="12"/>
  <c r="Q69" i="12"/>
  <c r="P89" i="12"/>
  <c r="P100" i="12"/>
  <c r="S101" i="12"/>
  <c r="Q101" i="12"/>
  <c r="R108" i="12"/>
  <c r="P121" i="12"/>
  <c r="S152" i="12"/>
  <c r="R152" i="12"/>
  <c r="Q152" i="12"/>
  <c r="R173" i="12"/>
  <c r="Q173" i="12"/>
  <c r="S173" i="12"/>
  <c r="P173" i="12"/>
  <c r="R221" i="12"/>
  <c r="Q221" i="12"/>
  <c r="P221" i="12"/>
  <c r="P224" i="12"/>
  <c r="S224" i="12"/>
  <c r="R224" i="12"/>
  <c r="Q224" i="12"/>
  <c r="Q68" i="12"/>
  <c r="S81" i="12"/>
  <c r="Q81" i="12"/>
  <c r="R89" i="12"/>
  <c r="Q100" i="12"/>
  <c r="S113" i="12"/>
  <c r="Q113" i="12"/>
  <c r="R121" i="12"/>
  <c r="S125" i="12"/>
  <c r="Q125" i="12"/>
  <c r="P152" i="12"/>
  <c r="R165" i="12"/>
  <c r="Q165" i="12"/>
  <c r="P165" i="12"/>
  <c r="S221" i="12"/>
  <c r="Q30" i="12"/>
  <c r="Q34" i="12"/>
  <c r="Q38" i="12"/>
  <c r="Q42" i="12"/>
  <c r="Q46" i="12"/>
  <c r="P47" i="12"/>
  <c r="Q52" i="12"/>
  <c r="P53" i="12"/>
  <c r="P60" i="12"/>
  <c r="S61" i="12"/>
  <c r="Q61" i="12"/>
  <c r="R68" i="12"/>
  <c r="R69" i="12"/>
  <c r="Q80" i="12"/>
  <c r="P81" i="12"/>
  <c r="P92" i="12"/>
  <c r="S93" i="12"/>
  <c r="Q93" i="12"/>
  <c r="R100" i="12"/>
  <c r="R101" i="12"/>
  <c r="Q112" i="12"/>
  <c r="P113" i="12"/>
  <c r="P125" i="12"/>
  <c r="R185" i="12"/>
  <c r="Q185" i="12"/>
  <c r="S185" i="12"/>
  <c r="P185" i="12"/>
  <c r="R193" i="12"/>
  <c r="Q193" i="12"/>
  <c r="S193" i="12"/>
  <c r="P193" i="12"/>
  <c r="P216" i="12"/>
  <c r="S216" i="12"/>
  <c r="R216" i="12"/>
  <c r="Q216" i="12"/>
  <c r="R52" i="12"/>
  <c r="R53" i="12"/>
  <c r="Q60" i="12"/>
  <c r="P61" i="12"/>
  <c r="P72" i="12"/>
  <c r="S73" i="12"/>
  <c r="Q73" i="12"/>
  <c r="R80" i="12"/>
  <c r="R81" i="12"/>
  <c r="Q92" i="12"/>
  <c r="P93" i="12"/>
  <c r="P104" i="12"/>
  <c r="S105" i="12"/>
  <c r="Q105" i="12"/>
  <c r="R112" i="12"/>
  <c r="R113" i="12"/>
  <c r="R125" i="12"/>
  <c r="S129" i="12"/>
  <c r="Q129" i="12"/>
  <c r="S156" i="12"/>
  <c r="R156" i="12"/>
  <c r="Q156" i="12"/>
  <c r="R177" i="12"/>
  <c r="Q177" i="12"/>
  <c r="S177" i="12"/>
  <c r="P177" i="12"/>
  <c r="R205" i="12"/>
  <c r="Q205" i="12"/>
  <c r="P205" i="12"/>
  <c r="P208" i="12"/>
  <c r="S208" i="12"/>
  <c r="R208" i="12"/>
  <c r="Q208" i="12"/>
  <c r="R209" i="12"/>
  <c r="Q209" i="12"/>
  <c r="P209" i="12"/>
  <c r="R225" i="12"/>
  <c r="Q225" i="12"/>
  <c r="P225" i="12"/>
  <c r="R241" i="12"/>
  <c r="Q241" i="12"/>
  <c r="P241" i="12"/>
  <c r="P151" i="12"/>
  <c r="P155" i="12"/>
  <c r="P159" i="12"/>
  <c r="P163" i="12"/>
  <c r="P168" i="12"/>
  <c r="S168" i="12"/>
  <c r="R168" i="12"/>
  <c r="P172" i="12"/>
  <c r="S172" i="12"/>
  <c r="R172" i="12"/>
  <c r="P176" i="12"/>
  <c r="S176" i="12"/>
  <c r="R176" i="12"/>
  <c r="P180" i="12"/>
  <c r="S180" i="12"/>
  <c r="R180" i="12"/>
  <c r="P184" i="12"/>
  <c r="S184" i="12"/>
  <c r="R184" i="12"/>
  <c r="P188" i="12"/>
  <c r="S188" i="12"/>
  <c r="R188" i="12"/>
  <c r="P192" i="12"/>
  <c r="S192" i="12"/>
  <c r="R192" i="12"/>
  <c r="P196" i="12"/>
  <c r="S196" i="12"/>
  <c r="R196" i="12"/>
  <c r="Q196" i="12"/>
  <c r="S209" i="12"/>
  <c r="P212" i="12"/>
  <c r="S212" i="12"/>
  <c r="R212" i="12"/>
  <c r="Q212" i="12"/>
  <c r="S225" i="12"/>
  <c r="P228" i="12"/>
  <c r="S228" i="12"/>
  <c r="R228" i="12"/>
  <c r="Q228" i="12"/>
  <c r="S241" i="12"/>
  <c r="P244" i="12"/>
  <c r="S244" i="12"/>
  <c r="R244" i="12"/>
  <c r="Q244" i="12"/>
  <c r="S166" i="12"/>
  <c r="R166" i="12"/>
  <c r="R171" i="12"/>
  <c r="P171" i="12"/>
  <c r="S171" i="12"/>
  <c r="Q171" i="12"/>
  <c r="R175" i="12"/>
  <c r="P175" i="12"/>
  <c r="S175" i="12"/>
  <c r="Q175" i="12"/>
  <c r="R179" i="12"/>
  <c r="P179" i="12"/>
  <c r="S179" i="12"/>
  <c r="Q179" i="12"/>
  <c r="R183" i="12"/>
  <c r="P183" i="12"/>
  <c r="S183" i="12"/>
  <c r="Q183" i="12"/>
  <c r="R187" i="12"/>
  <c r="P187" i="12"/>
  <c r="S187" i="12"/>
  <c r="Q187" i="12"/>
  <c r="R191" i="12"/>
  <c r="P191" i="12"/>
  <c r="S191" i="12"/>
  <c r="Q191" i="12"/>
  <c r="R201" i="12"/>
  <c r="Q201" i="12"/>
  <c r="P201" i="12"/>
  <c r="R217" i="12"/>
  <c r="Q217" i="12"/>
  <c r="P217" i="12"/>
  <c r="R233" i="12"/>
  <c r="Q233" i="12"/>
  <c r="P233" i="12"/>
  <c r="P166" i="12"/>
  <c r="S201" i="12"/>
  <c r="P204" i="12"/>
  <c r="S204" i="12"/>
  <c r="R204" i="12"/>
  <c r="Q204" i="12"/>
  <c r="S217" i="12"/>
  <c r="P220" i="12"/>
  <c r="S220" i="12"/>
  <c r="R220" i="12"/>
  <c r="Q220" i="12"/>
  <c r="S233" i="12"/>
  <c r="P236" i="12"/>
  <c r="S236" i="12"/>
  <c r="R236" i="12"/>
  <c r="Q236" i="12"/>
  <c r="R170" i="12"/>
  <c r="Q170" i="12"/>
  <c r="P170" i="12"/>
  <c r="R174" i="12"/>
  <c r="Q174" i="12"/>
  <c r="P174" i="12"/>
  <c r="R178" i="12"/>
  <c r="Q178" i="12"/>
  <c r="P178" i="12"/>
  <c r="R182" i="12"/>
  <c r="Q182" i="12"/>
  <c r="P182" i="12"/>
  <c r="R186" i="12"/>
  <c r="Q186" i="12"/>
  <c r="P186" i="12"/>
  <c r="R190" i="12"/>
  <c r="Q190" i="12"/>
  <c r="P190" i="12"/>
  <c r="R197" i="12"/>
  <c r="Q197" i="12"/>
  <c r="P197" i="12"/>
  <c r="R213" i="12"/>
  <c r="Q213" i="12"/>
  <c r="P213" i="12"/>
  <c r="R229" i="12"/>
  <c r="Q229" i="12"/>
  <c r="P229" i="12"/>
  <c r="R245" i="12"/>
  <c r="Q245" i="12"/>
  <c r="P245" i="12"/>
  <c r="P232" i="12"/>
  <c r="S232" i="12"/>
  <c r="R232" i="12"/>
  <c r="Q232" i="12"/>
  <c r="R195" i="12"/>
  <c r="P195" i="12"/>
  <c r="R199" i="12"/>
  <c r="P199" i="12"/>
  <c r="R203" i="12"/>
  <c r="P203" i="12"/>
  <c r="R207" i="12"/>
  <c r="P207" i="12"/>
  <c r="R211" i="12"/>
  <c r="P211" i="12"/>
  <c r="R215" i="12"/>
  <c r="P215" i="12"/>
  <c r="R219" i="12"/>
  <c r="P219" i="12"/>
  <c r="R223" i="12"/>
  <c r="P223" i="12"/>
  <c r="R227" i="12"/>
  <c r="P227" i="12"/>
  <c r="R231" i="12"/>
  <c r="P231" i="12"/>
  <c r="R235" i="12"/>
  <c r="P235" i="12"/>
  <c r="R239" i="12"/>
  <c r="P239" i="12"/>
  <c r="R243" i="12"/>
  <c r="P243" i="12"/>
  <c r="P194" i="12"/>
  <c r="Q195" i="12"/>
  <c r="P198" i="12"/>
  <c r="Q199" i="12"/>
  <c r="P202" i="12"/>
  <c r="Q203" i="12"/>
  <c r="P206" i="12"/>
  <c r="Q207" i="12"/>
  <c r="P210" i="12"/>
  <c r="Q211" i="12"/>
  <c r="P214" i="12"/>
  <c r="Q215" i="12"/>
  <c r="P218" i="12"/>
  <c r="Q219" i="12"/>
  <c r="P222" i="12"/>
  <c r="Q223" i="12"/>
  <c r="P226" i="12"/>
  <c r="Q227" i="12"/>
  <c r="P230" i="12"/>
  <c r="Q231" i="12"/>
  <c r="P234" i="12"/>
  <c r="Q235" i="12"/>
  <c r="P238" i="12"/>
  <c r="Q239" i="12"/>
  <c r="P242" i="12"/>
  <c r="Q243" i="12"/>
  <c r="Q194" i="12"/>
  <c r="S195" i="12"/>
  <c r="Q198" i="12"/>
  <c r="S199" i="12"/>
  <c r="Q202" i="12"/>
  <c r="S203" i="12"/>
  <c r="Q206" i="12"/>
  <c r="S207" i="12"/>
  <c r="Q210" i="12"/>
  <c r="S211" i="12"/>
  <c r="Q214" i="12"/>
  <c r="S215" i="12"/>
  <c r="Q218" i="12"/>
  <c r="S219" i="12"/>
  <c r="Q222" i="12"/>
  <c r="S223" i="12"/>
  <c r="Q226" i="12"/>
  <c r="S227" i="12"/>
  <c r="Q230" i="12"/>
  <c r="S231" i="12"/>
  <c r="Q234" i="12"/>
  <c r="S235" i="12"/>
  <c r="Q238" i="12"/>
  <c r="S239" i="12"/>
  <c r="Q242" i="12"/>
  <c r="S243" i="12"/>
  <c r="R217" i="11"/>
  <c r="P216" i="11"/>
  <c r="S216" i="11"/>
  <c r="R213" i="11"/>
  <c r="P212" i="11"/>
  <c r="S212" i="11"/>
  <c r="R209" i="11"/>
  <c r="O203" i="11"/>
  <c r="P203" i="11"/>
  <c r="S203" i="11"/>
  <c r="O195" i="11"/>
  <c r="P195" i="11"/>
  <c r="S195" i="11"/>
  <c r="O187" i="11"/>
  <c r="P187" i="11"/>
  <c r="S187" i="11"/>
  <c r="O179" i="11"/>
  <c r="P179" i="11"/>
  <c r="S179" i="11"/>
  <c r="O171" i="11"/>
  <c r="P171" i="11"/>
  <c r="S171" i="11"/>
  <c r="O163" i="11"/>
  <c r="P163" i="11"/>
  <c r="S163" i="11"/>
  <c r="O155" i="11"/>
  <c r="P155" i="11"/>
  <c r="S155" i="11"/>
  <c r="O206" i="11"/>
  <c r="P206" i="11"/>
  <c r="S206" i="11"/>
  <c r="O198" i="11"/>
  <c r="P198" i="11"/>
  <c r="S198" i="11"/>
  <c r="O190" i="11"/>
  <c r="P190" i="11"/>
  <c r="S190" i="11"/>
  <c r="O182" i="11"/>
  <c r="P182" i="11"/>
  <c r="S182" i="11"/>
  <c r="O174" i="11"/>
  <c r="P174" i="11"/>
  <c r="S174" i="11"/>
  <c r="O166" i="11"/>
  <c r="P166" i="11"/>
  <c r="S166" i="11"/>
  <c r="O158" i="11"/>
  <c r="P158" i="11"/>
  <c r="S158" i="11"/>
  <c r="O150" i="11"/>
  <c r="P150" i="11"/>
  <c r="S150" i="11"/>
  <c r="O148" i="11"/>
  <c r="P148" i="11"/>
  <c r="R148" i="11"/>
  <c r="S148" i="11"/>
  <c r="O146" i="11"/>
  <c r="P146" i="11"/>
  <c r="R146" i="11"/>
  <c r="S146" i="11"/>
  <c r="O144" i="11"/>
  <c r="P144" i="11"/>
  <c r="R144" i="11"/>
  <c r="S144" i="11"/>
  <c r="O142" i="11"/>
  <c r="P142" i="11"/>
  <c r="R142" i="11"/>
  <c r="S142" i="11"/>
  <c r="O140" i="11"/>
  <c r="P140" i="11"/>
  <c r="R140" i="11"/>
  <c r="S140" i="11"/>
  <c r="O138" i="11"/>
  <c r="P138" i="11"/>
  <c r="R138" i="11"/>
  <c r="S138" i="11"/>
  <c r="O136" i="11"/>
  <c r="P136" i="11"/>
  <c r="R136" i="11"/>
  <c r="S136" i="11"/>
  <c r="P209" i="11"/>
  <c r="S209" i="11"/>
  <c r="O204" i="11"/>
  <c r="P204" i="11"/>
  <c r="S204" i="11"/>
  <c r="O196" i="11"/>
  <c r="P196" i="11"/>
  <c r="S196" i="11"/>
  <c r="O188" i="11"/>
  <c r="P188" i="11"/>
  <c r="S188" i="11"/>
  <c r="O180" i="11"/>
  <c r="P180" i="11"/>
  <c r="S180" i="11"/>
  <c r="O172" i="11"/>
  <c r="P172" i="11"/>
  <c r="S172" i="11"/>
  <c r="O164" i="11"/>
  <c r="P164" i="11"/>
  <c r="S164" i="11"/>
  <c r="O156" i="11"/>
  <c r="P156" i="11"/>
  <c r="S156" i="11"/>
  <c r="O169" i="11"/>
  <c r="P169" i="11"/>
  <c r="S169" i="11"/>
  <c r="S234" i="11"/>
  <c r="S233" i="11"/>
  <c r="S232" i="11"/>
  <c r="S231" i="11"/>
  <c r="S230" i="11"/>
  <c r="S229" i="11"/>
  <c r="S228" i="11"/>
  <c r="S227" i="11"/>
  <c r="S226" i="11"/>
  <c r="S225" i="11"/>
  <c r="S224" i="11"/>
  <c r="S223" i="11"/>
  <c r="S222" i="11"/>
  <c r="S221" i="11"/>
  <c r="S220" i="11"/>
  <c r="P218" i="11"/>
  <c r="S218" i="11"/>
  <c r="P214" i="11"/>
  <c r="S214" i="11"/>
  <c r="P210" i="11"/>
  <c r="S210" i="11"/>
  <c r="O207" i="11"/>
  <c r="P207" i="11"/>
  <c r="S207" i="11"/>
  <c r="O199" i="11"/>
  <c r="P199" i="11"/>
  <c r="S199" i="11"/>
  <c r="O191" i="11"/>
  <c r="P191" i="11"/>
  <c r="S191" i="11"/>
  <c r="O183" i="11"/>
  <c r="P183" i="11"/>
  <c r="S183" i="11"/>
  <c r="O175" i="11"/>
  <c r="P175" i="11"/>
  <c r="S175" i="11"/>
  <c r="O167" i="11"/>
  <c r="P167" i="11"/>
  <c r="S167" i="11"/>
  <c r="O159" i="11"/>
  <c r="P159" i="11"/>
  <c r="S159" i="11"/>
  <c r="O151" i="11"/>
  <c r="P151" i="11"/>
  <c r="S151" i="11"/>
  <c r="P213" i="11"/>
  <c r="S213" i="11"/>
  <c r="R234" i="11"/>
  <c r="R233" i="11"/>
  <c r="R232" i="11"/>
  <c r="R231" i="11"/>
  <c r="R230" i="11"/>
  <c r="R229" i="11"/>
  <c r="R228" i="11"/>
  <c r="R227" i="11"/>
  <c r="R226" i="11"/>
  <c r="R225" i="11"/>
  <c r="R224" i="11"/>
  <c r="R223" i="11"/>
  <c r="R222" i="11"/>
  <c r="R221" i="11"/>
  <c r="R220" i="11"/>
  <c r="O202" i="11"/>
  <c r="P202" i="11"/>
  <c r="S202" i="11"/>
  <c r="O194" i="11"/>
  <c r="P194" i="11"/>
  <c r="S194" i="11"/>
  <c r="O186" i="11"/>
  <c r="P186" i="11"/>
  <c r="S186" i="11"/>
  <c r="O178" i="11"/>
  <c r="P178" i="11"/>
  <c r="S178" i="11"/>
  <c r="O170" i="11"/>
  <c r="P170" i="11"/>
  <c r="S170" i="11"/>
  <c r="O162" i="11"/>
  <c r="P162" i="11"/>
  <c r="S162" i="11"/>
  <c r="O154" i="11"/>
  <c r="P154" i="11"/>
  <c r="S154" i="11"/>
  <c r="O149" i="11"/>
  <c r="P149" i="11"/>
  <c r="R149" i="11"/>
  <c r="S149" i="11"/>
  <c r="O147" i="11"/>
  <c r="P147" i="11"/>
  <c r="R147" i="11"/>
  <c r="S147" i="11"/>
  <c r="O145" i="11"/>
  <c r="P145" i="11"/>
  <c r="R145" i="11"/>
  <c r="S145" i="11"/>
  <c r="O143" i="11"/>
  <c r="P143" i="11"/>
  <c r="R143" i="11"/>
  <c r="S143" i="11"/>
  <c r="O141" i="11"/>
  <c r="P141" i="11"/>
  <c r="R141" i="11"/>
  <c r="S141" i="11"/>
  <c r="O139" i="11"/>
  <c r="P139" i="11"/>
  <c r="R139" i="11"/>
  <c r="S139" i="11"/>
  <c r="O137" i="11"/>
  <c r="P137" i="11"/>
  <c r="R137" i="11"/>
  <c r="S137" i="11"/>
  <c r="O135" i="11"/>
  <c r="P135" i="11"/>
  <c r="R135" i="11"/>
  <c r="S135" i="11"/>
  <c r="O193" i="11"/>
  <c r="P193" i="11"/>
  <c r="S193" i="11"/>
  <c r="O185" i="11"/>
  <c r="P185" i="11"/>
  <c r="S185" i="11"/>
  <c r="P234" i="11"/>
  <c r="P233" i="11"/>
  <c r="P232" i="11"/>
  <c r="P231" i="11"/>
  <c r="P230" i="11"/>
  <c r="P229" i="11"/>
  <c r="P228" i="11"/>
  <c r="P227" i="11"/>
  <c r="P226" i="11"/>
  <c r="P225" i="11"/>
  <c r="P224" i="11"/>
  <c r="P223" i="11"/>
  <c r="P222" i="11"/>
  <c r="P221" i="11"/>
  <c r="P220" i="11"/>
  <c r="P219" i="11"/>
  <c r="S219" i="11"/>
  <c r="R216" i="11"/>
  <c r="P215" i="11"/>
  <c r="S215" i="11"/>
  <c r="R212" i="11"/>
  <c r="P211" i="11"/>
  <c r="S211" i="11"/>
  <c r="O205" i="11"/>
  <c r="P205" i="11"/>
  <c r="S205" i="11"/>
  <c r="O197" i="11"/>
  <c r="P197" i="11"/>
  <c r="S197" i="11"/>
  <c r="O189" i="11"/>
  <c r="P189" i="11"/>
  <c r="S189" i="11"/>
  <c r="O181" i="11"/>
  <c r="P181" i="11"/>
  <c r="S181" i="11"/>
  <c r="O173" i="11"/>
  <c r="P173" i="11"/>
  <c r="S173" i="11"/>
  <c r="O165" i="11"/>
  <c r="P165" i="11"/>
  <c r="S165" i="11"/>
  <c r="O157" i="11"/>
  <c r="P157" i="11"/>
  <c r="S157" i="11"/>
  <c r="P217" i="11"/>
  <c r="S217" i="11"/>
  <c r="O201" i="11"/>
  <c r="P201" i="11"/>
  <c r="S201" i="11"/>
  <c r="O177" i="11"/>
  <c r="P177" i="11"/>
  <c r="S177" i="11"/>
  <c r="O161" i="11"/>
  <c r="P161" i="11"/>
  <c r="S161" i="11"/>
  <c r="O153" i="11"/>
  <c r="P153" i="11"/>
  <c r="S153" i="11"/>
  <c r="O216" i="11"/>
  <c r="O212" i="11"/>
  <c r="O208" i="11"/>
  <c r="P208" i="11"/>
  <c r="S208" i="11"/>
  <c r="R203" i="11"/>
  <c r="O200" i="11"/>
  <c r="P200" i="11"/>
  <c r="S200" i="11"/>
  <c r="R195" i="11"/>
  <c r="O192" i="11"/>
  <c r="P192" i="11"/>
  <c r="S192" i="11"/>
  <c r="R187" i="11"/>
  <c r="O184" i="11"/>
  <c r="P184" i="11"/>
  <c r="S184" i="11"/>
  <c r="R179" i="11"/>
  <c r="O176" i="11"/>
  <c r="P176" i="11"/>
  <c r="S176" i="11"/>
  <c r="R171" i="11"/>
  <c r="O168" i="11"/>
  <c r="P168" i="11"/>
  <c r="S168" i="11"/>
  <c r="R163" i="11"/>
  <c r="O160" i="11"/>
  <c r="P160" i="11"/>
  <c r="S160" i="11"/>
  <c r="R155" i="11"/>
  <c r="O152" i="11"/>
  <c r="P152" i="11"/>
  <c r="S152" i="11"/>
  <c r="O97" i="11"/>
  <c r="O33" i="11"/>
  <c r="O114" i="11"/>
  <c r="O96" i="11"/>
  <c r="O73" i="11"/>
  <c r="O50" i="11"/>
  <c r="O32" i="11"/>
  <c r="P117" i="11"/>
  <c r="P101" i="11"/>
  <c r="P85" i="11"/>
  <c r="P69" i="11"/>
  <c r="P53" i="11"/>
  <c r="P37" i="11"/>
  <c r="R90" i="11"/>
  <c r="S130" i="11"/>
  <c r="S111" i="11"/>
  <c r="S88" i="11"/>
  <c r="S66" i="11"/>
  <c r="S47" i="11"/>
  <c r="O113" i="11"/>
  <c r="O90" i="11"/>
  <c r="O72" i="11"/>
  <c r="O49" i="11"/>
  <c r="P128" i="11"/>
  <c r="P112" i="11"/>
  <c r="P96" i="11"/>
  <c r="P80" i="11"/>
  <c r="P64" i="11"/>
  <c r="R82" i="11"/>
  <c r="S128" i="11"/>
  <c r="S106" i="11"/>
  <c r="S87" i="11"/>
  <c r="S64" i="11"/>
  <c r="S42" i="11"/>
  <c r="O130" i="11"/>
  <c r="O112" i="11"/>
  <c r="O89" i="11"/>
  <c r="O66" i="11"/>
  <c r="O48" i="11"/>
  <c r="P127" i="11"/>
  <c r="P111" i="11"/>
  <c r="P95" i="11"/>
  <c r="P79" i="11"/>
  <c r="P63" i="11"/>
  <c r="P47" i="11"/>
  <c r="P31" i="11"/>
  <c r="R74" i="11"/>
  <c r="S127" i="11"/>
  <c r="S104" i="11"/>
  <c r="S82" i="11"/>
  <c r="S63" i="11"/>
  <c r="S40" i="11"/>
  <c r="O129" i="11"/>
  <c r="O106" i="11"/>
  <c r="O88" i="11"/>
  <c r="O65" i="11"/>
  <c r="O42" i="11"/>
  <c r="P126" i="11"/>
  <c r="P110" i="11"/>
  <c r="P94" i="11"/>
  <c r="P78" i="11"/>
  <c r="P62" i="11"/>
  <c r="P46" i="11"/>
  <c r="R130" i="11"/>
  <c r="R66" i="11"/>
  <c r="S122" i="11"/>
  <c r="S103" i="11"/>
  <c r="S80" i="11"/>
  <c r="S58" i="11"/>
  <c r="S39" i="11"/>
  <c r="O105" i="11"/>
  <c r="O82" i="11"/>
  <c r="O41" i="11"/>
  <c r="P125" i="11"/>
  <c r="R122" i="11"/>
  <c r="R58" i="11"/>
  <c r="S120" i="11"/>
  <c r="S98" i="11"/>
  <c r="S79" i="11"/>
  <c r="S34" i="11"/>
  <c r="O122" i="11"/>
  <c r="O81" i="11"/>
  <c r="P120" i="11"/>
  <c r="R114" i="11"/>
  <c r="R50" i="11"/>
  <c r="S119" i="11"/>
  <c r="S96" i="11"/>
  <c r="S74" i="11"/>
  <c r="S55" i="11"/>
  <c r="O121" i="11"/>
  <c r="O98" i="11"/>
  <c r="O80" i="11"/>
  <c r="O57" i="11"/>
  <c r="O34" i="11"/>
  <c r="P119" i="11"/>
  <c r="P103" i="11"/>
  <c r="P87" i="11"/>
  <c r="P71" i="11"/>
  <c r="P55" i="11"/>
  <c r="P39" i="11"/>
  <c r="R106" i="11"/>
  <c r="R42" i="11"/>
  <c r="S114" i="11"/>
  <c r="S95" i="11"/>
  <c r="S72" i="11"/>
  <c r="S50" i="11"/>
  <c r="S31" i="11"/>
  <c r="O127" i="11"/>
  <c r="O119" i="11"/>
  <c r="O111" i="11"/>
  <c r="O103" i="11"/>
  <c r="O95" i="11"/>
  <c r="O87" i="11"/>
  <c r="O79" i="11"/>
  <c r="O71" i="11"/>
  <c r="O63" i="11"/>
  <c r="O55" i="11"/>
  <c r="O47" i="11"/>
  <c r="O39" i="11"/>
  <c r="O31" i="11"/>
  <c r="P124" i="11"/>
  <c r="P116" i="11"/>
  <c r="P108" i="11"/>
  <c r="P100" i="11"/>
  <c r="P92" i="11"/>
  <c r="P84" i="11"/>
  <c r="P76" i="11"/>
  <c r="P68" i="11"/>
  <c r="P60" i="11"/>
  <c r="P52" i="11"/>
  <c r="P44" i="11"/>
  <c r="P36" i="11"/>
  <c r="R129" i="11"/>
  <c r="R121" i="11"/>
  <c r="R113" i="11"/>
  <c r="R105" i="11"/>
  <c r="R97" i="11"/>
  <c r="R89" i="11"/>
  <c r="R81" i="11"/>
  <c r="R73" i="11"/>
  <c r="R65" i="11"/>
  <c r="R57" i="11"/>
  <c r="R49" i="11"/>
  <c r="R41" i="11"/>
  <c r="R33" i="11"/>
  <c r="S126" i="11"/>
  <c r="S118" i="11"/>
  <c r="S110" i="11"/>
  <c r="S102" i="11"/>
  <c r="S94" i="11"/>
  <c r="S86" i="11"/>
  <c r="S78" i="11"/>
  <c r="S70" i="11"/>
  <c r="S62" i="11"/>
  <c r="S54" i="11"/>
  <c r="S46" i="11"/>
  <c r="S38" i="11"/>
  <c r="O126" i="11"/>
  <c r="O118" i="11"/>
  <c r="O110" i="11"/>
  <c r="O102" i="11"/>
  <c r="O94" i="11"/>
  <c r="O86" i="11"/>
  <c r="O78" i="11"/>
  <c r="O70" i="11"/>
  <c r="O62" i="11"/>
  <c r="O54" i="11"/>
  <c r="O46" i="11"/>
  <c r="O38" i="11"/>
  <c r="P30" i="11"/>
  <c r="P123" i="11"/>
  <c r="P115" i="11"/>
  <c r="P107" i="11"/>
  <c r="P99" i="11"/>
  <c r="P91" i="11"/>
  <c r="P83" i="11"/>
  <c r="P75" i="11"/>
  <c r="P67" i="11"/>
  <c r="P59" i="11"/>
  <c r="P51" i="11"/>
  <c r="P43" i="11"/>
  <c r="P35" i="11"/>
  <c r="S125" i="11"/>
  <c r="S117" i="11"/>
  <c r="S109" i="11"/>
  <c r="S101" i="11"/>
  <c r="S93" i="11"/>
  <c r="S85" i="11"/>
  <c r="S77" i="11"/>
  <c r="S69" i="11"/>
  <c r="S61" i="11"/>
  <c r="S53" i="11"/>
  <c r="S45" i="11"/>
  <c r="S37" i="11"/>
  <c r="O125" i="11"/>
  <c r="O117" i="11"/>
  <c r="O109" i="11"/>
  <c r="O101" i="11"/>
  <c r="O93" i="11"/>
  <c r="O85" i="11"/>
  <c r="O77" i="11"/>
  <c r="O69" i="11"/>
  <c r="O61" i="11"/>
  <c r="O53" i="11"/>
  <c r="O45" i="11"/>
  <c r="O37" i="11"/>
  <c r="S124" i="11"/>
  <c r="S116" i="11"/>
  <c r="S108" i="11"/>
  <c r="S100" i="11"/>
  <c r="S92" i="11"/>
  <c r="S84" i="11"/>
  <c r="S76" i="11"/>
  <c r="S68" i="11"/>
  <c r="S60" i="11"/>
  <c r="S52" i="11"/>
  <c r="S44" i="11"/>
  <c r="S36" i="11"/>
  <c r="O124" i="11"/>
  <c r="O116" i="11"/>
  <c r="O108" i="11"/>
  <c r="O100" i="11"/>
  <c r="O92" i="11"/>
  <c r="O84" i="11"/>
  <c r="O76" i="11"/>
  <c r="O68" i="11"/>
  <c r="O60" i="11"/>
  <c r="O52" i="11"/>
  <c r="O44" i="11"/>
  <c r="O36" i="11"/>
  <c r="P129" i="11"/>
  <c r="P121" i="11"/>
  <c r="P113" i="11"/>
  <c r="P105" i="11"/>
  <c r="P97" i="11"/>
  <c r="P89" i="11"/>
  <c r="P81" i="11"/>
  <c r="P73" i="11"/>
  <c r="P65" i="11"/>
  <c r="P57" i="11"/>
  <c r="P49" i="11"/>
  <c r="P41" i="11"/>
  <c r="P33" i="11"/>
  <c r="S30" i="11"/>
  <c r="S123" i="11"/>
  <c r="S115" i="11"/>
  <c r="S107" i="11"/>
  <c r="S99" i="11"/>
  <c r="S91" i="11"/>
  <c r="S83" i="11"/>
  <c r="S75" i="11"/>
  <c r="S67" i="11"/>
  <c r="S59" i="11"/>
  <c r="S51" i="11"/>
  <c r="S43" i="11"/>
  <c r="S35" i="11"/>
  <c r="O30" i="11"/>
  <c r="O123" i="11"/>
  <c r="O115" i="11"/>
  <c r="O107" i="11"/>
  <c r="O99" i="11"/>
  <c r="O91" i="11"/>
  <c r="O83" i="11"/>
  <c r="O75" i="11"/>
  <c r="O67" i="11"/>
  <c r="O59" i="11"/>
  <c r="O51" i="11"/>
  <c r="O43" i="11"/>
  <c r="O35" i="11"/>
  <c r="V143" i="9"/>
  <c r="V238" i="9"/>
  <c r="V230" i="9"/>
  <c r="V222" i="9"/>
  <c r="V214" i="9"/>
  <c r="V206" i="9"/>
  <c r="V198" i="9"/>
  <c r="V190" i="9"/>
  <c r="V182" i="9"/>
  <c r="V174" i="9"/>
  <c r="V166" i="9"/>
  <c r="V158" i="9"/>
  <c r="V150" i="9"/>
  <c r="V142" i="9"/>
  <c r="V159" i="9"/>
  <c r="V205" i="9"/>
  <c r="V237" i="9"/>
  <c r="V233" i="9"/>
  <c r="V225" i="9"/>
  <c r="V217" i="9"/>
  <c r="V209" i="9"/>
  <c r="V201" i="9"/>
  <c r="V193" i="9"/>
  <c r="V185" i="9"/>
  <c r="V177" i="9"/>
  <c r="V169" i="9"/>
  <c r="V161" i="9"/>
  <c r="V153" i="9"/>
  <c r="V145" i="9"/>
  <c r="V151" i="9"/>
  <c r="V234" i="9"/>
  <c r="V226" i="9"/>
  <c r="V218" i="9"/>
  <c r="V210" i="9"/>
  <c r="V202" i="9"/>
  <c r="V194" i="9"/>
  <c r="V186" i="9"/>
  <c r="V178" i="9"/>
  <c r="V170" i="9"/>
  <c r="V162" i="9"/>
  <c r="V154" i="9"/>
  <c r="V146" i="9"/>
  <c r="V240" i="9"/>
  <c r="V232" i="9"/>
  <c r="V224" i="9"/>
  <c r="V216" i="9"/>
  <c r="V208" i="9"/>
  <c r="V200" i="9"/>
  <c r="V192" i="9"/>
  <c r="V184" i="9"/>
  <c r="V176" i="9"/>
  <c r="V168" i="9"/>
  <c r="V160" i="9"/>
  <c r="V152" i="9"/>
  <c r="V236" i="9"/>
  <c r="V228" i="9"/>
  <c r="V220" i="9"/>
  <c r="V212" i="9"/>
  <c r="V204" i="9"/>
  <c r="V196" i="9"/>
  <c r="V188" i="9"/>
  <c r="V180" i="9"/>
  <c r="V172" i="9"/>
  <c r="V164" i="9"/>
  <c r="V156" i="9"/>
  <c r="V148" i="9"/>
  <c r="V144" i="9"/>
  <c r="D11" i="9"/>
  <c r="G9" i="9"/>
  <c r="D6" i="9"/>
  <c r="R251" i="10"/>
  <c r="R250" i="10"/>
  <c r="R249" i="10"/>
  <c r="R248" i="10"/>
  <c r="R247" i="10"/>
  <c r="R246" i="10"/>
  <c r="R245" i="10"/>
  <c r="R244" i="10"/>
  <c r="R243" i="10"/>
  <c r="R242" i="10"/>
  <c r="R241" i="10"/>
  <c r="R240" i="10"/>
  <c r="R239" i="10"/>
  <c r="R238" i="10"/>
  <c r="R237" i="10"/>
  <c r="R236" i="10"/>
  <c r="R235" i="10"/>
  <c r="R234" i="10"/>
  <c r="R233" i="10"/>
  <c r="R232" i="10"/>
  <c r="R231" i="10"/>
  <c r="R230" i="10"/>
  <c r="R229" i="10"/>
  <c r="R228" i="10"/>
  <c r="R227" i="10"/>
  <c r="R226" i="10"/>
  <c r="R225" i="10"/>
  <c r="R224" i="10"/>
  <c r="R223" i="10"/>
  <c r="R222" i="10"/>
  <c r="R221" i="10"/>
  <c r="R220" i="10"/>
  <c r="R219" i="10"/>
  <c r="R218" i="10"/>
  <c r="R217" i="10"/>
  <c r="R216" i="10"/>
  <c r="R215" i="10"/>
  <c r="R214" i="10"/>
  <c r="R213" i="10"/>
  <c r="R212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V156" i="10"/>
  <c r="S156" i="10"/>
  <c r="L251" i="10"/>
  <c r="K251" i="10"/>
  <c r="W251" i="10" s="1"/>
  <c r="L250" i="10"/>
  <c r="K250" i="10"/>
  <c r="L249" i="10"/>
  <c r="K249" i="10"/>
  <c r="L248" i="10"/>
  <c r="K248" i="10"/>
  <c r="L247" i="10"/>
  <c r="K247" i="10"/>
  <c r="L246" i="10"/>
  <c r="K246" i="10"/>
  <c r="L245" i="10"/>
  <c r="K245" i="10"/>
  <c r="L244" i="10"/>
  <c r="K244" i="10"/>
  <c r="L243" i="10"/>
  <c r="K243" i="10"/>
  <c r="L242" i="10"/>
  <c r="K242" i="10"/>
  <c r="L241" i="10"/>
  <c r="K241" i="10"/>
  <c r="L240" i="10"/>
  <c r="K240" i="10"/>
  <c r="L239" i="10"/>
  <c r="K239" i="10"/>
  <c r="L238" i="10"/>
  <c r="K238" i="10"/>
  <c r="L237" i="10"/>
  <c r="K237" i="10"/>
  <c r="L236" i="10"/>
  <c r="K236" i="10"/>
  <c r="L235" i="10"/>
  <c r="K235" i="10"/>
  <c r="L234" i="10"/>
  <c r="K234" i="10"/>
  <c r="L233" i="10"/>
  <c r="K233" i="10"/>
  <c r="L232" i="10"/>
  <c r="K232" i="10"/>
  <c r="L231" i="10"/>
  <c r="K231" i="10"/>
  <c r="L230" i="10"/>
  <c r="K230" i="10"/>
  <c r="L229" i="10"/>
  <c r="K229" i="10"/>
  <c r="L228" i="10"/>
  <c r="K228" i="10"/>
  <c r="L227" i="10"/>
  <c r="K227" i="10"/>
  <c r="L226" i="10"/>
  <c r="K226" i="10"/>
  <c r="L225" i="10"/>
  <c r="K225" i="10"/>
  <c r="L224" i="10"/>
  <c r="K224" i="10"/>
  <c r="L223" i="10"/>
  <c r="K223" i="10"/>
  <c r="L222" i="10"/>
  <c r="K222" i="10"/>
  <c r="L221" i="10"/>
  <c r="K221" i="10"/>
  <c r="L220" i="10"/>
  <c r="K220" i="10"/>
  <c r="L219" i="10"/>
  <c r="K219" i="10"/>
  <c r="L218" i="10"/>
  <c r="K218" i="10"/>
  <c r="L217" i="10"/>
  <c r="K217" i="10"/>
  <c r="L216" i="10"/>
  <c r="K216" i="10"/>
  <c r="L215" i="10"/>
  <c r="K215" i="10"/>
  <c r="L214" i="10"/>
  <c r="K214" i="10"/>
  <c r="L213" i="10"/>
  <c r="K213" i="10"/>
  <c r="L212" i="10"/>
  <c r="K212" i="10"/>
  <c r="L211" i="10"/>
  <c r="K211" i="10"/>
  <c r="L210" i="10"/>
  <c r="K210" i="10"/>
  <c r="L209" i="10"/>
  <c r="K209" i="10"/>
  <c r="L208" i="10"/>
  <c r="K208" i="10"/>
  <c r="L207" i="10"/>
  <c r="K207" i="10"/>
  <c r="L206" i="10"/>
  <c r="K206" i="10"/>
  <c r="L205" i="10"/>
  <c r="K205" i="10"/>
  <c r="L204" i="10"/>
  <c r="K204" i="10"/>
  <c r="L203" i="10"/>
  <c r="K203" i="10"/>
  <c r="L202" i="10"/>
  <c r="K202" i="10"/>
  <c r="L201" i="10"/>
  <c r="K201" i="10"/>
  <c r="L200" i="10"/>
  <c r="K200" i="10"/>
  <c r="L199" i="10"/>
  <c r="K199" i="10"/>
  <c r="L198" i="10"/>
  <c r="K198" i="10"/>
  <c r="L197" i="10"/>
  <c r="K197" i="10"/>
  <c r="L196" i="10"/>
  <c r="K196" i="10"/>
  <c r="L195" i="10"/>
  <c r="K195" i="10"/>
  <c r="L194" i="10"/>
  <c r="K194" i="10"/>
  <c r="L193" i="10"/>
  <c r="K193" i="10"/>
  <c r="L192" i="10"/>
  <c r="K192" i="10"/>
  <c r="L191" i="10"/>
  <c r="K191" i="10"/>
  <c r="L190" i="10"/>
  <c r="K190" i="10"/>
  <c r="L189" i="10"/>
  <c r="K189" i="10"/>
  <c r="L188" i="10"/>
  <c r="K188" i="10"/>
  <c r="L187" i="10"/>
  <c r="K187" i="10"/>
  <c r="L186" i="10"/>
  <c r="K186" i="10"/>
  <c r="L185" i="10"/>
  <c r="K185" i="10"/>
  <c r="L184" i="10"/>
  <c r="K184" i="10"/>
  <c r="L183" i="10"/>
  <c r="K183" i="10"/>
  <c r="L182" i="10"/>
  <c r="K182" i="10"/>
  <c r="L181" i="10"/>
  <c r="K181" i="10"/>
  <c r="L180" i="10"/>
  <c r="K180" i="10"/>
  <c r="L179" i="10"/>
  <c r="K179" i="10"/>
  <c r="L178" i="10"/>
  <c r="K178" i="10"/>
  <c r="L177" i="10"/>
  <c r="K177" i="10"/>
  <c r="L176" i="10"/>
  <c r="K176" i="10"/>
  <c r="L175" i="10"/>
  <c r="K175" i="10"/>
  <c r="L174" i="10"/>
  <c r="K174" i="10"/>
  <c r="L173" i="10"/>
  <c r="K173" i="10"/>
  <c r="L172" i="10"/>
  <c r="K172" i="10"/>
  <c r="L171" i="10"/>
  <c r="K171" i="10"/>
  <c r="L170" i="10"/>
  <c r="K170" i="10"/>
  <c r="L169" i="10"/>
  <c r="K169" i="10"/>
  <c r="L168" i="10"/>
  <c r="K168" i="10"/>
  <c r="L167" i="10"/>
  <c r="K167" i="10"/>
  <c r="L166" i="10"/>
  <c r="K166" i="10"/>
  <c r="L165" i="10"/>
  <c r="K165" i="10"/>
  <c r="L164" i="10"/>
  <c r="K164" i="10"/>
  <c r="L163" i="10"/>
  <c r="K163" i="10"/>
  <c r="L162" i="10"/>
  <c r="K162" i="10"/>
  <c r="L161" i="10"/>
  <c r="K161" i="10"/>
  <c r="L160" i="10"/>
  <c r="K160" i="10"/>
  <c r="L159" i="10"/>
  <c r="K159" i="10"/>
  <c r="L158" i="10"/>
  <c r="K158" i="10"/>
  <c r="L157" i="10"/>
  <c r="K157" i="10"/>
  <c r="L156" i="10"/>
  <c r="K156" i="10"/>
  <c r="V254" i="10"/>
  <c r="V253" i="10"/>
  <c r="V252" i="10"/>
  <c r="AX156" i="10"/>
  <c r="AK156" i="10"/>
  <c r="AK153" i="10"/>
  <c r="V153" i="10"/>
  <c r="AK152" i="10"/>
  <c r="V152" i="10"/>
  <c r="AK151" i="10"/>
  <c r="V151" i="10"/>
  <c r="R150" i="10"/>
  <c r="L150" i="10"/>
  <c r="K150" i="10"/>
  <c r="R149" i="10"/>
  <c r="L149" i="10"/>
  <c r="K149" i="10"/>
  <c r="R148" i="10"/>
  <c r="L148" i="10"/>
  <c r="K148" i="10"/>
  <c r="R147" i="10"/>
  <c r="L147" i="10"/>
  <c r="K147" i="10"/>
  <c r="R146" i="10"/>
  <c r="L146" i="10"/>
  <c r="K146" i="10"/>
  <c r="R145" i="10"/>
  <c r="L145" i="10"/>
  <c r="K145" i="10"/>
  <c r="R144" i="10"/>
  <c r="L144" i="10"/>
  <c r="K144" i="10"/>
  <c r="R143" i="10"/>
  <c r="L143" i="10"/>
  <c r="K143" i="10"/>
  <c r="R142" i="10"/>
  <c r="L142" i="10"/>
  <c r="K142" i="10"/>
  <c r="R141" i="10"/>
  <c r="L141" i="10"/>
  <c r="K141" i="10"/>
  <c r="R140" i="10"/>
  <c r="L140" i="10"/>
  <c r="K140" i="10"/>
  <c r="R139" i="10"/>
  <c r="L139" i="10"/>
  <c r="K139" i="10"/>
  <c r="R138" i="10"/>
  <c r="L138" i="10"/>
  <c r="K138" i="10"/>
  <c r="R137" i="10"/>
  <c r="L137" i="10"/>
  <c r="K137" i="10"/>
  <c r="R136" i="10"/>
  <c r="L136" i="10"/>
  <c r="K136" i="10"/>
  <c r="R135" i="10"/>
  <c r="L135" i="10"/>
  <c r="K135" i="10"/>
  <c r="R134" i="10"/>
  <c r="L134" i="10"/>
  <c r="K134" i="10"/>
  <c r="R133" i="10"/>
  <c r="L133" i="10"/>
  <c r="K133" i="10"/>
  <c r="R132" i="10"/>
  <c r="L132" i="10"/>
  <c r="K132" i="10"/>
  <c r="R131" i="10"/>
  <c r="L131" i="10"/>
  <c r="K131" i="10"/>
  <c r="R130" i="10"/>
  <c r="L130" i="10"/>
  <c r="K130" i="10"/>
  <c r="R129" i="10"/>
  <c r="L129" i="10"/>
  <c r="K129" i="10"/>
  <c r="R128" i="10"/>
  <c r="L128" i="10"/>
  <c r="K128" i="10"/>
  <c r="R127" i="10"/>
  <c r="L127" i="10"/>
  <c r="K127" i="10"/>
  <c r="R126" i="10"/>
  <c r="L126" i="10"/>
  <c r="K126" i="10"/>
  <c r="R125" i="10"/>
  <c r="L125" i="10"/>
  <c r="K125" i="10"/>
  <c r="R124" i="10"/>
  <c r="L124" i="10"/>
  <c r="K124" i="10"/>
  <c r="R123" i="10"/>
  <c r="L123" i="10"/>
  <c r="K123" i="10"/>
  <c r="R122" i="10"/>
  <c r="L122" i="10"/>
  <c r="K122" i="10"/>
  <c r="R121" i="10"/>
  <c r="L121" i="10"/>
  <c r="K121" i="10"/>
  <c r="R120" i="10"/>
  <c r="L120" i="10"/>
  <c r="K120" i="10"/>
  <c r="R119" i="10"/>
  <c r="L119" i="10"/>
  <c r="K119" i="10"/>
  <c r="R118" i="10"/>
  <c r="L118" i="10"/>
  <c r="K118" i="10"/>
  <c r="R117" i="10"/>
  <c r="L117" i="10"/>
  <c r="K117" i="10"/>
  <c r="R116" i="10"/>
  <c r="L116" i="10"/>
  <c r="K116" i="10"/>
  <c r="R115" i="10"/>
  <c r="L115" i="10"/>
  <c r="K115" i="10"/>
  <c r="R114" i="10"/>
  <c r="L114" i="10"/>
  <c r="K114" i="10"/>
  <c r="R113" i="10"/>
  <c r="L113" i="10"/>
  <c r="K113" i="10"/>
  <c r="R112" i="10"/>
  <c r="L112" i="10"/>
  <c r="K112" i="10"/>
  <c r="R111" i="10"/>
  <c r="L111" i="10"/>
  <c r="K111" i="10"/>
  <c r="R110" i="10"/>
  <c r="L110" i="10"/>
  <c r="K110" i="10"/>
  <c r="R109" i="10"/>
  <c r="L109" i="10"/>
  <c r="K109" i="10"/>
  <c r="R108" i="10"/>
  <c r="L108" i="10"/>
  <c r="K108" i="10"/>
  <c r="R107" i="10"/>
  <c r="L107" i="10"/>
  <c r="K107" i="10"/>
  <c r="R106" i="10"/>
  <c r="L106" i="10"/>
  <c r="K106" i="10"/>
  <c r="R105" i="10"/>
  <c r="L105" i="10"/>
  <c r="K105" i="10"/>
  <c r="R104" i="10"/>
  <c r="L104" i="10"/>
  <c r="K104" i="10"/>
  <c r="R103" i="10"/>
  <c r="L103" i="10"/>
  <c r="K103" i="10"/>
  <c r="R102" i="10"/>
  <c r="L102" i="10"/>
  <c r="K102" i="10"/>
  <c r="R101" i="10"/>
  <c r="L101" i="10"/>
  <c r="K101" i="10"/>
  <c r="R100" i="10"/>
  <c r="L100" i="10"/>
  <c r="K100" i="10"/>
  <c r="R99" i="10"/>
  <c r="L99" i="10"/>
  <c r="K99" i="10"/>
  <c r="R98" i="10"/>
  <c r="L98" i="10"/>
  <c r="K98" i="10"/>
  <c r="R97" i="10"/>
  <c r="L97" i="10"/>
  <c r="K97" i="10"/>
  <c r="R96" i="10"/>
  <c r="L96" i="10"/>
  <c r="K96" i="10"/>
  <c r="R95" i="10"/>
  <c r="L95" i="10"/>
  <c r="K95" i="10"/>
  <c r="R94" i="10"/>
  <c r="L94" i="10"/>
  <c r="K94" i="10"/>
  <c r="R93" i="10"/>
  <c r="L93" i="10"/>
  <c r="K93" i="10"/>
  <c r="R92" i="10"/>
  <c r="L92" i="10"/>
  <c r="K92" i="10"/>
  <c r="R91" i="10"/>
  <c r="L91" i="10"/>
  <c r="K91" i="10"/>
  <c r="R90" i="10"/>
  <c r="L90" i="10"/>
  <c r="K90" i="10"/>
  <c r="R89" i="10"/>
  <c r="L89" i="10"/>
  <c r="K89" i="10"/>
  <c r="R88" i="10"/>
  <c r="L88" i="10"/>
  <c r="K88" i="10"/>
  <c r="R87" i="10"/>
  <c r="L87" i="10"/>
  <c r="K87" i="10"/>
  <c r="R86" i="10"/>
  <c r="L86" i="10"/>
  <c r="K86" i="10"/>
  <c r="R85" i="10"/>
  <c r="L85" i="10"/>
  <c r="K85" i="10"/>
  <c r="R84" i="10"/>
  <c r="L84" i="10"/>
  <c r="K84" i="10"/>
  <c r="R83" i="10"/>
  <c r="L83" i="10"/>
  <c r="K83" i="10"/>
  <c r="R82" i="10"/>
  <c r="L82" i="10"/>
  <c r="K82" i="10"/>
  <c r="R81" i="10"/>
  <c r="L81" i="10"/>
  <c r="K81" i="10"/>
  <c r="R80" i="10"/>
  <c r="L80" i="10"/>
  <c r="K80" i="10"/>
  <c r="R79" i="10"/>
  <c r="L79" i="10"/>
  <c r="K79" i="10"/>
  <c r="R78" i="10"/>
  <c r="L78" i="10"/>
  <c r="K78" i="10"/>
  <c r="R77" i="10"/>
  <c r="L77" i="10"/>
  <c r="K77" i="10"/>
  <c r="R76" i="10"/>
  <c r="L76" i="10"/>
  <c r="K76" i="10"/>
  <c r="R75" i="10"/>
  <c r="L75" i="10"/>
  <c r="K75" i="10"/>
  <c r="R74" i="10"/>
  <c r="L74" i="10"/>
  <c r="K74" i="10"/>
  <c r="R73" i="10"/>
  <c r="L73" i="10"/>
  <c r="K73" i="10"/>
  <c r="R72" i="10"/>
  <c r="L72" i="10"/>
  <c r="K72" i="10"/>
  <c r="R71" i="10"/>
  <c r="L71" i="10"/>
  <c r="K71" i="10"/>
  <c r="R70" i="10"/>
  <c r="L70" i="10"/>
  <c r="K70" i="10"/>
  <c r="R69" i="10"/>
  <c r="L69" i="10"/>
  <c r="K69" i="10"/>
  <c r="R68" i="10"/>
  <c r="L68" i="10"/>
  <c r="K68" i="10"/>
  <c r="R67" i="10"/>
  <c r="L67" i="10"/>
  <c r="K67" i="10"/>
  <c r="R66" i="10"/>
  <c r="L66" i="10"/>
  <c r="K66" i="10"/>
  <c r="R65" i="10"/>
  <c r="L65" i="10"/>
  <c r="K65" i="10"/>
  <c r="R64" i="10"/>
  <c r="L64" i="10"/>
  <c r="K64" i="10"/>
  <c r="R63" i="10"/>
  <c r="L63" i="10"/>
  <c r="K63" i="10"/>
  <c r="R62" i="10"/>
  <c r="L62" i="10"/>
  <c r="K62" i="10"/>
  <c r="R61" i="10"/>
  <c r="L61" i="10"/>
  <c r="K61" i="10"/>
  <c r="R60" i="10"/>
  <c r="L60" i="10"/>
  <c r="K60" i="10"/>
  <c r="R59" i="10"/>
  <c r="L59" i="10"/>
  <c r="K59" i="10"/>
  <c r="R58" i="10"/>
  <c r="L58" i="10"/>
  <c r="K58" i="10"/>
  <c r="R57" i="10"/>
  <c r="L57" i="10"/>
  <c r="K57" i="10"/>
  <c r="R56" i="10"/>
  <c r="L56" i="10"/>
  <c r="K56" i="10"/>
  <c r="R55" i="10"/>
  <c r="L55" i="10"/>
  <c r="K55" i="10"/>
  <c r="R54" i="10"/>
  <c r="L54" i="10"/>
  <c r="K54" i="10"/>
  <c r="R53" i="10"/>
  <c r="L53" i="10"/>
  <c r="K53" i="10"/>
  <c r="R52" i="10"/>
  <c r="L52" i="10"/>
  <c r="K52" i="10"/>
  <c r="R51" i="10"/>
  <c r="L51" i="10"/>
  <c r="K51" i="10"/>
  <c r="R50" i="10"/>
  <c r="L50" i="10"/>
  <c r="K50" i="10"/>
  <c r="R49" i="10"/>
  <c r="L49" i="10"/>
  <c r="K49" i="10"/>
  <c r="R48" i="10"/>
  <c r="L48" i="10"/>
  <c r="K48" i="10"/>
  <c r="R47" i="10"/>
  <c r="L47" i="10"/>
  <c r="K47" i="10"/>
  <c r="R46" i="10"/>
  <c r="L46" i="10"/>
  <c r="K46" i="10"/>
  <c r="R45" i="10"/>
  <c r="L45" i="10"/>
  <c r="K45" i="10"/>
  <c r="R44" i="10"/>
  <c r="L44" i="10"/>
  <c r="K44" i="10"/>
  <c r="R43" i="10"/>
  <c r="L43" i="10"/>
  <c r="K43" i="10"/>
  <c r="R42" i="10"/>
  <c r="L42" i="10"/>
  <c r="K42" i="10"/>
  <c r="R41" i="10"/>
  <c r="L41" i="10"/>
  <c r="K41" i="10"/>
  <c r="R40" i="10"/>
  <c r="L40" i="10"/>
  <c r="K40" i="10"/>
  <c r="R39" i="10"/>
  <c r="L39" i="10"/>
  <c r="K39" i="10"/>
  <c r="R38" i="10"/>
  <c r="L38" i="10"/>
  <c r="K38" i="10"/>
  <c r="R37" i="10"/>
  <c r="L37" i="10"/>
  <c r="K37" i="10"/>
  <c r="R36" i="10"/>
  <c r="L36" i="10"/>
  <c r="K36" i="10"/>
  <c r="R35" i="10"/>
  <c r="L35" i="10"/>
  <c r="K35" i="10"/>
  <c r="R34" i="10"/>
  <c r="L34" i="10"/>
  <c r="K34" i="10"/>
  <c r="R33" i="10"/>
  <c r="L33" i="10"/>
  <c r="K33" i="10"/>
  <c r="R32" i="10"/>
  <c r="L32" i="10"/>
  <c r="K32" i="10"/>
  <c r="BJ31" i="10"/>
  <c r="BG31" i="10"/>
  <c r="BE31" i="10"/>
  <c r="BD31" i="10" s="1"/>
  <c r="AX31" i="10"/>
  <c r="AK31" i="10"/>
  <c r="AD31" i="10"/>
  <c r="T31" i="10"/>
  <c r="U31" i="10" s="1"/>
  <c r="L31" i="10"/>
  <c r="K31" i="10"/>
  <c r="U4" i="10"/>
  <c r="J6" i="10"/>
  <c r="U9" i="10"/>
  <c r="U7" i="10"/>
  <c r="Y8" i="10"/>
  <c r="W4" i="10"/>
  <c r="U3" i="10"/>
  <c r="D3" i="10"/>
  <c r="AV156" i="10" s="1"/>
  <c r="T245" i="9"/>
  <c r="T244" i="9"/>
  <c r="T243" i="9"/>
  <c r="T242" i="9"/>
  <c r="T241" i="9"/>
  <c r="P240" i="9"/>
  <c r="K240" i="9"/>
  <c r="P239" i="9"/>
  <c r="K239" i="9"/>
  <c r="Y239" i="9" s="1"/>
  <c r="P238" i="9"/>
  <c r="K238" i="9"/>
  <c r="P237" i="9"/>
  <c r="K237" i="9"/>
  <c r="P236" i="9"/>
  <c r="K236" i="9"/>
  <c r="P235" i="9"/>
  <c r="K235" i="9"/>
  <c r="P234" i="9"/>
  <c r="K234" i="9"/>
  <c r="P233" i="9"/>
  <c r="K233" i="9"/>
  <c r="P232" i="9"/>
  <c r="K232" i="9"/>
  <c r="P231" i="9"/>
  <c r="K231" i="9"/>
  <c r="P230" i="9"/>
  <c r="K230" i="9"/>
  <c r="P229" i="9"/>
  <c r="K229" i="9"/>
  <c r="P228" i="9"/>
  <c r="K228" i="9"/>
  <c r="P227" i="9"/>
  <c r="K227" i="9"/>
  <c r="P226" i="9"/>
  <c r="K226" i="9"/>
  <c r="P225" i="9"/>
  <c r="K225" i="9"/>
  <c r="P224" i="9"/>
  <c r="K224" i="9"/>
  <c r="P223" i="9"/>
  <c r="K223" i="9"/>
  <c r="P222" i="9"/>
  <c r="K222" i="9"/>
  <c r="P221" i="9"/>
  <c r="K221" i="9"/>
  <c r="P220" i="9"/>
  <c r="K220" i="9"/>
  <c r="P219" i="9"/>
  <c r="K219" i="9"/>
  <c r="P218" i="9"/>
  <c r="K218" i="9"/>
  <c r="P217" i="9"/>
  <c r="K217" i="9"/>
  <c r="P216" i="9"/>
  <c r="K216" i="9"/>
  <c r="P215" i="9"/>
  <c r="K215" i="9"/>
  <c r="Y215" i="9" s="1"/>
  <c r="P214" i="9"/>
  <c r="K214" i="9"/>
  <c r="P213" i="9"/>
  <c r="K213" i="9"/>
  <c r="P212" i="9"/>
  <c r="K212" i="9"/>
  <c r="P211" i="9"/>
  <c r="K211" i="9"/>
  <c r="Y211" i="9" s="1"/>
  <c r="P210" i="9"/>
  <c r="K210" i="9"/>
  <c r="P209" i="9"/>
  <c r="K209" i="9"/>
  <c r="P208" i="9"/>
  <c r="K208" i="9"/>
  <c r="P207" i="9"/>
  <c r="K207" i="9"/>
  <c r="Y207" i="9" s="1"/>
  <c r="P206" i="9"/>
  <c r="K206" i="9"/>
  <c r="P205" i="9"/>
  <c r="K205" i="9"/>
  <c r="P204" i="9"/>
  <c r="K204" i="9"/>
  <c r="P203" i="9"/>
  <c r="K203" i="9"/>
  <c r="Y203" i="9" s="1"/>
  <c r="P202" i="9"/>
  <c r="K202" i="9"/>
  <c r="P201" i="9"/>
  <c r="K201" i="9"/>
  <c r="P200" i="9"/>
  <c r="K200" i="9"/>
  <c r="P199" i="9"/>
  <c r="K199" i="9"/>
  <c r="Y199" i="9" s="1"/>
  <c r="P198" i="9"/>
  <c r="K198" i="9"/>
  <c r="P197" i="9"/>
  <c r="K197" i="9"/>
  <c r="P196" i="9"/>
  <c r="K196" i="9"/>
  <c r="P195" i="9"/>
  <c r="K195" i="9"/>
  <c r="Y195" i="9" s="1"/>
  <c r="P194" i="9"/>
  <c r="K194" i="9"/>
  <c r="P193" i="9"/>
  <c r="K193" i="9"/>
  <c r="P192" i="9"/>
  <c r="K192" i="9"/>
  <c r="P191" i="9"/>
  <c r="K191" i="9"/>
  <c r="Y191" i="9" s="1"/>
  <c r="P190" i="9"/>
  <c r="K190" i="9"/>
  <c r="P189" i="9"/>
  <c r="K189" i="9"/>
  <c r="P188" i="9"/>
  <c r="K188" i="9"/>
  <c r="P187" i="9"/>
  <c r="K187" i="9"/>
  <c r="Y187" i="9" s="1"/>
  <c r="P186" i="9"/>
  <c r="K186" i="9"/>
  <c r="P185" i="9"/>
  <c r="K185" i="9"/>
  <c r="P184" i="9"/>
  <c r="K184" i="9"/>
  <c r="P183" i="9"/>
  <c r="K183" i="9"/>
  <c r="Y183" i="9" s="1"/>
  <c r="P182" i="9"/>
  <c r="K182" i="9"/>
  <c r="P181" i="9"/>
  <c r="K181" i="9"/>
  <c r="P180" i="9"/>
  <c r="K180" i="9"/>
  <c r="P179" i="9"/>
  <c r="K179" i="9"/>
  <c r="Y179" i="9" s="1"/>
  <c r="P178" i="9"/>
  <c r="K178" i="9"/>
  <c r="P177" i="9"/>
  <c r="K177" i="9"/>
  <c r="P176" i="9"/>
  <c r="K176" i="9"/>
  <c r="P175" i="9"/>
  <c r="K175" i="9"/>
  <c r="Y175" i="9" s="1"/>
  <c r="P174" i="9"/>
  <c r="K174" i="9"/>
  <c r="P173" i="9"/>
  <c r="K173" i="9"/>
  <c r="P172" i="9"/>
  <c r="K172" i="9"/>
  <c r="P171" i="9"/>
  <c r="K171" i="9"/>
  <c r="Y171" i="9" s="1"/>
  <c r="P170" i="9"/>
  <c r="K170" i="9"/>
  <c r="P169" i="9"/>
  <c r="K169" i="9"/>
  <c r="P168" i="9"/>
  <c r="K168" i="9"/>
  <c r="P167" i="9"/>
  <c r="K167" i="9"/>
  <c r="Y167" i="9" s="1"/>
  <c r="P166" i="9"/>
  <c r="K166" i="9"/>
  <c r="P165" i="9"/>
  <c r="K165" i="9"/>
  <c r="P164" i="9"/>
  <c r="K164" i="9"/>
  <c r="P163" i="9"/>
  <c r="K163" i="9"/>
  <c r="P162" i="9"/>
  <c r="K162" i="9"/>
  <c r="P161" i="9"/>
  <c r="K161" i="9"/>
  <c r="P160" i="9"/>
  <c r="K160" i="9"/>
  <c r="P159" i="9"/>
  <c r="K159" i="9"/>
  <c r="Y159" i="9" s="1"/>
  <c r="P158" i="9"/>
  <c r="K158" i="9"/>
  <c r="P157" i="9"/>
  <c r="K157" i="9"/>
  <c r="P156" i="9"/>
  <c r="K156" i="9"/>
  <c r="P155" i="9"/>
  <c r="K155" i="9"/>
  <c r="P154" i="9"/>
  <c r="K154" i="9"/>
  <c r="P153" i="9"/>
  <c r="K153" i="9"/>
  <c r="P152" i="9"/>
  <c r="K152" i="9"/>
  <c r="P151" i="9"/>
  <c r="K151" i="9"/>
  <c r="Y151" i="9" s="1"/>
  <c r="P150" i="9"/>
  <c r="K150" i="9"/>
  <c r="P149" i="9"/>
  <c r="K149" i="9"/>
  <c r="P148" i="9"/>
  <c r="K148" i="9"/>
  <c r="P147" i="9"/>
  <c r="K147" i="9"/>
  <c r="Y147" i="9" s="1"/>
  <c r="P146" i="9"/>
  <c r="K146" i="9"/>
  <c r="P145" i="9"/>
  <c r="K145" i="9"/>
  <c r="P144" i="9"/>
  <c r="K144" i="9"/>
  <c r="P143" i="9"/>
  <c r="K143" i="9"/>
  <c r="P142" i="9"/>
  <c r="K142" i="9"/>
  <c r="P141" i="9"/>
  <c r="K141" i="9"/>
  <c r="BJ140" i="9"/>
  <c r="BG140" i="9"/>
  <c r="BD140" i="9"/>
  <c r="AX140" i="9"/>
  <c r="AD140" i="9"/>
  <c r="AK140" i="9" s="1"/>
  <c r="T140" i="9"/>
  <c r="K140" i="9"/>
  <c r="P134" i="9"/>
  <c r="K134" i="9"/>
  <c r="Y134" i="9" s="1"/>
  <c r="P133" i="9"/>
  <c r="K133" i="9"/>
  <c r="P132" i="9"/>
  <c r="K132" i="9"/>
  <c r="P131" i="9"/>
  <c r="K131" i="9"/>
  <c r="P130" i="9"/>
  <c r="K130" i="9"/>
  <c r="P129" i="9"/>
  <c r="K129" i="9"/>
  <c r="P128" i="9"/>
  <c r="K128" i="9"/>
  <c r="P127" i="9"/>
  <c r="K127" i="9"/>
  <c r="P126" i="9"/>
  <c r="K126" i="9"/>
  <c r="P125" i="9"/>
  <c r="K125" i="9"/>
  <c r="P124" i="9"/>
  <c r="K124" i="9"/>
  <c r="P123" i="9"/>
  <c r="K123" i="9"/>
  <c r="P122" i="9"/>
  <c r="K122" i="9"/>
  <c r="P121" i="9"/>
  <c r="K121" i="9"/>
  <c r="P120" i="9"/>
  <c r="K120" i="9"/>
  <c r="P119" i="9"/>
  <c r="K119" i="9"/>
  <c r="P118" i="9"/>
  <c r="K118" i="9"/>
  <c r="P117" i="9"/>
  <c r="K117" i="9"/>
  <c r="Y117" i="9" s="1"/>
  <c r="P116" i="9"/>
  <c r="K116" i="9"/>
  <c r="P115" i="9"/>
  <c r="K115" i="9"/>
  <c r="Y115" i="9" s="1"/>
  <c r="P114" i="9"/>
  <c r="K114" i="9"/>
  <c r="P113" i="9"/>
  <c r="K113" i="9"/>
  <c r="Y113" i="9" s="1"/>
  <c r="P112" i="9"/>
  <c r="K112" i="9"/>
  <c r="P111" i="9"/>
  <c r="K111" i="9"/>
  <c r="P110" i="9"/>
  <c r="K110" i="9"/>
  <c r="P109" i="9"/>
  <c r="K109" i="9"/>
  <c r="Y109" i="9" s="1"/>
  <c r="P108" i="9"/>
  <c r="K108" i="9"/>
  <c r="P107" i="9"/>
  <c r="K107" i="9"/>
  <c r="P106" i="9"/>
  <c r="K106" i="9"/>
  <c r="P105" i="9"/>
  <c r="K105" i="9"/>
  <c r="Y105" i="9" s="1"/>
  <c r="P104" i="9"/>
  <c r="K104" i="9"/>
  <c r="P103" i="9"/>
  <c r="K103" i="9"/>
  <c r="P102" i="9"/>
  <c r="K102" i="9"/>
  <c r="P101" i="9"/>
  <c r="K101" i="9"/>
  <c r="P100" i="9"/>
  <c r="K100" i="9"/>
  <c r="P99" i="9"/>
  <c r="K99" i="9"/>
  <c r="Y99" i="9" s="1"/>
  <c r="P98" i="9"/>
  <c r="K98" i="9"/>
  <c r="P97" i="9"/>
  <c r="K97" i="9"/>
  <c r="Y97" i="9" s="1"/>
  <c r="P96" i="9"/>
  <c r="K96" i="9"/>
  <c r="P95" i="9"/>
  <c r="K95" i="9"/>
  <c r="Y95" i="9" s="1"/>
  <c r="P94" i="9"/>
  <c r="K94" i="9"/>
  <c r="P93" i="9"/>
  <c r="K93" i="9"/>
  <c r="Y93" i="9" s="1"/>
  <c r="P92" i="9"/>
  <c r="K92" i="9"/>
  <c r="P91" i="9"/>
  <c r="K91" i="9"/>
  <c r="P90" i="9"/>
  <c r="K90" i="9"/>
  <c r="P89" i="9"/>
  <c r="K89" i="9"/>
  <c r="Y89" i="9" s="1"/>
  <c r="P88" i="9"/>
  <c r="K88" i="9"/>
  <c r="P87" i="9"/>
  <c r="K87" i="9"/>
  <c r="P86" i="9"/>
  <c r="K86" i="9"/>
  <c r="P85" i="9"/>
  <c r="K85" i="9"/>
  <c r="Y85" i="9" s="1"/>
  <c r="P84" i="9"/>
  <c r="K84" i="9"/>
  <c r="P83" i="9"/>
  <c r="K83" i="9"/>
  <c r="P82" i="9"/>
  <c r="K82" i="9"/>
  <c r="P81" i="9"/>
  <c r="K81" i="9"/>
  <c r="Y81" i="9" s="1"/>
  <c r="P80" i="9"/>
  <c r="K80" i="9"/>
  <c r="P79" i="9"/>
  <c r="K79" i="9"/>
  <c r="P78" i="9"/>
  <c r="K78" i="9"/>
  <c r="P77" i="9"/>
  <c r="K77" i="9"/>
  <c r="Y77" i="9" s="1"/>
  <c r="P76" i="9"/>
  <c r="K76" i="9"/>
  <c r="P75" i="9"/>
  <c r="K75" i="9"/>
  <c r="P74" i="9"/>
  <c r="K74" i="9"/>
  <c r="P73" i="9"/>
  <c r="K73" i="9"/>
  <c r="Y73" i="9" s="1"/>
  <c r="P72" i="9"/>
  <c r="K72" i="9"/>
  <c r="P71" i="9"/>
  <c r="K71" i="9"/>
  <c r="P70" i="9"/>
  <c r="K70" i="9"/>
  <c r="P69" i="9"/>
  <c r="K69" i="9"/>
  <c r="Y69" i="9" s="1"/>
  <c r="P68" i="9"/>
  <c r="K68" i="9"/>
  <c r="P67" i="9"/>
  <c r="K67" i="9"/>
  <c r="P66" i="9"/>
  <c r="K66" i="9"/>
  <c r="P65" i="9"/>
  <c r="K65" i="9"/>
  <c r="Y65" i="9" s="1"/>
  <c r="P64" i="9"/>
  <c r="K64" i="9"/>
  <c r="P63" i="9"/>
  <c r="K63" i="9"/>
  <c r="P62" i="9"/>
  <c r="K62" i="9"/>
  <c r="P61" i="9"/>
  <c r="K61" i="9"/>
  <c r="Y61" i="9" s="1"/>
  <c r="P60" i="9"/>
  <c r="K60" i="9"/>
  <c r="P59" i="9"/>
  <c r="K59" i="9"/>
  <c r="P58" i="9"/>
  <c r="K58" i="9"/>
  <c r="P57" i="9"/>
  <c r="K57" i="9"/>
  <c r="Y57" i="9" s="1"/>
  <c r="P56" i="9"/>
  <c r="K56" i="9"/>
  <c r="P55" i="9"/>
  <c r="K55" i="9"/>
  <c r="P54" i="9"/>
  <c r="K54" i="9"/>
  <c r="P53" i="9"/>
  <c r="K53" i="9"/>
  <c r="Y53" i="9" s="1"/>
  <c r="P52" i="9"/>
  <c r="K52" i="9"/>
  <c r="P51" i="9"/>
  <c r="K51" i="9"/>
  <c r="P50" i="9"/>
  <c r="K50" i="9"/>
  <c r="P49" i="9"/>
  <c r="K49" i="9"/>
  <c r="Y49" i="9" s="1"/>
  <c r="P48" i="9"/>
  <c r="K48" i="9"/>
  <c r="P47" i="9"/>
  <c r="K47" i="9"/>
  <c r="Y47" i="9" s="1"/>
  <c r="P46" i="9"/>
  <c r="K46" i="9"/>
  <c r="P45" i="9"/>
  <c r="K45" i="9"/>
  <c r="Y45" i="9" s="1"/>
  <c r="P44" i="9"/>
  <c r="K44" i="9"/>
  <c r="P43" i="9"/>
  <c r="K43" i="9"/>
  <c r="Y43" i="9" s="1"/>
  <c r="P42" i="9"/>
  <c r="K42" i="9"/>
  <c r="P41" i="9"/>
  <c r="K41" i="9"/>
  <c r="P40" i="9"/>
  <c r="K40" i="9"/>
  <c r="P39" i="9"/>
  <c r="K39" i="9"/>
  <c r="Y39" i="9" s="1"/>
  <c r="P38" i="9"/>
  <c r="K38" i="9"/>
  <c r="P37" i="9"/>
  <c r="K37" i="9"/>
  <c r="Y37" i="9" s="1"/>
  <c r="P36" i="9"/>
  <c r="K36" i="9"/>
  <c r="P35" i="9"/>
  <c r="K35" i="9"/>
  <c r="Y35" i="9" s="1"/>
  <c r="P34" i="9"/>
  <c r="K34" i="9"/>
  <c r="P33" i="9"/>
  <c r="K33" i="9"/>
  <c r="Q32" i="9"/>
  <c r="P32" i="9"/>
  <c r="R32" i="9" s="1"/>
  <c r="K32" i="9"/>
  <c r="BJ31" i="9"/>
  <c r="BG31" i="9"/>
  <c r="BE31" i="9"/>
  <c r="BD31" i="9" s="1"/>
  <c r="AX31" i="9"/>
  <c r="T31" i="9"/>
  <c r="V32" i="9"/>
  <c r="K31" i="9"/>
  <c r="BS8" i="9"/>
  <c r="U4" i="9"/>
  <c r="J6" i="9"/>
  <c r="U9" i="9"/>
  <c r="BP6" i="9"/>
  <c r="BP7" i="9" s="1"/>
  <c r="BP8" i="9" s="1"/>
  <c r="AC19" i="9"/>
  <c r="J7" i="9"/>
  <c r="Y10" i="9" s="1"/>
  <c r="U7" i="9"/>
  <c r="Y8" i="9"/>
  <c r="W4" i="9"/>
  <c r="U3" i="9"/>
  <c r="G113" i="8"/>
  <c r="Y156" i="9" l="1"/>
  <c r="Y164" i="9"/>
  <c r="Y34" i="9"/>
  <c r="Y38" i="9"/>
  <c r="Y42" i="9"/>
  <c r="Y50" i="9"/>
  <c r="Y54" i="9"/>
  <c r="Y58" i="9"/>
  <c r="Y62" i="9"/>
  <c r="Y66" i="9"/>
  <c r="Y70" i="9"/>
  <c r="Y74" i="9"/>
  <c r="Y78" i="9"/>
  <c r="Y82" i="9"/>
  <c r="Y86" i="9"/>
  <c r="Y90" i="9"/>
  <c r="Y102" i="9"/>
  <c r="Y106" i="9"/>
  <c r="Y110" i="9"/>
  <c r="Y118" i="9"/>
  <c r="Y122" i="9"/>
  <c r="Y130" i="9"/>
  <c r="Y32" i="9"/>
  <c r="Y146" i="9"/>
  <c r="Y154" i="9"/>
  <c r="Y162" i="9"/>
  <c r="Y170" i="9"/>
  <c r="Y178" i="9"/>
  <c r="Y186" i="9"/>
  <c r="Y194" i="9"/>
  <c r="Y202" i="9"/>
  <c r="Y210" i="9"/>
  <c r="Y218" i="9"/>
  <c r="Y222" i="9"/>
  <c r="Y226" i="9"/>
  <c r="Y230" i="9"/>
  <c r="Y234" i="9"/>
  <c r="Y238" i="9"/>
  <c r="Y52" i="9"/>
  <c r="Y60" i="9"/>
  <c r="Y68" i="9"/>
  <c r="Y72" i="9"/>
  <c r="Y76" i="9"/>
  <c r="Y80" i="9"/>
  <c r="Y84" i="9"/>
  <c r="Y88" i="9"/>
  <c r="Y92" i="9"/>
  <c r="Y100" i="9"/>
  <c r="Y219" i="9"/>
  <c r="Y223" i="9"/>
  <c r="Y227" i="9"/>
  <c r="Y231" i="9"/>
  <c r="Y235" i="9"/>
  <c r="Y121" i="9"/>
  <c r="Y125" i="9"/>
  <c r="Y129" i="9"/>
  <c r="Y133" i="9"/>
  <c r="X82" i="10"/>
  <c r="X138" i="10"/>
  <c r="W160" i="10"/>
  <c r="W164" i="10"/>
  <c r="W168" i="10"/>
  <c r="W172" i="10"/>
  <c r="W176" i="10"/>
  <c r="W180" i="10"/>
  <c r="Y180" i="10" s="1"/>
  <c r="Z180" i="10" s="1"/>
  <c r="AA180" i="10" s="1"/>
  <c r="AE180" i="10" s="1"/>
  <c r="AK180" i="10" s="1"/>
  <c r="W184" i="10"/>
  <c r="W188" i="10"/>
  <c r="W192" i="10"/>
  <c r="W196" i="10"/>
  <c r="W200" i="10"/>
  <c r="W204" i="10"/>
  <c r="W208" i="10"/>
  <c r="W212" i="10"/>
  <c r="Y212" i="10" s="1"/>
  <c r="Z212" i="10" s="1"/>
  <c r="AA212" i="10" s="1"/>
  <c r="AE212" i="10" s="1"/>
  <c r="AK212" i="10" s="1"/>
  <c r="W216" i="10"/>
  <c r="W220" i="10"/>
  <c r="W224" i="10"/>
  <c r="W228" i="10"/>
  <c r="W232" i="10"/>
  <c r="W236" i="10"/>
  <c r="W240" i="10"/>
  <c r="W244" i="10"/>
  <c r="W248" i="10"/>
  <c r="W158" i="10"/>
  <c r="W162" i="10"/>
  <c r="W166" i="10"/>
  <c r="W170" i="10"/>
  <c r="W174" i="10"/>
  <c r="W178" i="10"/>
  <c r="W182" i="10"/>
  <c r="W186" i="10"/>
  <c r="W190" i="10"/>
  <c r="W194" i="10"/>
  <c r="W198" i="10"/>
  <c r="W202" i="10"/>
  <c r="W206" i="10"/>
  <c r="W210" i="10"/>
  <c r="W214" i="10"/>
  <c r="Y214" i="10" s="1"/>
  <c r="Z214" i="10" s="1"/>
  <c r="AA214" i="10" s="1"/>
  <c r="AE214" i="10" s="1"/>
  <c r="AK214" i="10" s="1"/>
  <c r="W218" i="10"/>
  <c r="W222" i="10"/>
  <c r="W226" i="10"/>
  <c r="W230" i="10"/>
  <c r="W234" i="10"/>
  <c r="W238" i="10"/>
  <c r="W242" i="10"/>
  <c r="W246" i="10"/>
  <c r="W250" i="10"/>
  <c r="W54" i="10"/>
  <c r="W110" i="10"/>
  <c r="X40" i="10"/>
  <c r="W82" i="10"/>
  <c r="W138" i="10"/>
  <c r="Y138" i="10" s="1"/>
  <c r="Z138" i="10" s="1"/>
  <c r="AA138" i="10" s="1"/>
  <c r="X68" i="10"/>
  <c r="X124" i="10"/>
  <c r="U150" i="9"/>
  <c r="Y150" i="9"/>
  <c r="Y33" i="9"/>
  <c r="Y41" i="9"/>
  <c r="Y56" i="9"/>
  <c r="Y64" i="9"/>
  <c r="Y91" i="9"/>
  <c r="Y108" i="9"/>
  <c r="Y123" i="9"/>
  <c r="Y172" i="9"/>
  <c r="Y188" i="9"/>
  <c r="Y204" i="9"/>
  <c r="Y220" i="9"/>
  <c r="Y236" i="9"/>
  <c r="Y36" i="9"/>
  <c r="Y44" i="9"/>
  <c r="Y48" i="9"/>
  <c r="Y51" i="9"/>
  <c r="Y59" i="9"/>
  <c r="Y67" i="9"/>
  <c r="Y75" i="9"/>
  <c r="Y83" i="9"/>
  <c r="Y94" i="9"/>
  <c r="Y114" i="9"/>
  <c r="Y126" i="9"/>
  <c r="Y148" i="9"/>
  <c r="Y163" i="9"/>
  <c r="U166" i="9"/>
  <c r="Y166" i="9"/>
  <c r="U182" i="9"/>
  <c r="Y182" i="9"/>
  <c r="U198" i="9"/>
  <c r="Y198" i="9"/>
  <c r="U214" i="9"/>
  <c r="Y214" i="9"/>
  <c r="W34" i="10"/>
  <c r="W36" i="10"/>
  <c r="Y36" i="10" s="1"/>
  <c r="Z36" i="10" s="1"/>
  <c r="AA36" i="10" s="1"/>
  <c r="W38" i="10"/>
  <c r="Y38" i="10" s="1"/>
  <c r="Z38" i="10" s="1"/>
  <c r="AA38" i="10" s="1"/>
  <c r="X56" i="10"/>
  <c r="X58" i="10"/>
  <c r="X60" i="10"/>
  <c r="W63" i="10"/>
  <c r="W65" i="10"/>
  <c r="W67" i="10"/>
  <c r="Y67" i="10" s="1"/>
  <c r="Z67" i="10" s="1"/>
  <c r="AA67" i="10" s="1"/>
  <c r="X83" i="10"/>
  <c r="X85" i="10"/>
  <c r="X87" i="10"/>
  <c r="W90" i="10"/>
  <c r="W92" i="10"/>
  <c r="W94" i="10"/>
  <c r="X112" i="10"/>
  <c r="X114" i="10"/>
  <c r="X116" i="10"/>
  <c r="W119" i="10"/>
  <c r="W121" i="10"/>
  <c r="W123" i="10"/>
  <c r="X139" i="10"/>
  <c r="X141" i="10"/>
  <c r="X143" i="10"/>
  <c r="W146" i="10"/>
  <c r="W148" i="10"/>
  <c r="Y148" i="10" s="1"/>
  <c r="Z148" i="10" s="1"/>
  <c r="AA148" i="10" s="1"/>
  <c r="W150" i="10"/>
  <c r="Y150" i="10" s="1"/>
  <c r="Z150" i="10" s="1"/>
  <c r="AA150" i="10" s="1"/>
  <c r="AE150" i="10" s="1"/>
  <c r="Y155" i="9"/>
  <c r="U158" i="9"/>
  <c r="Y158" i="9"/>
  <c r="Y180" i="9"/>
  <c r="Y196" i="9"/>
  <c r="Y212" i="9"/>
  <c r="Y228" i="9"/>
  <c r="U142" i="9"/>
  <c r="Y142" i="9"/>
  <c r="W40" i="10"/>
  <c r="W96" i="10"/>
  <c r="Y40" i="9"/>
  <c r="Y46" i="9"/>
  <c r="Y55" i="9"/>
  <c r="Y63" i="9"/>
  <c r="Y71" i="9"/>
  <c r="Y79" i="9"/>
  <c r="Y87" i="9"/>
  <c r="Y98" i="9"/>
  <c r="Y101" i="9"/>
  <c r="Y107" i="9"/>
  <c r="Y131" i="9"/>
  <c r="Y143" i="9"/>
  <c r="U174" i="9"/>
  <c r="Y174" i="9"/>
  <c r="U190" i="9"/>
  <c r="Y190" i="9"/>
  <c r="U206" i="9"/>
  <c r="W206" i="9" s="1"/>
  <c r="X206" i="9" s="1"/>
  <c r="Y206" i="9"/>
  <c r="X34" i="10"/>
  <c r="X36" i="10"/>
  <c r="X38" i="10"/>
  <c r="W41" i="10"/>
  <c r="W43" i="10"/>
  <c r="W45" i="10"/>
  <c r="S54" i="10"/>
  <c r="X63" i="10"/>
  <c r="X65" i="10"/>
  <c r="X67" i="10"/>
  <c r="W68" i="10"/>
  <c r="W70" i="10"/>
  <c r="W72" i="10"/>
  <c r="W74" i="10"/>
  <c r="X90" i="10"/>
  <c r="Y90" i="10" s="1"/>
  <c r="Z90" i="10" s="1"/>
  <c r="AA90" i="10" s="1"/>
  <c r="X92" i="10"/>
  <c r="Y92" i="10" s="1"/>
  <c r="Z92" i="10" s="1"/>
  <c r="AA92" i="10" s="1"/>
  <c r="X94" i="10"/>
  <c r="Y94" i="10" s="1"/>
  <c r="Z94" i="10" s="1"/>
  <c r="AA94" i="10" s="1"/>
  <c r="W97" i="10"/>
  <c r="W99" i="10"/>
  <c r="W101" i="10"/>
  <c r="X119" i="10"/>
  <c r="X121" i="10"/>
  <c r="X123" i="10"/>
  <c r="Y123" i="10" s="1"/>
  <c r="Z123" i="10" s="1"/>
  <c r="AA123" i="10" s="1"/>
  <c r="W124" i="10"/>
  <c r="W126" i="10"/>
  <c r="W128" i="10"/>
  <c r="W130" i="10"/>
  <c r="X146" i="10"/>
  <c r="X148" i="10"/>
  <c r="X150" i="10"/>
  <c r="Y116" i="9"/>
  <c r="Y124" i="9"/>
  <c r="Y132" i="9"/>
  <c r="Y141" i="9"/>
  <c r="Y149" i="9"/>
  <c r="Y157" i="9"/>
  <c r="Y165" i="9"/>
  <c r="Y173" i="9"/>
  <c r="Y181" i="9"/>
  <c r="Y189" i="9"/>
  <c r="Y197" i="9"/>
  <c r="Y205" i="9"/>
  <c r="Y213" i="9"/>
  <c r="Y221" i="9"/>
  <c r="Y229" i="9"/>
  <c r="Y237" i="9"/>
  <c r="X158" i="10"/>
  <c r="Y158" i="10" s="1"/>
  <c r="Z158" i="10" s="1"/>
  <c r="AA158" i="10" s="1"/>
  <c r="AE158" i="10" s="1"/>
  <c r="AK158" i="10" s="1"/>
  <c r="X162" i="10"/>
  <c r="Y162" i="10" s="1"/>
  <c r="Z162" i="10" s="1"/>
  <c r="AA162" i="10" s="1"/>
  <c r="AE162" i="10" s="1"/>
  <c r="AK162" i="10" s="1"/>
  <c r="X166" i="10"/>
  <c r="Y166" i="10" s="1"/>
  <c r="Z166" i="10" s="1"/>
  <c r="AA166" i="10" s="1"/>
  <c r="AE166" i="10" s="1"/>
  <c r="AK166" i="10" s="1"/>
  <c r="X170" i="10"/>
  <c r="X174" i="10"/>
  <c r="X178" i="10"/>
  <c r="X182" i="10"/>
  <c r="X186" i="10"/>
  <c r="X190" i="10"/>
  <c r="Y190" i="10" s="1"/>
  <c r="Z190" i="10" s="1"/>
  <c r="AA190" i="10" s="1"/>
  <c r="AE190" i="10" s="1"/>
  <c r="AK190" i="10" s="1"/>
  <c r="X194" i="10"/>
  <c r="X198" i="10"/>
  <c r="Y198" i="10" s="1"/>
  <c r="Z198" i="10" s="1"/>
  <c r="AA198" i="10" s="1"/>
  <c r="AE198" i="10" s="1"/>
  <c r="AK198" i="10" s="1"/>
  <c r="X202" i="10"/>
  <c r="X206" i="10"/>
  <c r="X210" i="10"/>
  <c r="X214" i="10"/>
  <c r="X218" i="10"/>
  <c r="X222" i="10"/>
  <c r="Y222" i="10" s="1"/>
  <c r="Z222" i="10" s="1"/>
  <c r="AA222" i="10" s="1"/>
  <c r="AE222" i="10" s="1"/>
  <c r="AK222" i="10" s="1"/>
  <c r="X226" i="10"/>
  <c r="Y226" i="10" s="1"/>
  <c r="Z226" i="10" s="1"/>
  <c r="AA226" i="10" s="1"/>
  <c r="AE226" i="10" s="1"/>
  <c r="AK226" i="10" s="1"/>
  <c r="X230" i="10"/>
  <c r="Y230" i="10" s="1"/>
  <c r="Z230" i="10" s="1"/>
  <c r="AA230" i="10" s="1"/>
  <c r="AE230" i="10" s="1"/>
  <c r="AK230" i="10" s="1"/>
  <c r="X234" i="10"/>
  <c r="X238" i="10"/>
  <c r="X242" i="10"/>
  <c r="X246" i="10"/>
  <c r="X250" i="10"/>
  <c r="Y250" i="10" s="1"/>
  <c r="Z250" i="10" s="1"/>
  <c r="AA250" i="10" s="1"/>
  <c r="AE250" i="10" s="1"/>
  <c r="AK250" i="10" s="1"/>
  <c r="T30" i="11"/>
  <c r="Y103" i="9"/>
  <c r="Y111" i="9"/>
  <c r="Y119" i="9"/>
  <c r="Y127" i="9"/>
  <c r="Y144" i="9"/>
  <c r="Y152" i="9"/>
  <c r="Y160" i="9"/>
  <c r="Y168" i="9"/>
  <c r="Y176" i="9"/>
  <c r="Y184" i="9"/>
  <c r="Y192" i="9"/>
  <c r="Y200" i="9"/>
  <c r="Y208" i="9"/>
  <c r="Y216" i="9"/>
  <c r="Y224" i="9"/>
  <c r="Y232" i="9"/>
  <c r="Y240" i="9"/>
  <c r="X48" i="10"/>
  <c r="X50" i="10"/>
  <c r="X52" i="10"/>
  <c r="X54" i="10"/>
  <c r="W55" i="10"/>
  <c r="W57" i="10"/>
  <c r="W59" i="10"/>
  <c r="X77" i="10"/>
  <c r="X79" i="10"/>
  <c r="X81" i="10"/>
  <c r="W84" i="10"/>
  <c r="W86" i="10"/>
  <c r="W88" i="10"/>
  <c r="X104" i="10"/>
  <c r="X106" i="10"/>
  <c r="X108" i="10"/>
  <c r="X110" i="10"/>
  <c r="Y110" i="10" s="1"/>
  <c r="Z110" i="10" s="1"/>
  <c r="AA110" i="10" s="1"/>
  <c r="W111" i="10"/>
  <c r="W113" i="10"/>
  <c r="W115" i="10"/>
  <c r="X133" i="10"/>
  <c r="X135" i="10"/>
  <c r="X137" i="10"/>
  <c r="W140" i="10"/>
  <c r="W142" i="10"/>
  <c r="W144" i="10"/>
  <c r="AL32" i="9"/>
  <c r="AL33" i="9"/>
  <c r="AL60" i="9"/>
  <c r="AL69" i="9"/>
  <c r="AL78" i="9"/>
  <c r="AL88" i="9"/>
  <c r="AL97" i="9"/>
  <c r="AL106" i="9"/>
  <c r="AL124" i="9"/>
  <c r="AL133" i="9"/>
  <c r="AL43" i="9"/>
  <c r="AL52" i="9"/>
  <c r="AL61" i="9"/>
  <c r="AL70" i="9"/>
  <c r="AL80" i="9"/>
  <c r="AL89" i="9"/>
  <c r="AL98" i="9"/>
  <c r="AL116" i="9"/>
  <c r="AL125" i="9"/>
  <c r="AL134" i="9"/>
  <c r="AL36" i="9"/>
  <c r="AL45" i="9"/>
  <c r="AL54" i="9"/>
  <c r="AL64" i="9"/>
  <c r="AL73" i="9"/>
  <c r="AL82" i="9"/>
  <c r="AL100" i="9"/>
  <c r="AL109" i="9"/>
  <c r="AL118" i="9"/>
  <c r="AL128" i="9"/>
  <c r="AL37" i="9"/>
  <c r="AL46" i="9"/>
  <c r="AL56" i="9"/>
  <c r="AL65" i="9"/>
  <c r="AL74" i="9"/>
  <c r="AL92" i="9"/>
  <c r="AL101" i="9"/>
  <c r="AL110" i="9"/>
  <c r="AL120" i="9"/>
  <c r="AL129" i="9"/>
  <c r="AL48" i="9"/>
  <c r="AL57" i="9"/>
  <c r="AL66" i="9"/>
  <c r="AL84" i="9"/>
  <c r="AL93" i="9"/>
  <c r="AL102" i="9"/>
  <c r="AL112" i="9"/>
  <c r="AL121" i="9"/>
  <c r="AL130" i="9"/>
  <c r="AL31" i="9"/>
  <c r="AL40" i="9"/>
  <c r="AL49" i="9"/>
  <c r="AL58" i="9"/>
  <c r="AL76" i="9"/>
  <c r="AL85" i="9"/>
  <c r="AL94" i="9"/>
  <c r="AL41" i="9"/>
  <c r="AL50" i="9"/>
  <c r="AL68" i="9"/>
  <c r="AL77" i="9"/>
  <c r="AL86" i="9"/>
  <c r="AL96" i="9"/>
  <c r="AL105" i="9"/>
  <c r="AL114" i="9"/>
  <c r="AL132" i="9"/>
  <c r="AL90" i="9"/>
  <c r="AL35" i="9"/>
  <c r="AL104" i="9"/>
  <c r="AL44" i="9"/>
  <c r="AL108" i="9"/>
  <c r="AL72" i="9"/>
  <c r="AL53" i="9"/>
  <c r="AL113" i="9"/>
  <c r="AL122" i="9"/>
  <c r="AL81" i="9"/>
  <c r="AL62" i="9"/>
  <c r="AL117" i="9"/>
  <c r="AL126" i="9"/>
  <c r="AL131" i="9"/>
  <c r="AL83" i="9"/>
  <c r="AL38" i="9"/>
  <c r="AL63" i="9"/>
  <c r="AL39" i="9"/>
  <c r="AL47" i="9"/>
  <c r="AL91" i="9"/>
  <c r="AL67" i="9"/>
  <c r="AL119" i="9"/>
  <c r="AL111" i="9"/>
  <c r="AL107" i="9"/>
  <c r="AL99" i="9"/>
  <c r="AL59" i="9"/>
  <c r="AL55" i="9"/>
  <c r="AL34" i="9"/>
  <c r="AL75" i="9"/>
  <c r="AL127" i="9"/>
  <c r="AL51" i="9"/>
  <c r="AL42" i="9"/>
  <c r="AL103" i="9"/>
  <c r="AL95" i="9"/>
  <c r="AL115" i="9"/>
  <c r="AL87" i="9"/>
  <c r="AL79" i="9"/>
  <c r="AL71" i="9"/>
  <c r="AL123" i="9"/>
  <c r="Y96" i="9"/>
  <c r="Y104" i="9"/>
  <c r="Y112" i="9"/>
  <c r="Y120" i="9"/>
  <c r="Y128" i="9"/>
  <c r="Y145" i="9"/>
  <c r="Y153" i="9"/>
  <c r="Y161" i="9"/>
  <c r="Y169" i="9"/>
  <c r="Y177" i="9"/>
  <c r="Y185" i="9"/>
  <c r="Y193" i="9"/>
  <c r="Y201" i="9"/>
  <c r="Y209" i="9"/>
  <c r="Y217" i="9"/>
  <c r="Y225" i="9"/>
  <c r="Y233" i="9"/>
  <c r="X41" i="10"/>
  <c r="X43" i="10"/>
  <c r="Y43" i="10" s="1"/>
  <c r="Z43" i="10" s="1"/>
  <c r="AA43" i="10" s="1"/>
  <c r="X45" i="10"/>
  <c r="W48" i="10"/>
  <c r="Y48" i="10" s="1"/>
  <c r="Z48" i="10" s="1"/>
  <c r="AA48" i="10" s="1"/>
  <c r="W50" i="10"/>
  <c r="Y50" i="10" s="1"/>
  <c r="Z50" i="10" s="1"/>
  <c r="AA50" i="10" s="1"/>
  <c r="W52" i="10"/>
  <c r="X70" i="10"/>
  <c r="X72" i="10"/>
  <c r="X74" i="10"/>
  <c r="W75" i="10"/>
  <c r="W77" i="10"/>
  <c r="W79" i="10"/>
  <c r="W81" i="10"/>
  <c r="Y81" i="10" s="1"/>
  <c r="Z81" i="10" s="1"/>
  <c r="AA81" i="10" s="1"/>
  <c r="X97" i="10"/>
  <c r="Y97" i="10" s="1"/>
  <c r="Z97" i="10" s="1"/>
  <c r="AA97" i="10" s="1"/>
  <c r="X99" i="10"/>
  <c r="Y99" i="10" s="1"/>
  <c r="Z99" i="10" s="1"/>
  <c r="AA99" i="10" s="1"/>
  <c r="X101" i="10"/>
  <c r="W104" i="10"/>
  <c r="W106" i="10"/>
  <c r="W108" i="10"/>
  <c r="X126" i="10"/>
  <c r="X128" i="10"/>
  <c r="Y128" i="10" s="1"/>
  <c r="Z128" i="10" s="1"/>
  <c r="AA128" i="10" s="1"/>
  <c r="X130" i="10"/>
  <c r="Y130" i="10" s="1"/>
  <c r="Z130" i="10" s="1"/>
  <c r="AA130" i="10" s="1"/>
  <c r="W131" i="10"/>
  <c r="W133" i="10"/>
  <c r="W135" i="10"/>
  <c r="W137" i="10"/>
  <c r="X160" i="10"/>
  <c r="Y160" i="10" s="1"/>
  <c r="Z160" i="10" s="1"/>
  <c r="AA160" i="10" s="1"/>
  <c r="AE160" i="10" s="1"/>
  <c r="AK160" i="10" s="1"/>
  <c r="X164" i="10"/>
  <c r="Y164" i="10" s="1"/>
  <c r="Z164" i="10" s="1"/>
  <c r="AA164" i="10" s="1"/>
  <c r="AE164" i="10" s="1"/>
  <c r="AK164" i="10" s="1"/>
  <c r="X168" i="10"/>
  <c r="Y168" i="10" s="1"/>
  <c r="Z168" i="10" s="1"/>
  <c r="AA168" i="10" s="1"/>
  <c r="AE168" i="10" s="1"/>
  <c r="AK168" i="10" s="1"/>
  <c r="X172" i="10"/>
  <c r="Y172" i="10" s="1"/>
  <c r="Z172" i="10" s="1"/>
  <c r="AA172" i="10" s="1"/>
  <c r="AE172" i="10" s="1"/>
  <c r="AK172" i="10" s="1"/>
  <c r="X176" i="10"/>
  <c r="X180" i="10"/>
  <c r="X184" i="10"/>
  <c r="X188" i="10"/>
  <c r="Y188" i="10" s="1"/>
  <c r="Z188" i="10" s="1"/>
  <c r="AA188" i="10" s="1"/>
  <c r="AE188" i="10" s="1"/>
  <c r="AK188" i="10" s="1"/>
  <c r="X192" i="10"/>
  <c r="X196" i="10"/>
  <c r="Y196" i="10" s="1"/>
  <c r="Z196" i="10" s="1"/>
  <c r="AA196" i="10" s="1"/>
  <c r="AE196" i="10" s="1"/>
  <c r="AK196" i="10" s="1"/>
  <c r="X200" i="10"/>
  <c r="Y200" i="10" s="1"/>
  <c r="Z200" i="10" s="1"/>
  <c r="AA200" i="10" s="1"/>
  <c r="AE200" i="10" s="1"/>
  <c r="AK200" i="10" s="1"/>
  <c r="X204" i="10"/>
  <c r="Y204" i="10" s="1"/>
  <c r="Z204" i="10" s="1"/>
  <c r="AA204" i="10" s="1"/>
  <c r="AE204" i="10" s="1"/>
  <c r="AK204" i="10" s="1"/>
  <c r="X208" i="10"/>
  <c r="X212" i="10"/>
  <c r="X216" i="10"/>
  <c r="Y216" i="10" s="1"/>
  <c r="Z216" i="10" s="1"/>
  <c r="AA216" i="10" s="1"/>
  <c r="AE216" i="10" s="1"/>
  <c r="AK216" i="10" s="1"/>
  <c r="X220" i="10"/>
  <c r="Y220" i="10" s="1"/>
  <c r="Z220" i="10" s="1"/>
  <c r="AA220" i="10" s="1"/>
  <c r="AE220" i="10" s="1"/>
  <c r="AK220" i="10" s="1"/>
  <c r="X224" i="10"/>
  <c r="Y224" i="10" s="1"/>
  <c r="Z224" i="10" s="1"/>
  <c r="AA224" i="10" s="1"/>
  <c r="AE224" i="10" s="1"/>
  <c r="AK224" i="10" s="1"/>
  <c r="X228" i="10"/>
  <c r="Y228" i="10" s="1"/>
  <c r="Z228" i="10" s="1"/>
  <c r="AA228" i="10" s="1"/>
  <c r="AE228" i="10" s="1"/>
  <c r="AK228" i="10" s="1"/>
  <c r="X232" i="10"/>
  <c r="Y232" i="10" s="1"/>
  <c r="Z232" i="10" s="1"/>
  <c r="AA232" i="10" s="1"/>
  <c r="AE232" i="10" s="1"/>
  <c r="AK232" i="10" s="1"/>
  <c r="X236" i="10"/>
  <c r="Y236" i="10" s="1"/>
  <c r="Z236" i="10" s="1"/>
  <c r="AA236" i="10" s="1"/>
  <c r="AE236" i="10" s="1"/>
  <c r="AK236" i="10" s="1"/>
  <c r="X240" i="10"/>
  <c r="X244" i="10"/>
  <c r="X248" i="10"/>
  <c r="Y248" i="10" s="1"/>
  <c r="Z248" i="10" s="1"/>
  <c r="AA248" i="10" s="1"/>
  <c r="AE248" i="10" s="1"/>
  <c r="AK248" i="10" s="1"/>
  <c r="X33" i="10"/>
  <c r="X35" i="10"/>
  <c r="X37" i="10"/>
  <c r="X39" i="10"/>
  <c r="Y40" i="10"/>
  <c r="Z40" i="10" s="1"/>
  <c r="AA40" i="10" s="1"/>
  <c r="W42" i="10"/>
  <c r="W44" i="10"/>
  <c r="W46" i="10"/>
  <c r="X62" i="10"/>
  <c r="X64" i="10"/>
  <c r="X66" i="10"/>
  <c r="W69" i="10"/>
  <c r="W71" i="10"/>
  <c r="W73" i="10"/>
  <c r="X91" i="10"/>
  <c r="X93" i="10"/>
  <c r="X95" i="10"/>
  <c r="W98" i="10"/>
  <c r="W100" i="10"/>
  <c r="W102" i="10"/>
  <c r="X118" i="10"/>
  <c r="X120" i="10"/>
  <c r="X122" i="10"/>
  <c r="W125" i="10"/>
  <c r="W127" i="10"/>
  <c r="W129" i="10"/>
  <c r="X147" i="10"/>
  <c r="X149" i="10"/>
  <c r="W159" i="10"/>
  <c r="W163" i="10"/>
  <c r="W167" i="10"/>
  <c r="W171" i="10"/>
  <c r="W175" i="10"/>
  <c r="W179" i="10"/>
  <c r="W183" i="10"/>
  <c r="W187" i="10"/>
  <c r="W191" i="10"/>
  <c r="W195" i="10"/>
  <c r="W199" i="10"/>
  <c r="W203" i="10"/>
  <c r="W207" i="10"/>
  <c r="W211" i="10"/>
  <c r="W215" i="10"/>
  <c r="W219" i="10"/>
  <c r="W223" i="10"/>
  <c r="W227" i="10"/>
  <c r="W231" i="10"/>
  <c r="W235" i="10"/>
  <c r="W239" i="10"/>
  <c r="W243" i="10"/>
  <c r="W247" i="10"/>
  <c r="X47" i="10"/>
  <c r="X103" i="10"/>
  <c r="Y133" i="10"/>
  <c r="Z133" i="10" s="1"/>
  <c r="AA133" i="10" s="1"/>
  <c r="X49" i="10"/>
  <c r="X51" i="10"/>
  <c r="X53" i="10"/>
  <c r="Y54" i="10"/>
  <c r="Z54" i="10" s="1"/>
  <c r="AA54" i="10" s="1"/>
  <c r="W56" i="10"/>
  <c r="Y56" i="10" s="1"/>
  <c r="Z56" i="10" s="1"/>
  <c r="AA56" i="10" s="1"/>
  <c r="W58" i="10"/>
  <c r="Y58" i="10" s="1"/>
  <c r="Z58" i="10" s="1"/>
  <c r="AA58" i="10" s="1"/>
  <c r="W60" i="10"/>
  <c r="Y60" i="10" s="1"/>
  <c r="Z60" i="10" s="1"/>
  <c r="AA60" i="10" s="1"/>
  <c r="X76" i="10"/>
  <c r="X78" i="10"/>
  <c r="X80" i="10"/>
  <c r="W83" i="10"/>
  <c r="W85" i="10"/>
  <c r="W87" i="10"/>
  <c r="Y87" i="10" s="1"/>
  <c r="Z87" i="10" s="1"/>
  <c r="AA87" i="10" s="1"/>
  <c r="X105" i="10"/>
  <c r="X107" i="10"/>
  <c r="X109" i="10"/>
  <c r="W112" i="10"/>
  <c r="W114" i="10"/>
  <c r="W116" i="10"/>
  <c r="X132" i="10"/>
  <c r="X134" i="10"/>
  <c r="X136" i="10"/>
  <c r="W139" i="10"/>
  <c r="Y139" i="10" s="1"/>
  <c r="Z139" i="10" s="1"/>
  <c r="AA139" i="10" s="1"/>
  <c r="W141" i="10"/>
  <c r="Y141" i="10" s="1"/>
  <c r="Z141" i="10" s="1"/>
  <c r="AA141" i="10" s="1"/>
  <c r="W143" i="10"/>
  <c r="W33" i="10"/>
  <c r="W35" i="10"/>
  <c r="W37" i="10"/>
  <c r="W39" i="10"/>
  <c r="X55" i="10"/>
  <c r="Y55" i="10" s="1"/>
  <c r="Z55" i="10" s="1"/>
  <c r="AA55" i="10" s="1"/>
  <c r="X57" i="10"/>
  <c r="X59" i="10"/>
  <c r="X61" i="10"/>
  <c r="W62" i="10"/>
  <c r="W64" i="10"/>
  <c r="W66" i="10"/>
  <c r="X84" i="10"/>
  <c r="X86" i="10"/>
  <c r="Y86" i="10" s="1"/>
  <c r="Z86" i="10" s="1"/>
  <c r="AA86" i="10" s="1"/>
  <c r="X88" i="10"/>
  <c r="Y88" i="10" s="1"/>
  <c r="Z88" i="10" s="1"/>
  <c r="AA88" i="10" s="1"/>
  <c r="W89" i="10"/>
  <c r="W91" i="10"/>
  <c r="W93" i="10"/>
  <c r="W95" i="10"/>
  <c r="X111" i="10"/>
  <c r="Y111" i="10" s="1"/>
  <c r="Z111" i="10" s="1"/>
  <c r="AA111" i="10" s="1"/>
  <c r="X113" i="10"/>
  <c r="X115" i="10"/>
  <c r="Y115" i="10" s="1"/>
  <c r="Z115" i="10" s="1"/>
  <c r="AA115" i="10" s="1"/>
  <c r="X117" i="10"/>
  <c r="W118" i="10"/>
  <c r="W120" i="10"/>
  <c r="W122" i="10"/>
  <c r="Y122" i="10" s="1"/>
  <c r="Z122" i="10" s="1"/>
  <c r="AA122" i="10" s="1"/>
  <c r="X140" i="10"/>
  <c r="X142" i="10"/>
  <c r="X144" i="10"/>
  <c r="W145" i="10"/>
  <c r="W147" i="10"/>
  <c r="W149" i="10"/>
  <c r="X157" i="10"/>
  <c r="X161" i="10"/>
  <c r="X165" i="10"/>
  <c r="Y165" i="10" s="1"/>
  <c r="Z165" i="10" s="1"/>
  <c r="AA165" i="10" s="1"/>
  <c r="AE165" i="10" s="1"/>
  <c r="AK165" i="10" s="1"/>
  <c r="X169" i="10"/>
  <c r="X173" i="10"/>
  <c r="X177" i="10"/>
  <c r="X181" i="10"/>
  <c r="X185" i="10"/>
  <c r="X189" i="10"/>
  <c r="X193" i="10"/>
  <c r="X197" i="10"/>
  <c r="Y197" i="10" s="1"/>
  <c r="Z197" i="10" s="1"/>
  <c r="AA197" i="10" s="1"/>
  <c r="AE197" i="10" s="1"/>
  <c r="AK197" i="10" s="1"/>
  <c r="X201" i="10"/>
  <c r="X205" i="10"/>
  <c r="X209" i="10"/>
  <c r="X213" i="10"/>
  <c r="X217" i="10"/>
  <c r="X221" i="10"/>
  <c r="X225" i="10"/>
  <c r="X229" i="10"/>
  <c r="Y229" i="10" s="1"/>
  <c r="Z229" i="10" s="1"/>
  <c r="AA229" i="10" s="1"/>
  <c r="AE229" i="10" s="1"/>
  <c r="AK229" i="10" s="1"/>
  <c r="X233" i="10"/>
  <c r="X237" i="10"/>
  <c r="X241" i="10"/>
  <c r="X245" i="10"/>
  <c r="X249" i="10"/>
  <c r="Y72" i="10"/>
  <c r="Z72" i="10" s="1"/>
  <c r="AA72" i="10" s="1"/>
  <c r="X96" i="10"/>
  <c r="Y96" i="10" s="1"/>
  <c r="Z96" i="10" s="1"/>
  <c r="AA96" i="10" s="1"/>
  <c r="W157" i="10"/>
  <c r="W161" i="10"/>
  <c r="W165" i="10"/>
  <c r="W169" i="10"/>
  <c r="W173" i="10"/>
  <c r="W177" i="10"/>
  <c r="W181" i="10"/>
  <c r="W185" i="10"/>
  <c r="W189" i="10"/>
  <c r="W193" i="10"/>
  <c r="W197" i="10"/>
  <c r="W201" i="10"/>
  <c r="W205" i="10"/>
  <c r="W209" i="10"/>
  <c r="W213" i="10"/>
  <c r="W217" i="10"/>
  <c r="Y217" i="10" s="1"/>
  <c r="Z217" i="10" s="1"/>
  <c r="AA217" i="10" s="1"/>
  <c r="AE217" i="10" s="1"/>
  <c r="AK217" i="10" s="1"/>
  <c r="W221" i="10"/>
  <c r="W225" i="10"/>
  <c r="W229" i="10"/>
  <c r="W233" i="10"/>
  <c r="W237" i="10"/>
  <c r="W241" i="10"/>
  <c r="W245" i="10"/>
  <c r="W249" i="10"/>
  <c r="Y249" i="10" s="1"/>
  <c r="Z249" i="10" s="1"/>
  <c r="AA249" i="10" s="1"/>
  <c r="AE249" i="10" s="1"/>
  <c r="AK249" i="10" s="1"/>
  <c r="X42" i="10"/>
  <c r="X44" i="10"/>
  <c r="X46" i="10"/>
  <c r="W47" i="10"/>
  <c r="W49" i="10"/>
  <c r="W51" i="10"/>
  <c r="W53" i="10"/>
  <c r="Y53" i="10" s="1"/>
  <c r="Z53" i="10" s="1"/>
  <c r="AA53" i="10" s="1"/>
  <c r="X69" i="10"/>
  <c r="X71" i="10"/>
  <c r="X73" i="10"/>
  <c r="X75" i="10"/>
  <c r="W76" i="10"/>
  <c r="W78" i="10"/>
  <c r="W80" i="10"/>
  <c r="X98" i="10"/>
  <c r="X100" i="10"/>
  <c r="X102" i="10"/>
  <c r="W103" i="10"/>
  <c r="W105" i="10"/>
  <c r="W107" i="10"/>
  <c r="W109" i="10"/>
  <c r="X125" i="10"/>
  <c r="X127" i="10"/>
  <c r="Y127" i="10" s="1"/>
  <c r="Z127" i="10" s="1"/>
  <c r="AA127" i="10" s="1"/>
  <c r="X129" i="10"/>
  <c r="X131" i="10"/>
  <c r="W132" i="10"/>
  <c r="Y132" i="10" s="1"/>
  <c r="Z132" i="10" s="1"/>
  <c r="AA132" i="10" s="1"/>
  <c r="W134" i="10"/>
  <c r="W136" i="10"/>
  <c r="X32" i="10"/>
  <c r="W32" i="10"/>
  <c r="W61" i="10"/>
  <c r="Y61" i="10" s="1"/>
  <c r="Z61" i="10" s="1"/>
  <c r="AA61" i="10" s="1"/>
  <c r="X89" i="10"/>
  <c r="W117" i="10"/>
  <c r="Y121" i="10"/>
  <c r="Z121" i="10" s="1"/>
  <c r="AA121" i="10" s="1"/>
  <c r="X145" i="10"/>
  <c r="X159" i="10"/>
  <c r="X163" i="10"/>
  <c r="X167" i="10"/>
  <c r="X171" i="10"/>
  <c r="X175" i="10"/>
  <c r="X179" i="10"/>
  <c r="X183" i="10"/>
  <c r="X187" i="10"/>
  <c r="X191" i="10"/>
  <c r="X195" i="10"/>
  <c r="X199" i="10"/>
  <c r="X203" i="10"/>
  <c r="X207" i="10"/>
  <c r="X211" i="10"/>
  <c r="X215" i="10"/>
  <c r="X219" i="10"/>
  <c r="X223" i="10"/>
  <c r="X227" i="10"/>
  <c r="X231" i="10"/>
  <c r="X235" i="10"/>
  <c r="X239" i="10"/>
  <c r="X243" i="10"/>
  <c r="X247" i="10"/>
  <c r="X251" i="10"/>
  <c r="Y251" i="10" s="1"/>
  <c r="Z251" i="10" s="1"/>
  <c r="AA251" i="10" s="1"/>
  <c r="AE251" i="10" s="1"/>
  <c r="AK251" i="10" s="1"/>
  <c r="U222" i="9"/>
  <c r="G10" i="9"/>
  <c r="U230" i="9"/>
  <c r="W230" i="9" s="1"/>
  <c r="X230" i="9" s="1"/>
  <c r="AA230" i="9" s="1"/>
  <c r="U238" i="9"/>
  <c r="W238" i="9" s="1"/>
  <c r="X238" i="9" s="1"/>
  <c r="AA238" i="9" s="1"/>
  <c r="T30" i="12"/>
  <c r="U234" i="9"/>
  <c r="U192" i="9"/>
  <c r="W192" i="9" s="1"/>
  <c r="X192" i="9" s="1"/>
  <c r="U200" i="9"/>
  <c r="U208" i="9"/>
  <c r="U144" i="9"/>
  <c r="U152" i="9"/>
  <c r="U160" i="9"/>
  <c r="W160" i="9" s="1"/>
  <c r="X160" i="9" s="1"/>
  <c r="U168" i="9"/>
  <c r="W168" i="9" s="1"/>
  <c r="X168" i="9" s="1"/>
  <c r="U176" i="9"/>
  <c r="U184" i="9"/>
  <c r="W184" i="9" s="1"/>
  <c r="X184" i="9" s="1"/>
  <c r="U153" i="9"/>
  <c r="W153" i="9" s="1"/>
  <c r="X153" i="9" s="1"/>
  <c r="U161" i="9"/>
  <c r="U169" i="9"/>
  <c r="U177" i="9"/>
  <c r="W177" i="9" s="1"/>
  <c r="X177" i="9" s="1"/>
  <c r="U185" i="9"/>
  <c r="W185" i="9" s="1"/>
  <c r="X185" i="9" s="1"/>
  <c r="U193" i="9"/>
  <c r="W193" i="9" s="1"/>
  <c r="X193" i="9" s="1"/>
  <c r="U201" i="9"/>
  <c r="U209" i="9"/>
  <c r="W209" i="9" s="1"/>
  <c r="X209" i="9" s="1"/>
  <c r="U217" i="9"/>
  <c r="W217" i="9" s="1"/>
  <c r="X217" i="9" s="1"/>
  <c r="U225" i="9"/>
  <c r="U233" i="9"/>
  <c r="U148" i="9"/>
  <c r="W148" i="9" s="1"/>
  <c r="X148" i="9" s="1"/>
  <c r="U156" i="9"/>
  <c r="W156" i="9" s="1"/>
  <c r="X156" i="9" s="1"/>
  <c r="AA156" i="9" s="1"/>
  <c r="U164" i="9"/>
  <c r="W164" i="9" s="1"/>
  <c r="X164" i="9" s="1"/>
  <c r="AA164" i="9" s="1"/>
  <c r="U172" i="9"/>
  <c r="U180" i="9"/>
  <c r="W180" i="9" s="1"/>
  <c r="X180" i="9" s="1"/>
  <c r="U188" i="9"/>
  <c r="W188" i="9" s="1"/>
  <c r="X188" i="9" s="1"/>
  <c r="U196" i="9"/>
  <c r="W196" i="9" s="1"/>
  <c r="X196" i="9" s="1"/>
  <c r="U204" i="9"/>
  <c r="U212" i="9"/>
  <c r="W212" i="9" s="1"/>
  <c r="X212" i="9" s="1"/>
  <c r="U220" i="9"/>
  <c r="W220" i="9" s="1"/>
  <c r="X220" i="9" s="1"/>
  <c r="U228" i="9"/>
  <c r="W228" i="9" s="1"/>
  <c r="X228" i="9" s="1"/>
  <c r="U236" i="9"/>
  <c r="U147" i="9"/>
  <c r="W147" i="9" s="1"/>
  <c r="X147" i="9" s="1"/>
  <c r="AA147" i="9" s="1"/>
  <c r="AE147" i="9" s="1"/>
  <c r="AK147" i="9" s="1"/>
  <c r="U155" i="9"/>
  <c r="W155" i="9" s="1"/>
  <c r="X155" i="9" s="1"/>
  <c r="U163" i="9"/>
  <c r="U171" i="9"/>
  <c r="U179" i="9"/>
  <c r="W179" i="9" s="1"/>
  <c r="X179" i="9" s="1"/>
  <c r="AA179" i="9" s="1"/>
  <c r="U187" i="9"/>
  <c r="W187" i="9" s="1"/>
  <c r="X187" i="9" s="1"/>
  <c r="AA187" i="9" s="1"/>
  <c r="U195" i="9"/>
  <c r="W195" i="9" s="1"/>
  <c r="X195" i="9" s="1"/>
  <c r="AA195" i="9" s="1"/>
  <c r="U203" i="9"/>
  <c r="W203" i="9" s="1"/>
  <c r="X203" i="9" s="1"/>
  <c r="AA203" i="9" s="1"/>
  <c r="U211" i="9"/>
  <c r="W211" i="9" s="1"/>
  <c r="X211" i="9" s="1"/>
  <c r="AA211" i="9" s="1"/>
  <c r="U219" i="9"/>
  <c r="W219" i="9" s="1"/>
  <c r="X219" i="9" s="1"/>
  <c r="AA219" i="9" s="1"/>
  <c r="U227" i="9"/>
  <c r="U235" i="9"/>
  <c r="W235" i="9" s="1"/>
  <c r="X235" i="9" s="1"/>
  <c r="AA235" i="9" s="1"/>
  <c r="U145" i="9"/>
  <c r="W145" i="9" s="1"/>
  <c r="X145" i="9" s="1"/>
  <c r="U141" i="9"/>
  <c r="W141" i="9" s="1"/>
  <c r="X141" i="9" s="1"/>
  <c r="U239" i="9"/>
  <c r="W239" i="9" s="1"/>
  <c r="X239" i="9" s="1"/>
  <c r="AA239" i="9" s="1"/>
  <c r="U143" i="9"/>
  <c r="W143" i="9" s="1"/>
  <c r="X143" i="9" s="1"/>
  <c r="U151" i="9"/>
  <c r="W151" i="9" s="1"/>
  <c r="X151" i="9" s="1"/>
  <c r="AA151" i="9" s="1"/>
  <c r="U159" i="9"/>
  <c r="W159" i="9" s="1"/>
  <c r="X159" i="9" s="1"/>
  <c r="AA159" i="9" s="1"/>
  <c r="U167" i="9"/>
  <c r="U175" i="9"/>
  <c r="W175" i="9" s="1"/>
  <c r="X175" i="9" s="1"/>
  <c r="AA175" i="9" s="1"/>
  <c r="U183" i="9"/>
  <c r="W183" i="9" s="1"/>
  <c r="X183" i="9" s="1"/>
  <c r="AA183" i="9" s="1"/>
  <c r="U191" i="9"/>
  <c r="W191" i="9" s="1"/>
  <c r="X191" i="9" s="1"/>
  <c r="AA191" i="9" s="1"/>
  <c r="U199" i="9"/>
  <c r="W199" i="9" s="1"/>
  <c r="X199" i="9" s="1"/>
  <c r="AA199" i="9" s="1"/>
  <c r="U207" i="9"/>
  <c r="U215" i="9"/>
  <c r="W215" i="9" s="1"/>
  <c r="X215" i="9" s="1"/>
  <c r="AA215" i="9" s="1"/>
  <c r="U223" i="9"/>
  <c r="W223" i="9" s="1"/>
  <c r="X223" i="9" s="1"/>
  <c r="AA223" i="9" s="1"/>
  <c r="U231" i="9"/>
  <c r="W231" i="9" s="1"/>
  <c r="X231" i="9" s="1"/>
  <c r="AA231" i="9" s="1"/>
  <c r="U146" i="9"/>
  <c r="W146" i="9" s="1"/>
  <c r="X146" i="9" s="1"/>
  <c r="AA146" i="9" s="1"/>
  <c r="AE146" i="9" s="1"/>
  <c r="AK146" i="9" s="1"/>
  <c r="U154" i="9"/>
  <c r="W154" i="9" s="1"/>
  <c r="X154" i="9" s="1"/>
  <c r="AA154" i="9" s="1"/>
  <c r="U162" i="9"/>
  <c r="W162" i="9" s="1"/>
  <c r="X162" i="9" s="1"/>
  <c r="AA162" i="9" s="1"/>
  <c r="U170" i="9"/>
  <c r="W170" i="9" s="1"/>
  <c r="X170" i="9" s="1"/>
  <c r="AA170" i="9" s="1"/>
  <c r="U178" i="9"/>
  <c r="W178" i="9" s="1"/>
  <c r="X178" i="9" s="1"/>
  <c r="AA178" i="9" s="1"/>
  <c r="U186" i="9"/>
  <c r="W186" i="9" s="1"/>
  <c r="X186" i="9" s="1"/>
  <c r="AA186" i="9" s="1"/>
  <c r="U194" i="9"/>
  <c r="W194" i="9" s="1"/>
  <c r="X194" i="9" s="1"/>
  <c r="AA194" i="9" s="1"/>
  <c r="U202" i="9"/>
  <c r="U210" i="9"/>
  <c r="U218" i="9"/>
  <c r="W218" i="9" s="1"/>
  <c r="X218" i="9" s="1"/>
  <c r="AA218" i="9" s="1"/>
  <c r="U226" i="9"/>
  <c r="W226" i="9" s="1"/>
  <c r="X226" i="9" s="1"/>
  <c r="AA226" i="9" s="1"/>
  <c r="U149" i="9"/>
  <c r="W149" i="9" s="1"/>
  <c r="X149" i="9" s="1"/>
  <c r="U157" i="9"/>
  <c r="W157" i="9" s="1"/>
  <c r="X157" i="9" s="1"/>
  <c r="U165" i="9"/>
  <c r="W165" i="9" s="1"/>
  <c r="X165" i="9" s="1"/>
  <c r="U173" i="9"/>
  <c r="W173" i="9" s="1"/>
  <c r="X173" i="9" s="1"/>
  <c r="U181" i="9"/>
  <c r="W181" i="9" s="1"/>
  <c r="X181" i="9" s="1"/>
  <c r="U189" i="9"/>
  <c r="W189" i="9" s="1"/>
  <c r="X189" i="9" s="1"/>
  <c r="U197" i="9"/>
  <c r="W197" i="9" s="1"/>
  <c r="X197" i="9" s="1"/>
  <c r="U205" i="9"/>
  <c r="W205" i="9" s="1"/>
  <c r="X205" i="9" s="1"/>
  <c r="U213" i="9"/>
  <c r="W213" i="9" s="1"/>
  <c r="X213" i="9" s="1"/>
  <c r="U221" i="9"/>
  <c r="W221" i="9" s="1"/>
  <c r="X221" i="9" s="1"/>
  <c r="U229" i="9"/>
  <c r="W229" i="9" s="1"/>
  <c r="X229" i="9" s="1"/>
  <c r="U237" i="9"/>
  <c r="W237" i="9" s="1"/>
  <c r="X237" i="9" s="1"/>
  <c r="U216" i="9"/>
  <c r="W216" i="9" s="1"/>
  <c r="X216" i="9" s="1"/>
  <c r="U224" i="9"/>
  <c r="U232" i="9"/>
  <c r="W232" i="9" s="1"/>
  <c r="X232" i="9" s="1"/>
  <c r="U240" i="9"/>
  <c r="W240" i="9" s="1"/>
  <c r="X240" i="9" s="1"/>
  <c r="W172" i="9"/>
  <c r="X172" i="9" s="1"/>
  <c r="W204" i="9"/>
  <c r="X204" i="9" s="1"/>
  <c r="W236" i="9"/>
  <c r="X236" i="9" s="1"/>
  <c r="W161" i="9"/>
  <c r="X161" i="9" s="1"/>
  <c r="W169" i="9"/>
  <c r="X169" i="9" s="1"/>
  <c r="W201" i="9"/>
  <c r="X201" i="9" s="1"/>
  <c r="W225" i="9"/>
  <c r="X225" i="9" s="1"/>
  <c r="W167" i="9"/>
  <c r="X167" i="9" s="1"/>
  <c r="AA167" i="9" s="1"/>
  <c r="W207" i="9"/>
  <c r="X207" i="9" s="1"/>
  <c r="AA207" i="9" s="1"/>
  <c r="W163" i="9"/>
  <c r="X163" i="9" s="1"/>
  <c r="W171" i="9"/>
  <c r="X171" i="9" s="1"/>
  <c r="AA171" i="9" s="1"/>
  <c r="W227" i="9"/>
  <c r="X227" i="9" s="1"/>
  <c r="AA227" i="9" s="1"/>
  <c r="W233" i="9"/>
  <c r="X233" i="9" s="1"/>
  <c r="U57" i="9"/>
  <c r="U65" i="9"/>
  <c r="U73" i="9"/>
  <c r="U81" i="9"/>
  <c r="U89" i="9"/>
  <c r="U97" i="9"/>
  <c r="U105" i="9"/>
  <c r="U113" i="9"/>
  <c r="U121" i="9"/>
  <c r="U129" i="9"/>
  <c r="W202" i="9"/>
  <c r="X202" i="9" s="1"/>
  <c r="AA202" i="9" s="1"/>
  <c r="W210" i="9"/>
  <c r="X210" i="9" s="1"/>
  <c r="AA210" i="9" s="1"/>
  <c r="W234" i="9"/>
  <c r="X234" i="9" s="1"/>
  <c r="AA234" i="9" s="1"/>
  <c r="U55" i="9"/>
  <c r="U63" i="9"/>
  <c r="U71" i="9"/>
  <c r="U79" i="9"/>
  <c r="U87" i="9"/>
  <c r="U95" i="9"/>
  <c r="U103" i="9"/>
  <c r="U111" i="9"/>
  <c r="U119" i="9"/>
  <c r="U127" i="9"/>
  <c r="W144" i="9"/>
  <c r="X144" i="9" s="1"/>
  <c r="W152" i="9"/>
  <c r="X152" i="9" s="1"/>
  <c r="W176" i="9"/>
  <c r="X176" i="9" s="1"/>
  <c r="W200" i="9"/>
  <c r="X200" i="9" s="1"/>
  <c r="W208" i="9"/>
  <c r="X208" i="9" s="1"/>
  <c r="W224" i="9"/>
  <c r="X224" i="9" s="1"/>
  <c r="U53" i="9"/>
  <c r="U61" i="9"/>
  <c r="U69" i="9"/>
  <c r="U77" i="9"/>
  <c r="U85" i="9"/>
  <c r="U93" i="9"/>
  <c r="U101" i="9"/>
  <c r="U109" i="9"/>
  <c r="U117" i="9"/>
  <c r="U125" i="9"/>
  <c r="U133" i="9"/>
  <c r="W142" i="9"/>
  <c r="X142" i="9" s="1"/>
  <c r="W150" i="9"/>
  <c r="X150" i="9" s="1"/>
  <c r="W158" i="9"/>
  <c r="X158" i="9" s="1"/>
  <c r="W166" i="9"/>
  <c r="X166" i="9" s="1"/>
  <c r="W174" i="9"/>
  <c r="X174" i="9" s="1"/>
  <c r="W182" i="9"/>
  <c r="X182" i="9" s="1"/>
  <c r="W190" i="9"/>
  <c r="X190" i="9" s="1"/>
  <c r="W198" i="9"/>
  <c r="X198" i="9" s="1"/>
  <c r="W214" i="9"/>
  <c r="X214" i="9" s="1"/>
  <c r="W222" i="9"/>
  <c r="X222" i="9" s="1"/>
  <c r="AA222" i="9" s="1"/>
  <c r="U51" i="9"/>
  <c r="U59" i="9"/>
  <c r="U67" i="9"/>
  <c r="U75" i="9"/>
  <c r="U83" i="9"/>
  <c r="U91" i="9"/>
  <c r="U99" i="9"/>
  <c r="U107" i="9"/>
  <c r="U115" i="9"/>
  <c r="U123" i="9"/>
  <c r="U131" i="9"/>
  <c r="N41" i="10"/>
  <c r="N43" i="10"/>
  <c r="G42" i="12" s="1"/>
  <c r="N45" i="10"/>
  <c r="N161" i="10"/>
  <c r="G155" i="12" s="1"/>
  <c r="N165" i="10"/>
  <c r="N169" i="10"/>
  <c r="N201" i="10"/>
  <c r="N205" i="10"/>
  <c r="G199" i="12" s="1"/>
  <c r="N209" i="10"/>
  <c r="N241" i="10"/>
  <c r="N245" i="10"/>
  <c r="G239" i="12" s="1"/>
  <c r="N249" i="10"/>
  <c r="G243" i="12" s="1"/>
  <c r="S61" i="10"/>
  <c r="S117" i="10"/>
  <c r="N156" i="10"/>
  <c r="S197" i="10"/>
  <c r="S182" i="10"/>
  <c r="S212" i="10"/>
  <c r="N32" i="10"/>
  <c r="N69" i="10"/>
  <c r="G68" i="12" s="1"/>
  <c r="N73" i="10"/>
  <c r="N104" i="10"/>
  <c r="S145" i="10"/>
  <c r="N168" i="10"/>
  <c r="S162" i="10"/>
  <c r="N112" i="10"/>
  <c r="G111" i="12" s="1"/>
  <c r="N93" i="10"/>
  <c r="G92" i="12" s="1"/>
  <c r="N172" i="10"/>
  <c r="G166" i="12" s="1"/>
  <c r="N208" i="10"/>
  <c r="G202" i="12" s="1"/>
  <c r="N212" i="10"/>
  <c r="G206" i="12" s="1"/>
  <c r="N248" i="10"/>
  <c r="G242" i="12" s="1"/>
  <c r="W5" i="10"/>
  <c r="W6" i="10" s="1"/>
  <c r="N117" i="10"/>
  <c r="S237" i="10"/>
  <c r="N60" i="10"/>
  <c r="G59" i="12" s="1"/>
  <c r="N159" i="10"/>
  <c r="G153" i="12" s="1"/>
  <c r="N163" i="10"/>
  <c r="G157" i="12" s="1"/>
  <c r="N167" i="10"/>
  <c r="G161" i="12" s="1"/>
  <c r="N171" i="10"/>
  <c r="G165" i="12" s="1"/>
  <c r="N175" i="10"/>
  <c r="G169" i="12" s="1"/>
  <c r="N180" i="10"/>
  <c r="G174" i="12" s="1"/>
  <c r="N183" i="10"/>
  <c r="G177" i="12" s="1"/>
  <c r="N187" i="10"/>
  <c r="G181" i="12" s="1"/>
  <c r="N191" i="10"/>
  <c r="G185" i="12" s="1"/>
  <c r="N195" i="10"/>
  <c r="G189" i="12" s="1"/>
  <c r="N199" i="10"/>
  <c r="G193" i="12" s="1"/>
  <c r="N203" i="10"/>
  <c r="G197" i="12" s="1"/>
  <c r="N207" i="10"/>
  <c r="G201" i="12" s="1"/>
  <c r="N211" i="10"/>
  <c r="G205" i="12" s="1"/>
  <c r="N215" i="10"/>
  <c r="G209" i="12" s="1"/>
  <c r="N220" i="10"/>
  <c r="G214" i="12" s="1"/>
  <c r="N223" i="10"/>
  <c r="G217" i="12" s="1"/>
  <c r="N227" i="10"/>
  <c r="G221" i="12" s="1"/>
  <c r="N231" i="10"/>
  <c r="G225" i="12" s="1"/>
  <c r="N235" i="10"/>
  <c r="G229" i="12" s="1"/>
  <c r="N239" i="10"/>
  <c r="G233" i="12" s="1"/>
  <c r="N243" i="10"/>
  <c r="G237" i="12" s="1"/>
  <c r="N247" i="10"/>
  <c r="G241" i="12" s="1"/>
  <c r="N251" i="10"/>
  <c r="G245" i="12" s="1"/>
  <c r="S167" i="10"/>
  <c r="S187" i="10"/>
  <c r="S202" i="10"/>
  <c r="N160" i="10"/>
  <c r="G154" i="12" s="1"/>
  <c r="N192" i="10"/>
  <c r="G186" i="12" s="1"/>
  <c r="N200" i="10"/>
  <c r="G194" i="12" s="1"/>
  <c r="N224" i="10"/>
  <c r="G218" i="12" s="1"/>
  <c r="N232" i="10"/>
  <c r="G226" i="12" s="1"/>
  <c r="N244" i="10"/>
  <c r="G238" i="12" s="1"/>
  <c r="N70" i="10"/>
  <c r="S131" i="10"/>
  <c r="N145" i="10"/>
  <c r="S172" i="10"/>
  <c r="S217" i="10"/>
  <c r="S232" i="10"/>
  <c r="S247" i="10"/>
  <c r="N184" i="10"/>
  <c r="G178" i="12" s="1"/>
  <c r="N204" i="10"/>
  <c r="G198" i="12" s="1"/>
  <c r="N236" i="10"/>
  <c r="G230" i="12" s="1"/>
  <c r="N120" i="10"/>
  <c r="N157" i="10"/>
  <c r="G151" i="12" s="1"/>
  <c r="N173" i="10"/>
  <c r="G167" i="12" s="1"/>
  <c r="N177" i="10"/>
  <c r="G171" i="12" s="1"/>
  <c r="N181" i="10"/>
  <c r="G175" i="12" s="1"/>
  <c r="N185" i="10"/>
  <c r="G179" i="12" s="1"/>
  <c r="N189" i="10"/>
  <c r="G183" i="12" s="1"/>
  <c r="N193" i="10"/>
  <c r="G187" i="12" s="1"/>
  <c r="N197" i="10"/>
  <c r="G191" i="12" s="1"/>
  <c r="N213" i="10"/>
  <c r="G207" i="12" s="1"/>
  <c r="N217" i="10"/>
  <c r="G211" i="12" s="1"/>
  <c r="N221" i="10"/>
  <c r="G215" i="12" s="1"/>
  <c r="N225" i="10"/>
  <c r="G219" i="12" s="1"/>
  <c r="N229" i="10"/>
  <c r="G223" i="12" s="1"/>
  <c r="N233" i="10"/>
  <c r="G227" i="12" s="1"/>
  <c r="N237" i="10"/>
  <c r="G231" i="12" s="1"/>
  <c r="S157" i="10"/>
  <c r="S222" i="10"/>
  <c r="N188" i="10"/>
  <c r="G182" i="12" s="1"/>
  <c r="N196" i="10"/>
  <c r="G190" i="12" s="1"/>
  <c r="N228" i="10"/>
  <c r="G222" i="12" s="1"/>
  <c r="N240" i="10"/>
  <c r="G234" i="12" s="1"/>
  <c r="N35" i="10"/>
  <c r="G34" i="12" s="1"/>
  <c r="N36" i="10"/>
  <c r="N38" i="10"/>
  <c r="N102" i="10"/>
  <c r="N103" i="10"/>
  <c r="N128" i="10"/>
  <c r="G127" i="12" s="1"/>
  <c r="N136" i="10"/>
  <c r="S177" i="10"/>
  <c r="S227" i="10"/>
  <c r="S242" i="10"/>
  <c r="N164" i="10"/>
  <c r="G158" i="12" s="1"/>
  <c r="S75" i="10"/>
  <c r="N158" i="10"/>
  <c r="G152" i="12" s="1"/>
  <c r="N162" i="10"/>
  <c r="G156" i="12" s="1"/>
  <c r="N166" i="10"/>
  <c r="G160" i="12" s="1"/>
  <c r="N170" i="10"/>
  <c r="G164" i="12" s="1"/>
  <c r="N174" i="10"/>
  <c r="G168" i="12" s="1"/>
  <c r="N178" i="10"/>
  <c r="G172" i="12" s="1"/>
  <c r="N182" i="10"/>
  <c r="G176" i="12" s="1"/>
  <c r="N186" i="10"/>
  <c r="G180" i="12" s="1"/>
  <c r="N190" i="10"/>
  <c r="G184" i="12" s="1"/>
  <c r="N194" i="10"/>
  <c r="G188" i="12" s="1"/>
  <c r="N198" i="10"/>
  <c r="G192" i="12" s="1"/>
  <c r="N202" i="10"/>
  <c r="G196" i="12" s="1"/>
  <c r="N206" i="10"/>
  <c r="G200" i="12" s="1"/>
  <c r="N210" i="10"/>
  <c r="G204" i="12" s="1"/>
  <c r="N214" i="10"/>
  <c r="G208" i="12" s="1"/>
  <c r="N218" i="10"/>
  <c r="G212" i="12" s="1"/>
  <c r="N222" i="10"/>
  <c r="G216" i="12" s="1"/>
  <c r="N226" i="10"/>
  <c r="G220" i="12" s="1"/>
  <c r="N230" i="10"/>
  <c r="G224" i="12" s="1"/>
  <c r="N234" i="10"/>
  <c r="G228" i="12" s="1"/>
  <c r="N238" i="10"/>
  <c r="G232" i="12" s="1"/>
  <c r="N242" i="10"/>
  <c r="G236" i="12" s="1"/>
  <c r="N246" i="10"/>
  <c r="G240" i="12" s="1"/>
  <c r="N250" i="10"/>
  <c r="G244" i="12" s="1"/>
  <c r="S192" i="10"/>
  <c r="S207" i="10"/>
  <c r="N219" i="10"/>
  <c r="G213" i="12" s="1"/>
  <c r="S47" i="10"/>
  <c r="N54" i="10"/>
  <c r="G53" i="12" s="1"/>
  <c r="N59" i="10"/>
  <c r="N66" i="10"/>
  <c r="N83" i="10"/>
  <c r="S89" i="10"/>
  <c r="N97" i="10"/>
  <c r="N113" i="10"/>
  <c r="G112" i="12" s="1"/>
  <c r="N124" i="10"/>
  <c r="N131" i="10"/>
  <c r="G130" i="12" s="1"/>
  <c r="N146" i="10"/>
  <c r="N176" i="10"/>
  <c r="G170" i="12" s="1"/>
  <c r="T205" i="10"/>
  <c r="V205" i="10" s="1"/>
  <c r="AF205" i="10" s="1"/>
  <c r="N216" i="10"/>
  <c r="G210" i="12" s="1"/>
  <c r="T245" i="10"/>
  <c r="V245" i="10" s="1"/>
  <c r="AF245" i="10" s="1"/>
  <c r="N107" i="10"/>
  <c r="AF252" i="10"/>
  <c r="N68" i="10"/>
  <c r="N94" i="10"/>
  <c r="S124" i="10"/>
  <c r="N132" i="10"/>
  <c r="N33" i="10"/>
  <c r="G32" i="12" s="1"/>
  <c r="N52" i="10"/>
  <c r="S68" i="10"/>
  <c r="N81" i="10"/>
  <c r="N100" i="10"/>
  <c r="S103" i="10"/>
  <c r="N110" i="10"/>
  <c r="N121" i="10"/>
  <c r="N138" i="10"/>
  <c r="G137" i="12" s="1"/>
  <c r="N142" i="10"/>
  <c r="AF253" i="10"/>
  <c r="N179" i="10"/>
  <c r="G173" i="12" s="1"/>
  <c r="N40" i="10"/>
  <c r="N61" i="10"/>
  <c r="N65" i="10"/>
  <c r="G64" i="12" s="1"/>
  <c r="N72" i="10"/>
  <c r="N85" i="10"/>
  <c r="N99" i="10"/>
  <c r="N101" i="10"/>
  <c r="N123" i="10"/>
  <c r="N125" i="10"/>
  <c r="N127" i="10"/>
  <c r="N141" i="10"/>
  <c r="S33" i="10"/>
  <c r="N37" i="10"/>
  <c r="G36" i="12" s="1"/>
  <c r="S40" i="10"/>
  <c r="N42" i="10"/>
  <c r="N64" i="10"/>
  <c r="G63" i="12" s="1"/>
  <c r="N84" i="10"/>
  <c r="N91" i="10"/>
  <c r="N105" i="10"/>
  <c r="G104" i="12" s="1"/>
  <c r="N115" i="10"/>
  <c r="S138" i="10"/>
  <c r="AF254" i="10"/>
  <c r="N48" i="10"/>
  <c r="N50" i="10"/>
  <c r="N53" i="10"/>
  <c r="N77" i="10"/>
  <c r="N80" i="10"/>
  <c r="N89" i="10"/>
  <c r="N95" i="10"/>
  <c r="G94" i="12" s="1"/>
  <c r="N106" i="10"/>
  <c r="N118" i="10"/>
  <c r="N137" i="10"/>
  <c r="V51" i="9"/>
  <c r="V53" i="9"/>
  <c r="V55" i="9"/>
  <c r="V57" i="9"/>
  <c r="V59" i="9"/>
  <c r="V61" i="9"/>
  <c r="V63" i="9"/>
  <c r="V65" i="9"/>
  <c r="V67" i="9"/>
  <c r="V69" i="9"/>
  <c r="V71" i="9"/>
  <c r="V73" i="9"/>
  <c r="V75" i="9"/>
  <c r="V77" i="9"/>
  <c r="V79" i="9"/>
  <c r="V81" i="9"/>
  <c r="V83" i="9"/>
  <c r="V85" i="9"/>
  <c r="V87" i="9"/>
  <c r="V89" i="9"/>
  <c r="V91" i="9"/>
  <c r="V93" i="9"/>
  <c r="V95" i="9"/>
  <c r="V97" i="9"/>
  <c r="V99" i="9"/>
  <c r="V101" i="9"/>
  <c r="V103" i="9"/>
  <c r="V105" i="9"/>
  <c r="V107" i="9"/>
  <c r="V109" i="9"/>
  <c r="V111" i="9"/>
  <c r="V113" i="9"/>
  <c r="V115" i="9"/>
  <c r="V117" i="9"/>
  <c r="V119" i="9"/>
  <c r="V121" i="9"/>
  <c r="V123" i="9"/>
  <c r="V125" i="9"/>
  <c r="V127" i="9"/>
  <c r="V129" i="9"/>
  <c r="V131" i="9"/>
  <c r="V133" i="9"/>
  <c r="V52" i="9"/>
  <c r="V54" i="9"/>
  <c r="V56" i="9"/>
  <c r="V58" i="9"/>
  <c r="V60" i="9"/>
  <c r="V62" i="9"/>
  <c r="V64" i="9"/>
  <c r="V66" i="9"/>
  <c r="V68" i="9"/>
  <c r="V70" i="9"/>
  <c r="V72" i="9"/>
  <c r="V74" i="9"/>
  <c r="V76" i="9"/>
  <c r="V78" i="9"/>
  <c r="V80" i="9"/>
  <c r="V82" i="9"/>
  <c r="V84" i="9"/>
  <c r="V86" i="9"/>
  <c r="V88" i="9"/>
  <c r="V90" i="9"/>
  <c r="V92" i="9"/>
  <c r="V94" i="9"/>
  <c r="V96" i="9"/>
  <c r="V98" i="9"/>
  <c r="V100" i="9"/>
  <c r="V102" i="9"/>
  <c r="V104" i="9"/>
  <c r="V106" i="9"/>
  <c r="V108" i="9"/>
  <c r="V110" i="9"/>
  <c r="V112" i="9"/>
  <c r="V114" i="9"/>
  <c r="V116" i="9"/>
  <c r="V118" i="9"/>
  <c r="V120" i="9"/>
  <c r="V122" i="9"/>
  <c r="V124" i="9"/>
  <c r="V126" i="9"/>
  <c r="V128" i="9"/>
  <c r="V130" i="9"/>
  <c r="V132" i="9"/>
  <c r="V134" i="9"/>
  <c r="U52" i="9"/>
  <c r="U54" i="9"/>
  <c r="U56" i="9"/>
  <c r="U58" i="9"/>
  <c r="U60" i="9"/>
  <c r="U62" i="9"/>
  <c r="U64" i="9"/>
  <c r="U66" i="9"/>
  <c r="U68" i="9"/>
  <c r="U70" i="9"/>
  <c r="U72" i="9"/>
  <c r="U74" i="9"/>
  <c r="U76" i="9"/>
  <c r="U78" i="9"/>
  <c r="U80" i="9"/>
  <c r="U82" i="9"/>
  <c r="U84" i="9"/>
  <c r="U86" i="9"/>
  <c r="U88" i="9"/>
  <c r="U90" i="9"/>
  <c r="U92" i="9"/>
  <c r="U94" i="9"/>
  <c r="U96" i="9"/>
  <c r="U98" i="9"/>
  <c r="U100" i="9"/>
  <c r="U102" i="9"/>
  <c r="U104" i="9"/>
  <c r="U106" i="9"/>
  <c r="U108" i="9"/>
  <c r="U110" i="9"/>
  <c r="U112" i="9"/>
  <c r="U114" i="9"/>
  <c r="U116" i="9"/>
  <c r="U118" i="9"/>
  <c r="U120" i="9"/>
  <c r="U122" i="9"/>
  <c r="U124" i="9"/>
  <c r="U126" i="9"/>
  <c r="U128" i="9"/>
  <c r="U130" i="9"/>
  <c r="U132" i="9"/>
  <c r="U134" i="9"/>
  <c r="Q39" i="9"/>
  <c r="V34" i="9"/>
  <c r="V42" i="9"/>
  <c r="V50" i="9"/>
  <c r="U32" i="9"/>
  <c r="W32" i="9" s="1"/>
  <c r="X32" i="9" s="1"/>
  <c r="AA32" i="9" s="1"/>
  <c r="AE32" i="9" s="1"/>
  <c r="AK32" i="9" s="1"/>
  <c r="V33" i="9"/>
  <c r="U34" i="9"/>
  <c r="U36" i="9"/>
  <c r="U38" i="9"/>
  <c r="U40" i="9"/>
  <c r="U42" i="9"/>
  <c r="U44" i="9"/>
  <c r="U46" i="9"/>
  <c r="U48" i="9"/>
  <c r="U50" i="9"/>
  <c r="V38" i="9"/>
  <c r="V48" i="9"/>
  <c r="V35" i="9"/>
  <c r="V37" i="9"/>
  <c r="V39" i="9"/>
  <c r="V41" i="9"/>
  <c r="V43" i="9"/>
  <c r="V45" i="9"/>
  <c r="V47" i="9"/>
  <c r="V49" i="9"/>
  <c r="V36" i="9"/>
  <c r="V44" i="9"/>
  <c r="V40" i="9"/>
  <c r="V46" i="9"/>
  <c r="U33" i="9"/>
  <c r="U35" i="9"/>
  <c r="U37" i="9"/>
  <c r="U39" i="9"/>
  <c r="U41" i="9"/>
  <c r="U43" i="9"/>
  <c r="U45" i="9"/>
  <c r="U47" i="9"/>
  <c r="U49" i="9"/>
  <c r="Q201" i="9"/>
  <c r="N189" i="9"/>
  <c r="N203" i="9"/>
  <c r="N219" i="9"/>
  <c r="N224" i="9"/>
  <c r="N33" i="9"/>
  <c r="N41" i="9"/>
  <c r="N45" i="9"/>
  <c r="N59" i="9"/>
  <c r="N85" i="9"/>
  <c r="N120" i="9"/>
  <c r="N121" i="9"/>
  <c r="Q171" i="9"/>
  <c r="Q181" i="9"/>
  <c r="Q161" i="9"/>
  <c r="Q186" i="9"/>
  <c r="Q236" i="9"/>
  <c r="Q131" i="9"/>
  <c r="N163" i="9"/>
  <c r="N237" i="9"/>
  <c r="N98" i="9"/>
  <c r="N128" i="9"/>
  <c r="Q49" i="9"/>
  <c r="Q56" i="9"/>
  <c r="Q86" i="9"/>
  <c r="N162" i="9"/>
  <c r="N238" i="9"/>
  <c r="N240" i="9"/>
  <c r="N63" i="9"/>
  <c r="N69" i="9"/>
  <c r="N81" i="9"/>
  <c r="Q116" i="9"/>
  <c r="N124" i="9"/>
  <c r="N126" i="9"/>
  <c r="N145" i="9"/>
  <c r="N34" i="9"/>
  <c r="N36" i="9"/>
  <c r="N87" i="9"/>
  <c r="N91" i="9"/>
  <c r="N95" i="9"/>
  <c r="N97" i="9"/>
  <c r="Q81" i="9"/>
  <c r="N99" i="9"/>
  <c r="N171" i="9"/>
  <c r="N185" i="9"/>
  <c r="N193" i="9"/>
  <c r="N195" i="9"/>
  <c r="N197" i="9"/>
  <c r="N207" i="9"/>
  <c r="N217" i="9"/>
  <c r="N227" i="9"/>
  <c r="N42" i="9"/>
  <c r="N118" i="9"/>
  <c r="N134" i="9"/>
  <c r="N176" i="9"/>
  <c r="N187" i="9"/>
  <c r="N225" i="9"/>
  <c r="Q34" i="9"/>
  <c r="N46" i="9"/>
  <c r="N50" i="9"/>
  <c r="N52" i="9"/>
  <c r="N60" i="9"/>
  <c r="N70" i="9"/>
  <c r="N80" i="9"/>
  <c r="Q111" i="9"/>
  <c r="N158" i="9"/>
  <c r="Q71" i="9"/>
  <c r="N108" i="9"/>
  <c r="N127" i="9"/>
  <c r="N132" i="9"/>
  <c r="Q156" i="9"/>
  <c r="N164" i="9"/>
  <c r="N166" i="9"/>
  <c r="N168" i="9"/>
  <c r="N178" i="9"/>
  <c r="N192" i="9"/>
  <c r="T32" i="9"/>
  <c r="AF32" i="9" s="1"/>
  <c r="AJ32" i="9" s="1"/>
  <c r="N44" i="9"/>
  <c r="Q96" i="9"/>
  <c r="N177" i="9"/>
  <c r="N47" i="9"/>
  <c r="N57" i="9"/>
  <c r="N58" i="9"/>
  <c r="N73" i="9"/>
  <c r="N75" i="9"/>
  <c r="N84" i="9"/>
  <c r="N119" i="9"/>
  <c r="N131" i="9"/>
  <c r="N146" i="9"/>
  <c r="Q206" i="9"/>
  <c r="N208" i="9"/>
  <c r="N212" i="9"/>
  <c r="N103" i="9"/>
  <c r="N105" i="9"/>
  <c r="N110" i="9"/>
  <c r="N150" i="9"/>
  <c r="Q166" i="9"/>
  <c r="N174" i="9"/>
  <c r="Q76" i="9"/>
  <c r="N89" i="9"/>
  <c r="N77" i="9"/>
  <c r="N79" i="9"/>
  <c r="Q91" i="9"/>
  <c r="N35" i="9"/>
  <c r="N38" i="9"/>
  <c r="N56" i="9"/>
  <c r="G55" i="11" s="1"/>
  <c r="Q126" i="9"/>
  <c r="N133" i="9"/>
  <c r="Q146" i="9"/>
  <c r="N153" i="9"/>
  <c r="N172" i="9"/>
  <c r="N226" i="9"/>
  <c r="N239" i="9"/>
  <c r="N92" i="9"/>
  <c r="N109" i="9"/>
  <c r="N112" i="9"/>
  <c r="N114" i="9"/>
  <c r="N154" i="9"/>
  <c r="N180" i="9"/>
  <c r="N194" i="9"/>
  <c r="N198" i="9"/>
  <c r="N216" i="9"/>
  <c r="N230" i="9"/>
  <c r="N66" i="9"/>
  <c r="N37" i="9"/>
  <c r="Q44" i="9"/>
  <c r="N49" i="9"/>
  <c r="N55" i="9"/>
  <c r="Q61" i="9"/>
  <c r="N147" i="9"/>
  <c r="N152" i="9"/>
  <c r="N186" i="9"/>
  <c r="N200" i="9"/>
  <c r="N220" i="9"/>
  <c r="N40" i="9"/>
  <c r="N53" i="9"/>
  <c r="N94" i="9"/>
  <c r="Q101" i="9"/>
  <c r="N86" i="9"/>
  <c r="Q211" i="9"/>
  <c r="N221" i="9"/>
  <c r="N34" i="10"/>
  <c r="G33" i="12" s="1"/>
  <c r="N47" i="10"/>
  <c r="G46" i="12" s="1"/>
  <c r="O31" i="10"/>
  <c r="Q31" i="10" s="1"/>
  <c r="T60" i="10"/>
  <c r="T65" i="10"/>
  <c r="BF156" i="10"/>
  <c r="AF156" i="10"/>
  <c r="J7" i="10"/>
  <c r="J8" i="10"/>
  <c r="J5" i="10"/>
  <c r="BH156" i="10" s="1"/>
  <c r="D9" i="10"/>
  <c r="J3" i="10"/>
  <c r="Y11" i="10"/>
  <c r="Y3" i="10" s="1"/>
  <c r="AV31" i="10"/>
  <c r="BF31" i="10" s="1"/>
  <c r="D11" i="10"/>
  <c r="N58" i="10"/>
  <c r="G57" i="12" s="1"/>
  <c r="N57" i="10"/>
  <c r="G56" i="12" s="1"/>
  <c r="N46" i="10"/>
  <c r="G45" i="12" s="1"/>
  <c r="N51" i="10"/>
  <c r="G50" i="12" s="1"/>
  <c r="N55" i="10"/>
  <c r="G54" i="12" s="1"/>
  <c r="N56" i="10"/>
  <c r="G55" i="12" s="1"/>
  <c r="N63" i="10"/>
  <c r="G62" i="12" s="1"/>
  <c r="N62" i="10"/>
  <c r="G61" i="12" s="1"/>
  <c r="V31" i="10"/>
  <c r="AF31" i="10" s="1"/>
  <c r="N79" i="10"/>
  <c r="G78" i="12" s="1"/>
  <c r="N78" i="10"/>
  <c r="G77" i="12" s="1"/>
  <c r="N87" i="10"/>
  <c r="G86" i="12" s="1"/>
  <c r="N88" i="10"/>
  <c r="G87" i="12" s="1"/>
  <c r="N39" i="10"/>
  <c r="G38" i="12" s="1"/>
  <c r="N44" i="10"/>
  <c r="G43" i="12" s="1"/>
  <c r="N49" i="10"/>
  <c r="G48" i="12" s="1"/>
  <c r="N67" i="10"/>
  <c r="G66" i="12" s="1"/>
  <c r="N71" i="10"/>
  <c r="G70" i="12" s="1"/>
  <c r="N74" i="10"/>
  <c r="G73" i="12" s="1"/>
  <c r="N76" i="10"/>
  <c r="G75" i="12" s="1"/>
  <c r="N75" i="10"/>
  <c r="G74" i="12" s="1"/>
  <c r="N92" i="10"/>
  <c r="G91" i="12" s="1"/>
  <c r="N98" i="10"/>
  <c r="G97" i="12" s="1"/>
  <c r="T128" i="10"/>
  <c r="N82" i="10"/>
  <c r="G81" i="12" s="1"/>
  <c r="N96" i="10"/>
  <c r="G95" i="12" s="1"/>
  <c r="S82" i="10"/>
  <c r="N86" i="10"/>
  <c r="G85" i="12" s="1"/>
  <c r="N90" i="10"/>
  <c r="G89" i="12" s="1"/>
  <c r="S96" i="10"/>
  <c r="N109" i="10"/>
  <c r="G108" i="12" s="1"/>
  <c r="N108" i="10"/>
  <c r="G107" i="12" s="1"/>
  <c r="S110" i="10"/>
  <c r="T112" i="10"/>
  <c r="N144" i="10"/>
  <c r="G143" i="12" s="1"/>
  <c r="N143" i="10"/>
  <c r="G142" i="12" s="1"/>
  <c r="N129" i="10"/>
  <c r="G128" i="12" s="1"/>
  <c r="N116" i="10"/>
  <c r="G115" i="12" s="1"/>
  <c r="N126" i="10"/>
  <c r="G125" i="12" s="1"/>
  <c r="N111" i="10"/>
  <c r="G110" i="12" s="1"/>
  <c r="N119" i="10"/>
  <c r="G118" i="12" s="1"/>
  <c r="N122" i="10"/>
  <c r="G121" i="12" s="1"/>
  <c r="N114" i="10"/>
  <c r="G113" i="12" s="1"/>
  <c r="N139" i="10"/>
  <c r="G138" i="12" s="1"/>
  <c r="N140" i="10"/>
  <c r="G139" i="12" s="1"/>
  <c r="N134" i="10"/>
  <c r="G133" i="12" s="1"/>
  <c r="N135" i="10"/>
  <c r="G134" i="12" s="1"/>
  <c r="N130" i="10"/>
  <c r="G129" i="12" s="1"/>
  <c r="N133" i="10"/>
  <c r="G132" i="12" s="1"/>
  <c r="N149" i="10"/>
  <c r="N147" i="10"/>
  <c r="N148" i="10"/>
  <c r="N150" i="10"/>
  <c r="N39" i="9"/>
  <c r="G38" i="11" s="1"/>
  <c r="W5" i="9"/>
  <c r="W6" i="9" s="1"/>
  <c r="AV31" i="9"/>
  <c r="BF31" i="9" s="1"/>
  <c r="N43" i="9"/>
  <c r="G42" i="11" s="1"/>
  <c r="N48" i="9"/>
  <c r="G47" i="11" s="1"/>
  <c r="J3" i="9"/>
  <c r="AF31" i="9"/>
  <c r="AV140" i="9"/>
  <c r="BF140" i="9" s="1"/>
  <c r="J5" i="9"/>
  <c r="Y11" i="9"/>
  <c r="Y3" i="9" s="1"/>
  <c r="J8" i="9"/>
  <c r="N62" i="9"/>
  <c r="G61" i="11" s="1"/>
  <c r="N61" i="9"/>
  <c r="G60" i="11" s="1"/>
  <c r="N78" i="9"/>
  <c r="G77" i="11" s="1"/>
  <c r="N83" i="9"/>
  <c r="G82" i="11" s="1"/>
  <c r="N82" i="9"/>
  <c r="G81" i="11" s="1"/>
  <c r="N101" i="9"/>
  <c r="G100" i="11" s="1"/>
  <c r="N102" i="9"/>
  <c r="G101" i="11" s="1"/>
  <c r="N51" i="9"/>
  <c r="G50" i="11" s="1"/>
  <c r="N67" i="9"/>
  <c r="G66" i="11" s="1"/>
  <c r="Q66" i="9"/>
  <c r="N54" i="9"/>
  <c r="G53" i="11" s="1"/>
  <c r="N64" i="9"/>
  <c r="G63" i="11" s="1"/>
  <c r="N71" i="9"/>
  <c r="G70" i="11" s="1"/>
  <c r="N72" i="9"/>
  <c r="G71" i="11" s="1"/>
  <c r="N88" i="9"/>
  <c r="G87" i="11" s="1"/>
  <c r="N65" i="9"/>
  <c r="G64" i="11" s="1"/>
  <c r="N76" i="9"/>
  <c r="G75" i="11" s="1"/>
  <c r="N90" i="9"/>
  <c r="G89" i="11" s="1"/>
  <c r="N100" i="9"/>
  <c r="G99" i="11" s="1"/>
  <c r="N68" i="9"/>
  <c r="G67" i="11" s="1"/>
  <c r="N74" i="9"/>
  <c r="G73" i="11" s="1"/>
  <c r="N93" i="9"/>
  <c r="G92" i="11" s="1"/>
  <c r="N96" i="9"/>
  <c r="G95" i="11" s="1"/>
  <c r="N113" i="9"/>
  <c r="G112" i="11" s="1"/>
  <c r="N115" i="9"/>
  <c r="G114" i="11" s="1"/>
  <c r="N104" i="9"/>
  <c r="G103" i="11" s="1"/>
  <c r="N106" i="9"/>
  <c r="G105" i="11" s="1"/>
  <c r="N107" i="9"/>
  <c r="G106" i="11" s="1"/>
  <c r="N111" i="9"/>
  <c r="G110" i="11" s="1"/>
  <c r="Q106" i="9"/>
  <c r="N142" i="9"/>
  <c r="G136" i="11" s="1"/>
  <c r="N141" i="9"/>
  <c r="N130" i="9"/>
  <c r="N129" i="9"/>
  <c r="T128" i="11" s="1"/>
  <c r="N123" i="9"/>
  <c r="G122" i="11" s="1"/>
  <c r="N122" i="9"/>
  <c r="G121" i="11" s="1"/>
  <c r="N149" i="9"/>
  <c r="G143" i="11" s="1"/>
  <c r="N148" i="9"/>
  <c r="G142" i="11" s="1"/>
  <c r="N116" i="9"/>
  <c r="G115" i="11" s="1"/>
  <c r="N117" i="9"/>
  <c r="G116" i="11" s="1"/>
  <c r="N125" i="9"/>
  <c r="G124" i="11" s="1"/>
  <c r="N155" i="9"/>
  <c r="G149" i="11" s="1"/>
  <c r="N156" i="9"/>
  <c r="G150" i="11" s="1"/>
  <c r="Q121" i="9"/>
  <c r="N151" i="9"/>
  <c r="G145" i="11" s="1"/>
  <c r="N175" i="9"/>
  <c r="G169" i="11" s="1"/>
  <c r="N160" i="9"/>
  <c r="G154" i="11" s="1"/>
  <c r="N159" i="9"/>
  <c r="G153" i="11" s="1"/>
  <c r="N144" i="9"/>
  <c r="G138" i="11" s="1"/>
  <c r="N157" i="9"/>
  <c r="G151" i="11" s="1"/>
  <c r="N167" i="9"/>
  <c r="G161" i="11" s="1"/>
  <c r="N143" i="9"/>
  <c r="G137" i="11" s="1"/>
  <c r="N161" i="9"/>
  <c r="G155" i="11" s="1"/>
  <c r="N173" i="9"/>
  <c r="G167" i="11" s="1"/>
  <c r="Q151" i="9"/>
  <c r="AF140" i="9"/>
  <c r="N181" i="9"/>
  <c r="G175" i="11" s="1"/>
  <c r="N182" i="9"/>
  <c r="G176" i="11" s="1"/>
  <c r="N183" i="9"/>
  <c r="G177" i="11" s="1"/>
  <c r="N184" i="9"/>
  <c r="G178" i="11" s="1"/>
  <c r="N170" i="9"/>
  <c r="G164" i="11" s="1"/>
  <c r="Q176" i="9"/>
  <c r="N188" i="9"/>
  <c r="G182" i="11" s="1"/>
  <c r="Q196" i="9"/>
  <c r="N211" i="9"/>
  <c r="G205" i="11" s="1"/>
  <c r="N210" i="9"/>
  <c r="G204" i="11" s="1"/>
  <c r="N165" i="9"/>
  <c r="G159" i="11" s="1"/>
  <c r="N169" i="9"/>
  <c r="G163" i="11" s="1"/>
  <c r="N179" i="9"/>
  <c r="G173" i="11" s="1"/>
  <c r="N190" i="9"/>
  <c r="G184" i="11" s="1"/>
  <c r="N205" i="9"/>
  <c r="G199" i="11" s="1"/>
  <c r="N206" i="9"/>
  <c r="G200" i="11" s="1"/>
  <c r="Q191" i="9"/>
  <c r="N209" i="9"/>
  <c r="G203" i="11" s="1"/>
  <c r="N214" i="9"/>
  <c r="G208" i="11" s="1"/>
  <c r="N215" i="9"/>
  <c r="G209" i="11" s="1"/>
  <c r="N191" i="9"/>
  <c r="G185" i="11" s="1"/>
  <c r="N196" i="9"/>
  <c r="G190" i="11" s="1"/>
  <c r="N199" i="9"/>
  <c r="G193" i="11" s="1"/>
  <c r="N201" i="9"/>
  <c r="G195" i="11" s="1"/>
  <c r="N202" i="9"/>
  <c r="G196" i="11" s="1"/>
  <c r="N204" i="9"/>
  <c r="G198" i="11" s="1"/>
  <c r="N218" i="9"/>
  <c r="G212" i="11" s="1"/>
  <c r="N213" i="9"/>
  <c r="G207" i="11" s="1"/>
  <c r="N229" i="9"/>
  <c r="G223" i="11" s="1"/>
  <c r="N228" i="9"/>
  <c r="G222" i="11" s="1"/>
  <c r="N233" i="9"/>
  <c r="G227" i="11" s="1"/>
  <c r="N236" i="9"/>
  <c r="G230" i="11" s="1"/>
  <c r="N235" i="9"/>
  <c r="G229" i="11" s="1"/>
  <c r="Q216" i="9"/>
  <c r="N231" i="9"/>
  <c r="G225" i="11" s="1"/>
  <c r="N232" i="9"/>
  <c r="G226" i="11" s="1"/>
  <c r="N222" i="9"/>
  <c r="G216" i="11" s="1"/>
  <c r="Q221" i="9"/>
  <c r="Q226" i="9"/>
  <c r="Q231" i="9"/>
  <c r="N234" i="9"/>
  <c r="G228" i="11" s="1"/>
  <c r="N223" i="9"/>
  <c r="G217" i="11" s="1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41" i="8"/>
  <c r="AC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41" i="8"/>
  <c r="T42" i="8"/>
  <c r="T43" i="8"/>
  <c r="T44" i="8"/>
  <c r="T45" i="8"/>
  <c r="T46" i="8"/>
  <c r="T47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41" i="8"/>
  <c r="Z61" i="8"/>
  <c r="AB61" i="8" s="1"/>
  <c r="AB60" i="8"/>
  <c r="AB59" i="8"/>
  <c r="Z58" i="8"/>
  <c r="AB58" i="8" s="1"/>
  <c r="Z57" i="8"/>
  <c r="AB57" i="8" s="1"/>
  <c r="Z56" i="8"/>
  <c r="AB56" i="8" s="1"/>
  <c r="Z55" i="8"/>
  <c r="AB55" i="8" s="1"/>
  <c r="Z54" i="8"/>
  <c r="AB54" i="8" s="1"/>
  <c r="Z53" i="8"/>
  <c r="AB53" i="8" s="1"/>
  <c r="Z52" i="8"/>
  <c r="AB52" i="8" s="1"/>
  <c r="Z51" i="8"/>
  <c r="AB51" i="8" s="1"/>
  <c r="Z50" i="8"/>
  <c r="AB50" i="8" s="1"/>
  <c r="Z49" i="8"/>
  <c r="AB49" i="8" s="1"/>
  <c r="AB48" i="8"/>
  <c r="Z47" i="8"/>
  <c r="AB47" i="8" s="1"/>
  <c r="Z46" i="8"/>
  <c r="AB46" i="8" s="1"/>
  <c r="AB45" i="8"/>
  <c r="Z44" i="8"/>
  <c r="AB44" i="8" s="1"/>
  <c r="Z43" i="8"/>
  <c r="AB43" i="8" s="1"/>
  <c r="Z42" i="8"/>
  <c r="AB42" i="8" s="1"/>
  <c r="Y7" i="8"/>
  <c r="AA65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AB41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R65" i="8"/>
  <c r="Q65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41" i="8"/>
  <c r="P42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9" i="8"/>
  <c r="T10" i="8"/>
  <c r="AE164" i="9" l="1"/>
  <c r="AK164" i="9" s="1"/>
  <c r="AE202" i="9"/>
  <c r="AK202" i="9" s="1"/>
  <c r="AE186" i="9"/>
  <c r="AK186" i="9" s="1"/>
  <c r="AE211" i="9"/>
  <c r="AK211" i="9" s="1"/>
  <c r="AE218" i="9"/>
  <c r="AK218" i="9" s="1"/>
  <c r="W77" i="9"/>
  <c r="X77" i="9" s="1"/>
  <c r="AA77" i="9" s="1"/>
  <c r="AE77" i="9" s="1"/>
  <c r="AK77" i="9" s="1"/>
  <c r="AE231" i="9"/>
  <c r="AK231" i="9" s="1"/>
  <c r="AA240" i="9"/>
  <c r="AA176" i="9"/>
  <c r="AA189" i="9"/>
  <c r="AE154" i="9"/>
  <c r="AK154" i="9" s="1"/>
  <c r="AK227" i="9"/>
  <c r="AE227" i="9"/>
  <c r="AE194" i="9"/>
  <c r="AK194" i="9" s="1"/>
  <c r="AE223" i="9"/>
  <c r="AK223" i="9" s="1"/>
  <c r="AE159" i="9"/>
  <c r="AK159" i="9" s="1"/>
  <c r="AK219" i="9"/>
  <c r="AE219" i="9"/>
  <c r="AE234" i="9"/>
  <c r="AK234" i="9" s="1"/>
  <c r="AE171" i="9"/>
  <c r="AK171" i="9" s="1"/>
  <c r="AE215" i="9"/>
  <c r="AK215" i="9" s="1"/>
  <c r="AK151" i="9"/>
  <c r="AE151" i="9"/>
  <c r="AA193" i="9"/>
  <c r="AA180" i="9"/>
  <c r="AE210" i="9"/>
  <c r="AK210" i="9" s="1"/>
  <c r="AE178" i="9"/>
  <c r="AK178" i="9" s="1"/>
  <c r="AK203" i="9"/>
  <c r="AE203" i="9"/>
  <c r="AA204" i="9"/>
  <c r="AK179" i="9"/>
  <c r="AE179" i="9"/>
  <c r="R132" i="9"/>
  <c r="R134" i="9"/>
  <c r="AE207" i="9"/>
  <c r="AK207" i="9" s="1"/>
  <c r="AK170" i="9"/>
  <c r="AE170" i="9"/>
  <c r="AK199" i="9"/>
  <c r="AE199" i="9"/>
  <c r="AE239" i="9"/>
  <c r="AK239" i="9" s="1"/>
  <c r="AE195" i="9"/>
  <c r="AK195" i="9" s="1"/>
  <c r="AA208" i="9"/>
  <c r="AA144" i="9"/>
  <c r="AE144" i="9" s="1"/>
  <c r="AK144" i="9" s="1"/>
  <c r="AA221" i="9"/>
  <c r="AA157" i="9"/>
  <c r="AA214" i="9"/>
  <c r="AA163" i="9"/>
  <c r="R133" i="9"/>
  <c r="AK183" i="9"/>
  <c r="AE183" i="9"/>
  <c r="W99" i="9"/>
  <c r="X99" i="9" s="1"/>
  <c r="AA99" i="9" s="1"/>
  <c r="AE99" i="9" s="1"/>
  <c r="AK99" i="9" s="1"/>
  <c r="AE222" i="9"/>
  <c r="AK222" i="9" s="1"/>
  <c r="AK167" i="9"/>
  <c r="AE167" i="9"/>
  <c r="AE226" i="9"/>
  <c r="AK226" i="9" s="1"/>
  <c r="AE162" i="9"/>
  <c r="AK162" i="9" s="1"/>
  <c r="AE191" i="9"/>
  <c r="AK191" i="9" s="1"/>
  <c r="AK187" i="9"/>
  <c r="AE187" i="9"/>
  <c r="AE156" i="9"/>
  <c r="AK156" i="9" s="1"/>
  <c r="AE238" i="9"/>
  <c r="AK238" i="9" s="1"/>
  <c r="AE230" i="9"/>
  <c r="AK230" i="9" s="1"/>
  <c r="AA225" i="9"/>
  <c r="AE175" i="9"/>
  <c r="AK175" i="9" s="1"/>
  <c r="AK235" i="9"/>
  <c r="AE235" i="9"/>
  <c r="Y184" i="10"/>
  <c r="Z184" i="10" s="1"/>
  <c r="AA184" i="10" s="1"/>
  <c r="AE184" i="10" s="1"/>
  <c r="AK184" i="10" s="1"/>
  <c r="Y186" i="10"/>
  <c r="Z186" i="10" s="1"/>
  <c r="AA186" i="10" s="1"/>
  <c r="AE186" i="10" s="1"/>
  <c r="AK186" i="10" s="1"/>
  <c r="Y194" i="10"/>
  <c r="Z194" i="10" s="1"/>
  <c r="AA194" i="10" s="1"/>
  <c r="AE194" i="10" s="1"/>
  <c r="AK194" i="10" s="1"/>
  <c r="Y192" i="10"/>
  <c r="Z192" i="10" s="1"/>
  <c r="AA192" i="10" s="1"/>
  <c r="AE192" i="10" s="1"/>
  <c r="AK192" i="10" s="1"/>
  <c r="AE48" i="10"/>
  <c r="AK48" i="10" s="1"/>
  <c r="AE53" i="10"/>
  <c r="AK53" i="10" s="1"/>
  <c r="AE148" i="10"/>
  <c r="AK148" i="10" s="1"/>
  <c r="Y80" i="10"/>
  <c r="Z80" i="10" s="1"/>
  <c r="AA80" i="10" s="1"/>
  <c r="Y51" i="10"/>
  <c r="Z51" i="10" s="1"/>
  <c r="AA51" i="10" s="1"/>
  <c r="AE141" i="10"/>
  <c r="AK141" i="10" s="1"/>
  <c r="AE43" i="10"/>
  <c r="AK43" i="10" s="1"/>
  <c r="AE123" i="10"/>
  <c r="AK123" i="10" s="1"/>
  <c r="AE90" i="10"/>
  <c r="AK90" i="10" s="1"/>
  <c r="AE67" i="10"/>
  <c r="AK67" i="10" s="1"/>
  <c r="Y34" i="10"/>
  <c r="Z34" i="10" s="1"/>
  <c r="AA34" i="10" s="1"/>
  <c r="AE138" i="10"/>
  <c r="AK138" i="10" s="1"/>
  <c r="AE36" i="10"/>
  <c r="AK36" i="10" s="1"/>
  <c r="AE88" i="10"/>
  <c r="AK88" i="10" s="1"/>
  <c r="AE139" i="10"/>
  <c r="AK139" i="10" s="1"/>
  <c r="AE60" i="10"/>
  <c r="AK60" i="10" s="1"/>
  <c r="Y104" i="10"/>
  <c r="Z104" i="10" s="1"/>
  <c r="AA104" i="10" s="1"/>
  <c r="Y143" i="10"/>
  <c r="Z143" i="10" s="1"/>
  <c r="AA143" i="10" s="1"/>
  <c r="Y82" i="10"/>
  <c r="Z82" i="10" s="1"/>
  <c r="AA82" i="10" s="1"/>
  <c r="Y234" i="10"/>
  <c r="Z234" i="10" s="1"/>
  <c r="AA234" i="10" s="1"/>
  <c r="AE234" i="10" s="1"/>
  <c r="AK234" i="10" s="1"/>
  <c r="Y202" i="10"/>
  <c r="Z202" i="10" s="1"/>
  <c r="AA202" i="10" s="1"/>
  <c r="AE202" i="10" s="1"/>
  <c r="AK202" i="10" s="1"/>
  <c r="Y170" i="10"/>
  <c r="Z170" i="10" s="1"/>
  <c r="AA170" i="10" s="1"/>
  <c r="AE170" i="10" s="1"/>
  <c r="AK170" i="10" s="1"/>
  <c r="AE122" i="10"/>
  <c r="AK122" i="10" s="1"/>
  <c r="AE61" i="10"/>
  <c r="AK61" i="10" s="1"/>
  <c r="AE115" i="10"/>
  <c r="AK115" i="10" s="1"/>
  <c r="AE86" i="10"/>
  <c r="AK86" i="10" s="1"/>
  <c r="AE55" i="10"/>
  <c r="AK55" i="10" s="1"/>
  <c r="AE58" i="10"/>
  <c r="AK58" i="10" s="1"/>
  <c r="AE133" i="10"/>
  <c r="AK133" i="10" s="1"/>
  <c r="AE96" i="10"/>
  <c r="AK96" i="10" s="1"/>
  <c r="Y126" i="10"/>
  <c r="Z126" i="10" s="1"/>
  <c r="AA126" i="10" s="1"/>
  <c r="AE127" i="10"/>
  <c r="AK127" i="10" s="1"/>
  <c r="AE72" i="10"/>
  <c r="AK72" i="10" s="1"/>
  <c r="AE87" i="10"/>
  <c r="AK87" i="10" s="1"/>
  <c r="AE56" i="10"/>
  <c r="AK56" i="10" s="1"/>
  <c r="AE99" i="10"/>
  <c r="AK99" i="10" s="1"/>
  <c r="AE94" i="10"/>
  <c r="AK94" i="10" s="1"/>
  <c r="AE38" i="10"/>
  <c r="AK38" i="10" s="1"/>
  <c r="AE92" i="10"/>
  <c r="AK92" i="10" s="1"/>
  <c r="AE121" i="10"/>
  <c r="AK121" i="10" s="1"/>
  <c r="AE132" i="10"/>
  <c r="AK132" i="10" s="1"/>
  <c r="AE111" i="10"/>
  <c r="AK111" i="10" s="1"/>
  <c r="Y66" i="10"/>
  <c r="Z66" i="10" s="1"/>
  <c r="AA66" i="10" s="1"/>
  <c r="Y37" i="10"/>
  <c r="Z37" i="10" s="1"/>
  <c r="AA37" i="10" s="1"/>
  <c r="AE54" i="10"/>
  <c r="AK54" i="10" s="1"/>
  <c r="AE40" i="10"/>
  <c r="AK40" i="10" s="1"/>
  <c r="AE130" i="10"/>
  <c r="AK130" i="10" s="1"/>
  <c r="AE97" i="10"/>
  <c r="AK97" i="10" s="1"/>
  <c r="AE110" i="10"/>
  <c r="AK110" i="10" s="1"/>
  <c r="AE128" i="10"/>
  <c r="AK128" i="10" s="1"/>
  <c r="AE81" i="10"/>
  <c r="AK81" i="10" s="1"/>
  <c r="AE50" i="10"/>
  <c r="AK50" i="10" s="1"/>
  <c r="T69" i="10"/>
  <c r="Y140" i="10"/>
  <c r="Z140" i="10" s="1"/>
  <c r="AA140" i="10" s="1"/>
  <c r="Y116" i="10"/>
  <c r="Z116" i="10" s="1"/>
  <c r="AA116" i="10" s="1"/>
  <c r="Y85" i="10"/>
  <c r="Z85" i="10" s="1"/>
  <c r="AA85" i="10" s="1"/>
  <c r="Y108" i="10"/>
  <c r="Z108" i="10" s="1"/>
  <c r="AA108" i="10" s="1"/>
  <c r="Y142" i="10"/>
  <c r="Z142" i="10" s="1"/>
  <c r="AA142" i="10" s="1"/>
  <c r="T33" i="10"/>
  <c r="V33" i="10" s="1"/>
  <c r="AF33" i="10" s="1"/>
  <c r="Y114" i="10"/>
  <c r="Z114" i="10" s="1"/>
  <c r="AA114" i="10" s="1"/>
  <c r="Y83" i="10"/>
  <c r="Z83" i="10" s="1"/>
  <c r="AA83" i="10" s="1"/>
  <c r="Y246" i="10"/>
  <c r="Z246" i="10" s="1"/>
  <c r="AA246" i="10" s="1"/>
  <c r="AE246" i="10" s="1"/>
  <c r="AK246" i="10" s="1"/>
  <c r="Y182" i="10"/>
  <c r="Z182" i="10" s="1"/>
  <c r="AA182" i="10" s="1"/>
  <c r="AE182" i="10" s="1"/>
  <c r="AK182" i="10" s="1"/>
  <c r="Y119" i="10"/>
  <c r="Z119" i="10" s="1"/>
  <c r="AA119" i="10" s="1"/>
  <c r="Y124" i="10"/>
  <c r="Z124" i="10" s="1"/>
  <c r="AA124" i="10" s="1"/>
  <c r="T113" i="10"/>
  <c r="T32" i="10"/>
  <c r="V32" i="10" s="1"/>
  <c r="AF32" i="10" s="1"/>
  <c r="T43" i="10"/>
  <c r="V43" i="10" s="1"/>
  <c r="AF43" i="10" s="1"/>
  <c r="T161" i="10"/>
  <c r="V161" i="10" s="1"/>
  <c r="AF161" i="10" s="1"/>
  <c r="Y242" i="10"/>
  <c r="Z242" i="10" s="1"/>
  <c r="AA242" i="10" s="1"/>
  <c r="AE242" i="10" s="1"/>
  <c r="AK242" i="10" s="1"/>
  <c r="Y210" i="10"/>
  <c r="Z210" i="10" s="1"/>
  <c r="AA210" i="10" s="1"/>
  <c r="AE210" i="10" s="1"/>
  <c r="AK210" i="10" s="1"/>
  <c r="Y178" i="10"/>
  <c r="Z178" i="10" s="1"/>
  <c r="AA178" i="10" s="1"/>
  <c r="AE178" i="10" s="1"/>
  <c r="AK178" i="10" s="1"/>
  <c r="Y146" i="10"/>
  <c r="Z146" i="10" s="1"/>
  <c r="AA146" i="10" s="1"/>
  <c r="T93" i="10"/>
  <c r="T37" i="10"/>
  <c r="Y149" i="10"/>
  <c r="Z149" i="10" s="1"/>
  <c r="AA149" i="10" s="1"/>
  <c r="Y59" i="10"/>
  <c r="Z59" i="10" s="1"/>
  <c r="AA59" i="10" s="1"/>
  <c r="Y244" i="10"/>
  <c r="Z244" i="10" s="1"/>
  <c r="AA244" i="10" s="1"/>
  <c r="AE244" i="10" s="1"/>
  <c r="AK244" i="10" s="1"/>
  <c r="Y238" i="10"/>
  <c r="Z238" i="10" s="1"/>
  <c r="AA238" i="10" s="1"/>
  <c r="AE238" i="10" s="1"/>
  <c r="AK238" i="10" s="1"/>
  <c r="Y206" i="10"/>
  <c r="Z206" i="10" s="1"/>
  <c r="AA206" i="10" s="1"/>
  <c r="AE206" i="10" s="1"/>
  <c r="AK206" i="10" s="1"/>
  <c r="Y174" i="10"/>
  <c r="Z174" i="10" s="1"/>
  <c r="AA174" i="10" s="1"/>
  <c r="AE174" i="10" s="1"/>
  <c r="AK174" i="10" s="1"/>
  <c r="Y57" i="10"/>
  <c r="Z57" i="10" s="1"/>
  <c r="AA57" i="10" s="1"/>
  <c r="Y240" i="10"/>
  <c r="Z240" i="10" s="1"/>
  <c r="AA240" i="10" s="1"/>
  <c r="AE240" i="10" s="1"/>
  <c r="AK240" i="10" s="1"/>
  <c r="Y208" i="10"/>
  <c r="Z208" i="10" s="1"/>
  <c r="AA208" i="10" s="1"/>
  <c r="AE208" i="10" s="1"/>
  <c r="AK208" i="10" s="1"/>
  <c r="Y176" i="10"/>
  <c r="Z176" i="10" s="1"/>
  <c r="AA176" i="10" s="1"/>
  <c r="AE176" i="10" s="1"/>
  <c r="AK176" i="10" s="1"/>
  <c r="Y218" i="10"/>
  <c r="Z218" i="10" s="1"/>
  <c r="AA218" i="10" s="1"/>
  <c r="AE218" i="10" s="1"/>
  <c r="AK218" i="10" s="1"/>
  <c r="Y78" i="10"/>
  <c r="Z78" i="10" s="1"/>
  <c r="AA78" i="10" s="1"/>
  <c r="Y45" i="10"/>
  <c r="Z45" i="10" s="1"/>
  <c r="AA45" i="10" s="1"/>
  <c r="Y68" i="10"/>
  <c r="Z68" i="10" s="1"/>
  <c r="AA68" i="10" s="1"/>
  <c r="Y233" i="10"/>
  <c r="Z233" i="10" s="1"/>
  <c r="AA233" i="10" s="1"/>
  <c r="AE233" i="10" s="1"/>
  <c r="AK233" i="10" s="1"/>
  <c r="Y201" i="10"/>
  <c r="Z201" i="10" s="1"/>
  <c r="AA201" i="10" s="1"/>
  <c r="AE201" i="10" s="1"/>
  <c r="AK201" i="10" s="1"/>
  <c r="Y169" i="10"/>
  <c r="Z169" i="10" s="1"/>
  <c r="AA169" i="10" s="1"/>
  <c r="AE169" i="10" s="1"/>
  <c r="AK169" i="10" s="1"/>
  <c r="Y74" i="10"/>
  <c r="Z74" i="10" s="1"/>
  <c r="AA74" i="10" s="1"/>
  <c r="T105" i="10"/>
  <c r="V105" i="10" s="1"/>
  <c r="AF105" i="10" s="1"/>
  <c r="T95" i="10"/>
  <c r="Y93" i="10"/>
  <c r="Z93" i="10" s="1"/>
  <c r="AA93" i="10" s="1"/>
  <c r="Y62" i="10"/>
  <c r="Z62" i="10" s="1"/>
  <c r="AA62" i="10" s="1"/>
  <c r="Y33" i="10"/>
  <c r="Z33" i="10" s="1"/>
  <c r="AA33" i="10" s="1"/>
  <c r="Y52" i="10"/>
  <c r="Z52" i="10" s="1"/>
  <c r="AA52" i="10" s="1"/>
  <c r="T131" i="10"/>
  <c r="V131" i="10" s="1"/>
  <c r="AF131" i="10" s="1"/>
  <c r="T54" i="10"/>
  <c r="Y134" i="10"/>
  <c r="Z134" i="10" s="1"/>
  <c r="AA134" i="10" s="1"/>
  <c r="Y105" i="10"/>
  <c r="Z105" i="10" s="1"/>
  <c r="AA105" i="10" s="1"/>
  <c r="Y75" i="10"/>
  <c r="Z75" i="10" s="1"/>
  <c r="AA75" i="10" s="1"/>
  <c r="T35" i="10"/>
  <c r="Y65" i="10"/>
  <c r="Z65" i="10" s="1"/>
  <c r="AA65" i="10" s="1"/>
  <c r="Y241" i="10"/>
  <c r="Z241" i="10" s="1"/>
  <c r="AA241" i="10" s="1"/>
  <c r="AE241" i="10" s="1"/>
  <c r="AK241" i="10" s="1"/>
  <c r="Y209" i="10"/>
  <c r="Z209" i="10" s="1"/>
  <c r="AA209" i="10" s="1"/>
  <c r="AE209" i="10" s="1"/>
  <c r="AK209" i="10" s="1"/>
  <c r="Y177" i="10"/>
  <c r="Z177" i="10" s="1"/>
  <c r="AA177" i="10" s="1"/>
  <c r="AE177" i="10" s="1"/>
  <c r="AK177" i="10" s="1"/>
  <c r="Y144" i="10"/>
  <c r="Z144" i="10" s="1"/>
  <c r="AA144" i="10" s="1"/>
  <c r="Y113" i="10"/>
  <c r="Z113" i="10" s="1"/>
  <c r="AA113" i="10" s="1"/>
  <c r="Y84" i="10"/>
  <c r="Z84" i="10" s="1"/>
  <c r="AA84" i="10" s="1"/>
  <c r="Y101" i="10"/>
  <c r="Z101" i="10" s="1"/>
  <c r="AA101" i="10" s="1"/>
  <c r="Y41" i="10"/>
  <c r="Z41" i="10" s="1"/>
  <c r="AA41" i="10" s="1"/>
  <c r="T138" i="10"/>
  <c r="V138" i="10" s="1"/>
  <c r="AF138" i="10" s="1"/>
  <c r="T31" i="8"/>
  <c r="G72" i="12"/>
  <c r="T73" i="10"/>
  <c r="V73" i="10" s="1"/>
  <c r="AF73" i="10" s="1"/>
  <c r="G159" i="12"/>
  <c r="T165" i="10"/>
  <c r="V165" i="10" s="1"/>
  <c r="AF165" i="10" s="1"/>
  <c r="T64" i="10"/>
  <c r="G203" i="12"/>
  <c r="T209" i="10"/>
  <c r="V209" i="10" s="1"/>
  <c r="AF209" i="10" s="1"/>
  <c r="Y77" i="10"/>
  <c r="Z77" i="10" s="1"/>
  <c r="AA77" i="10" s="1"/>
  <c r="Y137" i="10"/>
  <c r="Z137" i="10" s="1"/>
  <c r="AA137" i="10" s="1"/>
  <c r="Y106" i="10"/>
  <c r="Z106" i="10" s="1"/>
  <c r="AA106" i="10" s="1"/>
  <c r="G96" i="12"/>
  <c r="T97" i="10"/>
  <c r="G114" i="12"/>
  <c r="T115" i="10"/>
  <c r="G131" i="12"/>
  <c r="T132" i="10"/>
  <c r="Y70" i="10"/>
  <c r="Z70" i="10" s="1"/>
  <c r="AA70" i="10" s="1"/>
  <c r="Y64" i="10"/>
  <c r="Z64" i="10" s="1"/>
  <c r="AA64" i="10" s="1"/>
  <c r="Y35" i="10"/>
  <c r="Z35" i="10" s="1"/>
  <c r="AA35" i="10" s="1"/>
  <c r="AA161" i="9"/>
  <c r="AA217" i="9"/>
  <c r="AA153" i="9"/>
  <c r="AA200" i="9"/>
  <c r="AA213" i="9"/>
  <c r="AA149" i="9"/>
  <c r="AA190" i="9"/>
  <c r="AA148" i="9"/>
  <c r="AE148" i="9" s="1"/>
  <c r="AK148" i="9" s="1"/>
  <c r="AA150" i="9"/>
  <c r="Y109" i="10"/>
  <c r="Z109" i="10" s="1"/>
  <c r="AA109" i="10" s="1"/>
  <c r="Y49" i="10"/>
  <c r="Z49" i="10" s="1"/>
  <c r="AA49" i="10" s="1"/>
  <c r="Y221" i="10"/>
  <c r="Z221" i="10" s="1"/>
  <c r="AA221" i="10" s="1"/>
  <c r="AE221" i="10" s="1"/>
  <c r="AK221" i="10" s="1"/>
  <c r="Y189" i="10"/>
  <c r="Z189" i="10" s="1"/>
  <c r="AA189" i="10" s="1"/>
  <c r="AE189" i="10" s="1"/>
  <c r="AK189" i="10" s="1"/>
  <c r="Y120" i="10"/>
  <c r="Z120" i="10" s="1"/>
  <c r="AA120" i="10" s="1"/>
  <c r="Y112" i="10"/>
  <c r="Z112" i="10" s="1"/>
  <c r="AA112" i="10" s="1"/>
  <c r="AA209" i="9"/>
  <c r="AA145" i="9"/>
  <c r="AE145" i="9" s="1"/>
  <c r="AK145" i="9" s="1"/>
  <c r="AA192" i="9"/>
  <c r="AA119" i="9"/>
  <c r="AE119" i="9" s="1"/>
  <c r="AK119" i="9" s="1"/>
  <c r="AA205" i="9"/>
  <c r="AA141" i="9"/>
  <c r="AE141" i="9" s="1"/>
  <c r="AK141" i="9" s="1"/>
  <c r="AA228" i="9"/>
  <c r="AA158" i="9"/>
  <c r="AA198" i="9"/>
  <c r="AA188" i="9"/>
  <c r="Y117" i="10"/>
  <c r="Z117" i="10" s="1"/>
  <c r="AA117" i="10" s="1"/>
  <c r="Y136" i="10"/>
  <c r="Z136" i="10" s="1"/>
  <c r="AA136" i="10" s="1"/>
  <c r="Y76" i="10"/>
  <c r="Z76" i="10" s="1"/>
  <c r="AA76" i="10" s="1"/>
  <c r="Y118" i="10"/>
  <c r="Z118" i="10" s="1"/>
  <c r="AA118" i="10" s="1"/>
  <c r="AA201" i="9"/>
  <c r="Y79" i="10"/>
  <c r="Z79" i="10" s="1"/>
  <c r="AA79" i="10" s="1"/>
  <c r="AA184" i="9"/>
  <c r="AA197" i="9"/>
  <c r="AA174" i="9"/>
  <c r="AA126" i="9"/>
  <c r="AE126" i="9" s="1"/>
  <c r="AK126" i="9" s="1"/>
  <c r="Y63" i="10"/>
  <c r="Z63" i="10" s="1"/>
  <c r="AA63" i="10" s="1"/>
  <c r="AA212" i="9"/>
  <c r="AA155" i="9"/>
  <c r="AA182" i="9"/>
  <c r="AA236" i="9"/>
  <c r="AA172" i="9"/>
  <c r="AA185" i="9"/>
  <c r="Y135" i="10"/>
  <c r="Z135" i="10" s="1"/>
  <c r="AA135" i="10" s="1"/>
  <c r="AA232" i="9"/>
  <c r="AA168" i="9"/>
  <c r="AA181" i="9"/>
  <c r="AA142" i="9"/>
  <c r="AE142" i="9" s="1"/>
  <c r="AK142" i="9" s="1"/>
  <c r="Y131" i="10"/>
  <c r="Z131" i="10" s="1"/>
  <c r="AA131" i="10" s="1"/>
  <c r="Y71" i="10"/>
  <c r="Z71" i="10" s="1"/>
  <c r="AA71" i="10" s="1"/>
  <c r="AA177" i="9"/>
  <c r="AA224" i="9"/>
  <c r="AA160" i="9"/>
  <c r="AA237" i="9"/>
  <c r="AA173" i="9"/>
  <c r="AA143" i="9"/>
  <c r="AE143" i="9" s="1"/>
  <c r="AK143" i="9" s="1"/>
  <c r="AA196" i="9"/>
  <c r="AA166" i="9"/>
  <c r="AA220" i="9"/>
  <c r="T249" i="10"/>
  <c r="V249" i="10" s="1"/>
  <c r="AF249" i="10" s="1"/>
  <c r="AA233" i="9"/>
  <c r="AA169" i="9"/>
  <c r="AA216" i="9"/>
  <c r="AA152" i="9"/>
  <c r="AA229" i="9"/>
  <c r="AA165" i="9"/>
  <c r="AA206" i="9"/>
  <c r="T137" i="10"/>
  <c r="V137" i="10" s="1"/>
  <c r="AF137" i="10" s="1"/>
  <c r="G136" i="12"/>
  <c r="T50" i="10"/>
  <c r="V50" i="10" s="1"/>
  <c r="AF50" i="10" s="1"/>
  <c r="G49" i="12"/>
  <c r="T123" i="10"/>
  <c r="V123" i="10" s="1"/>
  <c r="AF123" i="10" s="1"/>
  <c r="G122" i="12"/>
  <c r="T81" i="10"/>
  <c r="G80" i="12"/>
  <c r="T146" i="10"/>
  <c r="V146" i="10" s="1"/>
  <c r="AF146" i="10" s="1"/>
  <c r="G145" i="12"/>
  <c r="T59" i="10"/>
  <c r="V59" i="10" s="1"/>
  <c r="AF59" i="10" s="1"/>
  <c r="G58" i="12"/>
  <c r="T36" i="10"/>
  <c r="V36" i="10" s="1"/>
  <c r="AF36" i="10" s="1"/>
  <c r="G35" i="12"/>
  <c r="T41" i="10"/>
  <c r="V41" i="10" s="1"/>
  <c r="AF41" i="10" s="1"/>
  <c r="G40" i="12"/>
  <c r="Y32" i="10"/>
  <c r="Z32" i="10" s="1"/>
  <c r="AA32" i="10" s="1"/>
  <c r="Y231" i="10"/>
  <c r="Z231" i="10" s="1"/>
  <c r="AA231" i="10" s="1"/>
  <c r="AE231" i="10" s="1"/>
  <c r="AK231" i="10" s="1"/>
  <c r="Y199" i="10"/>
  <c r="Z199" i="10" s="1"/>
  <c r="AA199" i="10" s="1"/>
  <c r="AE199" i="10" s="1"/>
  <c r="AK199" i="10" s="1"/>
  <c r="Y167" i="10"/>
  <c r="Z167" i="10" s="1"/>
  <c r="AA167" i="10" s="1"/>
  <c r="AE167" i="10" s="1"/>
  <c r="AK167" i="10" s="1"/>
  <c r="Y46" i="10"/>
  <c r="Z46" i="10" s="1"/>
  <c r="AA46" i="10" s="1"/>
  <c r="T118" i="10"/>
  <c r="G117" i="12"/>
  <c r="T48" i="10"/>
  <c r="V48" i="10" s="1"/>
  <c r="AF48" i="10" s="1"/>
  <c r="G47" i="12"/>
  <c r="T42" i="10"/>
  <c r="G41" i="12"/>
  <c r="T101" i="10"/>
  <c r="G100" i="12"/>
  <c r="T70" i="10"/>
  <c r="V70" i="10" s="1"/>
  <c r="AF70" i="10" s="1"/>
  <c r="G69" i="12"/>
  <c r="T168" i="10"/>
  <c r="V168" i="10" s="1"/>
  <c r="AF168" i="10" s="1"/>
  <c r="G162" i="12"/>
  <c r="Y227" i="10"/>
  <c r="Z227" i="10" s="1"/>
  <c r="AA227" i="10" s="1"/>
  <c r="AE227" i="10" s="1"/>
  <c r="AK227" i="10" s="1"/>
  <c r="Y195" i="10"/>
  <c r="Z195" i="10" s="1"/>
  <c r="AA195" i="10" s="1"/>
  <c r="AE195" i="10" s="1"/>
  <c r="AK195" i="10" s="1"/>
  <c r="Y163" i="10"/>
  <c r="Z163" i="10" s="1"/>
  <c r="AA163" i="10" s="1"/>
  <c r="AE163" i="10" s="1"/>
  <c r="AK163" i="10" s="1"/>
  <c r="Y91" i="10"/>
  <c r="Z91" i="10" s="1"/>
  <c r="AA91" i="10" s="1"/>
  <c r="Y44" i="10"/>
  <c r="Z44" i="10" s="1"/>
  <c r="AA44" i="10" s="1"/>
  <c r="T106" i="10"/>
  <c r="G105" i="12"/>
  <c r="T99" i="10"/>
  <c r="G98" i="12"/>
  <c r="T142" i="10"/>
  <c r="V142" i="10" s="1"/>
  <c r="AF142" i="10" s="1"/>
  <c r="G141" i="12"/>
  <c r="T52" i="10"/>
  <c r="V52" i="10" s="1"/>
  <c r="AF52" i="10" s="1"/>
  <c r="G51" i="12"/>
  <c r="T107" i="10"/>
  <c r="V107" i="10" s="1"/>
  <c r="AF107" i="10" s="1"/>
  <c r="G106" i="12"/>
  <c r="T124" i="10"/>
  <c r="V124" i="10" s="1"/>
  <c r="AF124" i="10" s="1"/>
  <c r="G123" i="12"/>
  <c r="T201" i="10"/>
  <c r="V201" i="10" s="1"/>
  <c r="AF201" i="10" s="1"/>
  <c r="G195" i="12"/>
  <c r="Y47" i="10"/>
  <c r="Z47" i="10" s="1"/>
  <c r="AA47" i="10" s="1"/>
  <c r="Y223" i="10"/>
  <c r="Z223" i="10" s="1"/>
  <c r="AA223" i="10" s="1"/>
  <c r="AE223" i="10" s="1"/>
  <c r="AK223" i="10" s="1"/>
  <c r="Y191" i="10"/>
  <c r="Z191" i="10" s="1"/>
  <c r="AA191" i="10" s="1"/>
  <c r="AE191" i="10" s="1"/>
  <c r="AK191" i="10" s="1"/>
  <c r="Y159" i="10"/>
  <c r="Z159" i="10" s="1"/>
  <c r="AA159" i="10" s="1"/>
  <c r="AE159" i="10" s="1"/>
  <c r="AK159" i="10" s="1"/>
  <c r="Y73" i="10"/>
  <c r="Z73" i="10" s="1"/>
  <c r="AA73" i="10" s="1"/>
  <c r="Y42" i="10"/>
  <c r="Z42" i="10" s="1"/>
  <c r="AA42" i="10" s="1"/>
  <c r="T85" i="10"/>
  <c r="V85" i="10" s="1"/>
  <c r="AF85" i="10" s="1"/>
  <c r="G84" i="12"/>
  <c r="T136" i="10"/>
  <c r="V136" i="10" s="1"/>
  <c r="AF136" i="10" s="1"/>
  <c r="G135" i="12"/>
  <c r="T104" i="10"/>
  <c r="G103" i="12"/>
  <c r="T169" i="10"/>
  <c r="V169" i="10" s="1"/>
  <c r="AF169" i="10" s="1"/>
  <c r="G163" i="12"/>
  <c r="Y89" i="10"/>
  <c r="Z89" i="10" s="1"/>
  <c r="AA89" i="10" s="1"/>
  <c r="Y219" i="10"/>
  <c r="Z219" i="10" s="1"/>
  <c r="AA219" i="10" s="1"/>
  <c r="AE219" i="10" s="1"/>
  <c r="AK219" i="10" s="1"/>
  <c r="Y187" i="10"/>
  <c r="Z187" i="10" s="1"/>
  <c r="AA187" i="10" s="1"/>
  <c r="AE187" i="10" s="1"/>
  <c r="AK187" i="10" s="1"/>
  <c r="Y102" i="10"/>
  <c r="Z102" i="10" s="1"/>
  <c r="AA102" i="10" s="1"/>
  <c r="T89" i="10"/>
  <c r="G88" i="12"/>
  <c r="T72" i="10"/>
  <c r="V72" i="10" s="1"/>
  <c r="AF72" i="10" s="1"/>
  <c r="G71" i="12"/>
  <c r="T121" i="10"/>
  <c r="V121" i="10" s="1"/>
  <c r="AF121" i="10" s="1"/>
  <c r="G120" i="12"/>
  <c r="Y245" i="10"/>
  <c r="Z245" i="10" s="1"/>
  <c r="AA245" i="10" s="1"/>
  <c r="AE245" i="10" s="1"/>
  <c r="AK245" i="10" s="1"/>
  <c r="Y213" i="10"/>
  <c r="Z213" i="10" s="1"/>
  <c r="AA213" i="10" s="1"/>
  <c r="AE213" i="10" s="1"/>
  <c r="AK213" i="10" s="1"/>
  <c r="Y181" i="10"/>
  <c r="Z181" i="10" s="1"/>
  <c r="AA181" i="10" s="1"/>
  <c r="AE181" i="10" s="1"/>
  <c r="AK181" i="10" s="1"/>
  <c r="Y103" i="10"/>
  <c r="Z103" i="10" s="1"/>
  <c r="AA103" i="10" s="1"/>
  <c r="Y247" i="10"/>
  <c r="Z247" i="10" s="1"/>
  <c r="AA247" i="10" s="1"/>
  <c r="AE247" i="10" s="1"/>
  <c r="AK247" i="10" s="1"/>
  <c r="Y215" i="10"/>
  <c r="Z215" i="10" s="1"/>
  <c r="AA215" i="10" s="1"/>
  <c r="AE215" i="10" s="1"/>
  <c r="AK215" i="10" s="1"/>
  <c r="Y183" i="10"/>
  <c r="Z183" i="10" s="1"/>
  <c r="AA183" i="10" s="1"/>
  <c r="AE183" i="10" s="1"/>
  <c r="AK183" i="10" s="1"/>
  <c r="Y147" i="10"/>
  <c r="Z147" i="10" s="1"/>
  <c r="AA147" i="10" s="1"/>
  <c r="Y100" i="10"/>
  <c r="Z100" i="10" s="1"/>
  <c r="AA100" i="10" s="1"/>
  <c r="Y69" i="10"/>
  <c r="Z69" i="10" s="1"/>
  <c r="AA69" i="10" s="1"/>
  <c r="Y39" i="10"/>
  <c r="Z39" i="10" s="1"/>
  <c r="AA39" i="10" s="1"/>
  <c r="T80" i="10"/>
  <c r="V80" i="10" s="1"/>
  <c r="AF80" i="10" s="1"/>
  <c r="G79" i="12"/>
  <c r="T141" i="10"/>
  <c r="G140" i="12"/>
  <c r="T110" i="10"/>
  <c r="G109" i="12"/>
  <c r="T103" i="10"/>
  <c r="V103" i="10" s="1"/>
  <c r="AF103" i="10" s="1"/>
  <c r="G102" i="12"/>
  <c r="T117" i="10"/>
  <c r="V117" i="10" s="1"/>
  <c r="AF117" i="10" s="1"/>
  <c r="G116" i="12"/>
  <c r="Y225" i="10"/>
  <c r="Z225" i="10" s="1"/>
  <c r="AA225" i="10" s="1"/>
  <c r="AE225" i="10" s="1"/>
  <c r="AK225" i="10" s="1"/>
  <c r="Y193" i="10"/>
  <c r="Z193" i="10" s="1"/>
  <c r="AA193" i="10" s="1"/>
  <c r="AE193" i="10" s="1"/>
  <c r="AK193" i="10" s="1"/>
  <c r="Y161" i="10"/>
  <c r="Z161" i="10" s="1"/>
  <c r="AA161" i="10" s="1"/>
  <c r="AE161" i="10" s="1"/>
  <c r="AK161" i="10" s="1"/>
  <c r="Y145" i="10"/>
  <c r="Z145" i="10" s="1"/>
  <c r="AA145" i="10" s="1"/>
  <c r="Y107" i="10"/>
  <c r="Z107" i="10" s="1"/>
  <c r="AA107" i="10" s="1"/>
  <c r="Y243" i="10"/>
  <c r="Z243" i="10" s="1"/>
  <c r="AA243" i="10" s="1"/>
  <c r="AE243" i="10" s="1"/>
  <c r="AK243" i="10" s="1"/>
  <c r="Y211" i="10"/>
  <c r="Z211" i="10" s="1"/>
  <c r="AA211" i="10" s="1"/>
  <c r="AE211" i="10" s="1"/>
  <c r="AK211" i="10" s="1"/>
  <c r="Y179" i="10"/>
  <c r="Z179" i="10" s="1"/>
  <c r="AA179" i="10" s="1"/>
  <c r="AE179" i="10" s="1"/>
  <c r="AK179" i="10" s="1"/>
  <c r="Y129" i="10"/>
  <c r="Z129" i="10" s="1"/>
  <c r="AA129" i="10" s="1"/>
  <c r="Y98" i="10"/>
  <c r="Z98" i="10" s="1"/>
  <c r="AA98" i="10" s="1"/>
  <c r="T150" i="10"/>
  <c r="AN150" i="10" s="1"/>
  <c r="T77" i="10"/>
  <c r="V77" i="10" s="1"/>
  <c r="AF77" i="10" s="1"/>
  <c r="G76" i="12"/>
  <c r="T91" i="10"/>
  <c r="V91" i="10" s="1"/>
  <c r="AF91" i="10" s="1"/>
  <c r="G90" i="12"/>
  <c r="T127" i="10"/>
  <c r="V127" i="10" s="1"/>
  <c r="AF127" i="10" s="1"/>
  <c r="G126" i="12"/>
  <c r="T61" i="10"/>
  <c r="V61" i="10" s="1"/>
  <c r="AF61" i="10" s="1"/>
  <c r="G60" i="12"/>
  <c r="T94" i="10"/>
  <c r="G93" i="12"/>
  <c r="T83" i="10"/>
  <c r="V83" i="10" s="1"/>
  <c r="AF83" i="10" s="1"/>
  <c r="G82" i="12"/>
  <c r="T102" i="10"/>
  <c r="V102" i="10" s="1"/>
  <c r="AF102" i="10" s="1"/>
  <c r="G101" i="12"/>
  <c r="T45" i="10"/>
  <c r="V45" i="10" s="1"/>
  <c r="AF45" i="10" s="1"/>
  <c r="G44" i="12"/>
  <c r="Y157" i="10"/>
  <c r="Z157" i="10" s="1"/>
  <c r="AA157" i="10" s="1"/>
  <c r="AE157" i="10" s="1"/>
  <c r="AK157" i="10" s="1"/>
  <c r="Y237" i="10"/>
  <c r="Z237" i="10" s="1"/>
  <c r="AA237" i="10" s="1"/>
  <c r="AE237" i="10" s="1"/>
  <c r="AK237" i="10" s="1"/>
  <c r="Y205" i="10"/>
  <c r="Z205" i="10" s="1"/>
  <c r="AA205" i="10" s="1"/>
  <c r="AE205" i="10" s="1"/>
  <c r="AK205" i="10" s="1"/>
  <c r="Y173" i="10"/>
  <c r="Z173" i="10" s="1"/>
  <c r="AA173" i="10" s="1"/>
  <c r="AE173" i="10" s="1"/>
  <c r="AK173" i="10" s="1"/>
  <c r="Y239" i="10"/>
  <c r="Z239" i="10" s="1"/>
  <c r="AA239" i="10" s="1"/>
  <c r="AE239" i="10" s="1"/>
  <c r="AK239" i="10" s="1"/>
  <c r="Y207" i="10"/>
  <c r="Z207" i="10" s="1"/>
  <c r="AA207" i="10" s="1"/>
  <c r="AE207" i="10" s="1"/>
  <c r="AK207" i="10" s="1"/>
  <c r="Y175" i="10"/>
  <c r="Z175" i="10" s="1"/>
  <c r="AA175" i="10" s="1"/>
  <c r="AE175" i="10" s="1"/>
  <c r="AK175" i="10" s="1"/>
  <c r="T53" i="10"/>
  <c r="V53" i="10" s="1"/>
  <c r="AF53" i="10" s="1"/>
  <c r="G52" i="12"/>
  <c r="T84" i="10"/>
  <c r="G83" i="12"/>
  <c r="T125" i="10"/>
  <c r="V125" i="10" s="1"/>
  <c r="AF125" i="10" s="1"/>
  <c r="G124" i="12"/>
  <c r="T40" i="10"/>
  <c r="V40" i="10" s="1"/>
  <c r="AF40" i="10" s="1"/>
  <c r="G39" i="12"/>
  <c r="T100" i="10"/>
  <c r="V100" i="10" s="1"/>
  <c r="AF100" i="10" s="1"/>
  <c r="G99" i="12"/>
  <c r="T68" i="10"/>
  <c r="G67" i="12"/>
  <c r="T66" i="10"/>
  <c r="V66" i="10" s="1"/>
  <c r="AF66" i="10" s="1"/>
  <c r="G65" i="12"/>
  <c r="T38" i="10"/>
  <c r="V38" i="10" s="1"/>
  <c r="AF38" i="10" s="1"/>
  <c r="G37" i="12"/>
  <c r="T120" i="10"/>
  <c r="V120" i="10" s="1"/>
  <c r="AF120" i="10" s="1"/>
  <c r="G119" i="12"/>
  <c r="T145" i="10"/>
  <c r="V145" i="10" s="1"/>
  <c r="AF145" i="10" s="1"/>
  <c r="G144" i="12"/>
  <c r="T241" i="10"/>
  <c r="V241" i="10" s="1"/>
  <c r="AF241" i="10" s="1"/>
  <c r="G235" i="12"/>
  <c r="Y185" i="10"/>
  <c r="Z185" i="10" s="1"/>
  <c r="AA185" i="10" s="1"/>
  <c r="AE185" i="10" s="1"/>
  <c r="AK185" i="10" s="1"/>
  <c r="Y235" i="10"/>
  <c r="Z235" i="10" s="1"/>
  <c r="AA235" i="10" s="1"/>
  <c r="AE235" i="10" s="1"/>
  <c r="AK235" i="10" s="1"/>
  <c r="Y203" i="10"/>
  <c r="Z203" i="10" s="1"/>
  <c r="AA203" i="10" s="1"/>
  <c r="AE203" i="10" s="1"/>
  <c r="AK203" i="10" s="1"/>
  <c r="Y171" i="10"/>
  <c r="Z171" i="10" s="1"/>
  <c r="AA171" i="10" s="1"/>
  <c r="AE171" i="10" s="1"/>
  <c r="AK171" i="10" s="1"/>
  <c r="Y125" i="10"/>
  <c r="Z125" i="10" s="1"/>
  <c r="AA125" i="10" s="1"/>
  <c r="Y95" i="10"/>
  <c r="Z95" i="10" s="1"/>
  <c r="AA95" i="10" s="1"/>
  <c r="R53" i="9"/>
  <c r="G52" i="11"/>
  <c r="R55" i="9"/>
  <c r="T55" i="9" s="1"/>
  <c r="AF55" i="9" s="1"/>
  <c r="G54" i="11"/>
  <c r="R194" i="9"/>
  <c r="T194" i="9" s="1"/>
  <c r="AF194" i="9" s="1"/>
  <c r="G188" i="11"/>
  <c r="R226" i="9"/>
  <c r="T226" i="9" s="1"/>
  <c r="AF226" i="9" s="1"/>
  <c r="G220" i="11"/>
  <c r="R35" i="9"/>
  <c r="G34" i="11"/>
  <c r="R150" i="9"/>
  <c r="T150" i="9" s="1"/>
  <c r="AF150" i="9" s="1"/>
  <c r="G144" i="11"/>
  <c r="R177" i="9"/>
  <c r="T177" i="9" s="1"/>
  <c r="AF177" i="9" s="1"/>
  <c r="G171" i="11"/>
  <c r="R164" i="9"/>
  <c r="T164" i="9" s="1"/>
  <c r="AF164" i="9" s="1"/>
  <c r="G158" i="11"/>
  <c r="R80" i="9"/>
  <c r="T80" i="9" s="1"/>
  <c r="AF80" i="9" s="1"/>
  <c r="G79" i="11"/>
  <c r="R187" i="9"/>
  <c r="T187" i="9" s="1"/>
  <c r="AF187" i="9" s="1"/>
  <c r="G181" i="11"/>
  <c r="R197" i="9"/>
  <c r="G191" i="11"/>
  <c r="R95" i="9"/>
  <c r="T95" i="9" s="1"/>
  <c r="AF95" i="9" s="1"/>
  <c r="G94" i="11"/>
  <c r="R45" i="9"/>
  <c r="G44" i="11"/>
  <c r="R162" i="9"/>
  <c r="G156" i="11"/>
  <c r="R40" i="9"/>
  <c r="T40" i="9" s="1"/>
  <c r="AF40" i="9" s="1"/>
  <c r="G39" i="11"/>
  <c r="R49" i="9"/>
  <c r="G48" i="11"/>
  <c r="R180" i="9"/>
  <c r="G174" i="11"/>
  <c r="R172" i="9"/>
  <c r="T172" i="9" s="1"/>
  <c r="AF172" i="9" s="1"/>
  <c r="G166" i="11"/>
  <c r="R110" i="9"/>
  <c r="T110" i="9" s="1"/>
  <c r="AF110" i="9" s="1"/>
  <c r="G109" i="11"/>
  <c r="R119" i="9"/>
  <c r="T119" i="9" s="1"/>
  <c r="AF119" i="9" s="1"/>
  <c r="G118" i="11"/>
  <c r="R70" i="9"/>
  <c r="G69" i="11"/>
  <c r="R176" i="9"/>
  <c r="T176" i="9" s="1"/>
  <c r="AF176" i="9" s="1"/>
  <c r="G170" i="11"/>
  <c r="R195" i="9"/>
  <c r="G189" i="11"/>
  <c r="R91" i="9"/>
  <c r="G90" i="11"/>
  <c r="R81" i="9"/>
  <c r="T81" i="9" s="1"/>
  <c r="AF81" i="9" s="1"/>
  <c r="G80" i="11"/>
  <c r="R41" i="9"/>
  <c r="T41" i="9" s="1"/>
  <c r="AF41" i="9" s="1"/>
  <c r="G40" i="11"/>
  <c r="R216" i="9"/>
  <c r="G210" i="11"/>
  <c r="R126" i="9"/>
  <c r="T126" i="9" s="1"/>
  <c r="AF126" i="9" s="1"/>
  <c r="G125" i="11"/>
  <c r="R220" i="9"/>
  <c r="G214" i="11"/>
  <c r="R154" i="9"/>
  <c r="T154" i="9" s="1"/>
  <c r="AF154" i="9" s="1"/>
  <c r="G148" i="11"/>
  <c r="R153" i="9"/>
  <c r="T153" i="9" s="1"/>
  <c r="AF153" i="9" s="1"/>
  <c r="G147" i="11"/>
  <c r="R79" i="9"/>
  <c r="T79" i="9" s="1"/>
  <c r="AF79" i="9" s="1"/>
  <c r="G78" i="11"/>
  <c r="R105" i="9"/>
  <c r="T105" i="9" s="1"/>
  <c r="AF105" i="9" s="1"/>
  <c r="G104" i="11"/>
  <c r="R84" i="9"/>
  <c r="T84" i="9" s="1"/>
  <c r="AF84" i="9" s="1"/>
  <c r="G83" i="11"/>
  <c r="R44" i="9"/>
  <c r="T44" i="9" s="1"/>
  <c r="AF44" i="9" s="1"/>
  <c r="G43" i="11"/>
  <c r="R60" i="9"/>
  <c r="T60" i="9" s="1"/>
  <c r="AF60" i="9" s="1"/>
  <c r="G59" i="11"/>
  <c r="R193" i="9"/>
  <c r="T193" i="9" s="1"/>
  <c r="AF193" i="9" s="1"/>
  <c r="G187" i="11"/>
  <c r="R87" i="9"/>
  <c r="T87" i="9" s="1"/>
  <c r="AF87" i="9" s="1"/>
  <c r="G86" i="11"/>
  <c r="R69" i="9"/>
  <c r="T69" i="9" s="1"/>
  <c r="AF69" i="9" s="1"/>
  <c r="G68" i="11"/>
  <c r="R128" i="9"/>
  <c r="T128" i="9" s="1"/>
  <c r="AF128" i="9" s="1"/>
  <c r="T127" i="11"/>
  <c r="O32" i="9"/>
  <c r="G32" i="11"/>
  <c r="R174" i="9"/>
  <c r="T174" i="9" s="1"/>
  <c r="AF174" i="9" s="1"/>
  <c r="G168" i="11"/>
  <c r="R158" i="9"/>
  <c r="G152" i="11"/>
  <c r="R221" i="9"/>
  <c r="T221" i="9" s="1"/>
  <c r="AF221" i="9" s="1"/>
  <c r="G215" i="11"/>
  <c r="R200" i="9"/>
  <c r="G194" i="11"/>
  <c r="R37" i="9"/>
  <c r="T37" i="9" s="1"/>
  <c r="AF37" i="9" s="1"/>
  <c r="G36" i="11"/>
  <c r="R114" i="9"/>
  <c r="T114" i="9" s="1"/>
  <c r="AF114" i="9" s="1"/>
  <c r="G113" i="11"/>
  <c r="R77" i="9"/>
  <c r="T77" i="9" s="1"/>
  <c r="AF77" i="9" s="1"/>
  <c r="G76" i="11"/>
  <c r="R103" i="9"/>
  <c r="G102" i="11"/>
  <c r="R75" i="9"/>
  <c r="T75" i="9" s="1"/>
  <c r="AF75" i="9" s="1"/>
  <c r="G74" i="11"/>
  <c r="R127" i="9"/>
  <c r="T126" i="11"/>
  <c r="R52" i="9"/>
  <c r="T52" i="9" s="1"/>
  <c r="AF52" i="9" s="1"/>
  <c r="G51" i="11"/>
  <c r="R118" i="9"/>
  <c r="G117" i="11"/>
  <c r="R185" i="9"/>
  <c r="T185" i="9" s="1"/>
  <c r="AF185" i="9" s="1"/>
  <c r="G179" i="11"/>
  <c r="R36" i="9"/>
  <c r="G35" i="11"/>
  <c r="R63" i="9"/>
  <c r="T63" i="9" s="1"/>
  <c r="AF63" i="9" s="1"/>
  <c r="G62" i="11"/>
  <c r="R98" i="9"/>
  <c r="G97" i="11"/>
  <c r="R224" i="9"/>
  <c r="T224" i="9" s="1"/>
  <c r="AF224" i="9" s="1"/>
  <c r="G218" i="11"/>
  <c r="R168" i="9"/>
  <c r="T168" i="9" s="1"/>
  <c r="AF168" i="9" s="1"/>
  <c r="G162" i="11"/>
  <c r="R217" i="9"/>
  <c r="T217" i="9" s="1"/>
  <c r="AF217" i="9" s="1"/>
  <c r="G211" i="11"/>
  <c r="R186" i="9"/>
  <c r="G180" i="11"/>
  <c r="R66" i="9"/>
  <c r="T66" i="9" s="1"/>
  <c r="AF66" i="9" s="1"/>
  <c r="G65" i="11"/>
  <c r="R112" i="9"/>
  <c r="T112" i="9" s="1"/>
  <c r="AF112" i="9" s="1"/>
  <c r="G111" i="11"/>
  <c r="R89" i="9"/>
  <c r="T89" i="9" s="1"/>
  <c r="AF89" i="9" s="1"/>
  <c r="G88" i="11"/>
  <c r="R212" i="9"/>
  <c r="G206" i="11"/>
  <c r="R73" i="9"/>
  <c r="T73" i="9" s="1"/>
  <c r="AF73" i="9" s="1"/>
  <c r="G72" i="11"/>
  <c r="R192" i="9"/>
  <c r="T192" i="9" s="1"/>
  <c r="AF192" i="9" s="1"/>
  <c r="G186" i="11"/>
  <c r="R108" i="9"/>
  <c r="G107" i="11"/>
  <c r="R50" i="9"/>
  <c r="G49" i="11"/>
  <c r="R42" i="9"/>
  <c r="T42" i="9" s="1"/>
  <c r="AF42" i="9" s="1"/>
  <c r="G41" i="11"/>
  <c r="R171" i="9"/>
  <c r="T171" i="9" s="1"/>
  <c r="AF171" i="9" s="1"/>
  <c r="G165" i="11"/>
  <c r="R34" i="9"/>
  <c r="T34" i="9" s="1"/>
  <c r="AF34" i="9" s="1"/>
  <c r="G33" i="11"/>
  <c r="R240" i="9"/>
  <c r="G234" i="11"/>
  <c r="R237" i="9"/>
  <c r="T237" i="9" s="1"/>
  <c r="AF237" i="9" s="1"/>
  <c r="G231" i="11"/>
  <c r="R121" i="9"/>
  <c r="T121" i="9" s="1"/>
  <c r="AF121" i="9" s="1"/>
  <c r="G120" i="11"/>
  <c r="R219" i="9"/>
  <c r="T219" i="9" s="1"/>
  <c r="AF219" i="9" s="1"/>
  <c r="G213" i="11"/>
  <c r="R147" i="9"/>
  <c r="T147" i="9" s="1"/>
  <c r="AF147" i="9" s="1"/>
  <c r="G141" i="11"/>
  <c r="R57" i="9"/>
  <c r="T57" i="9" s="1"/>
  <c r="AF57" i="9" s="1"/>
  <c r="G56" i="11"/>
  <c r="R86" i="9"/>
  <c r="T86" i="9" s="1"/>
  <c r="AF86" i="9" s="1"/>
  <c r="G85" i="11"/>
  <c r="R152" i="9"/>
  <c r="T152" i="9" s="1"/>
  <c r="AF152" i="9" s="1"/>
  <c r="G146" i="11"/>
  <c r="R230" i="9"/>
  <c r="T230" i="9" s="1"/>
  <c r="AF230" i="9" s="1"/>
  <c r="G224" i="11"/>
  <c r="R109" i="9"/>
  <c r="T109" i="9" s="1"/>
  <c r="AF109" i="9" s="1"/>
  <c r="G108" i="11"/>
  <c r="R208" i="9"/>
  <c r="T208" i="9" s="1"/>
  <c r="AF208" i="9" s="1"/>
  <c r="G202" i="11"/>
  <c r="R58" i="9"/>
  <c r="T58" i="9" s="1"/>
  <c r="AF58" i="9" s="1"/>
  <c r="G57" i="11"/>
  <c r="R178" i="9"/>
  <c r="G172" i="11"/>
  <c r="R46" i="9"/>
  <c r="T46" i="9" s="1"/>
  <c r="AF46" i="9" s="1"/>
  <c r="G45" i="11"/>
  <c r="R227" i="9"/>
  <c r="T227" i="9" s="1"/>
  <c r="AF227" i="9" s="1"/>
  <c r="G221" i="11"/>
  <c r="R99" i="9"/>
  <c r="T99" i="9" s="1"/>
  <c r="AF99" i="9" s="1"/>
  <c r="G98" i="11"/>
  <c r="R145" i="9"/>
  <c r="G139" i="11"/>
  <c r="R238" i="9"/>
  <c r="T238" i="9" s="1"/>
  <c r="AF238" i="9" s="1"/>
  <c r="G232" i="11"/>
  <c r="R163" i="9"/>
  <c r="T163" i="9" s="1"/>
  <c r="AF163" i="9" s="1"/>
  <c r="G157" i="11"/>
  <c r="R120" i="9"/>
  <c r="G119" i="11"/>
  <c r="R203" i="9"/>
  <c r="G197" i="11"/>
  <c r="R189" i="9"/>
  <c r="T189" i="9" s="1"/>
  <c r="AF189" i="9" s="1"/>
  <c r="G183" i="11"/>
  <c r="R92" i="9"/>
  <c r="T92" i="9" s="1"/>
  <c r="AF92" i="9" s="1"/>
  <c r="G91" i="11"/>
  <c r="R85" i="9"/>
  <c r="T85" i="9" s="1"/>
  <c r="AF85" i="9" s="1"/>
  <c r="G84" i="11"/>
  <c r="R94" i="9"/>
  <c r="G93" i="11"/>
  <c r="R198" i="9"/>
  <c r="T198" i="9" s="1"/>
  <c r="AF198" i="9" s="1"/>
  <c r="G192" i="11"/>
  <c r="R239" i="9"/>
  <c r="G233" i="11"/>
  <c r="R38" i="9"/>
  <c r="G37" i="11"/>
  <c r="R146" i="9"/>
  <c r="G140" i="11"/>
  <c r="R47" i="9"/>
  <c r="T47" i="9" s="1"/>
  <c r="AF47" i="9" s="1"/>
  <c r="G46" i="11"/>
  <c r="R166" i="9"/>
  <c r="T166" i="9" s="1"/>
  <c r="AF166" i="9" s="1"/>
  <c r="G160" i="11"/>
  <c r="R225" i="9"/>
  <c r="T225" i="9" s="1"/>
  <c r="AF225" i="9" s="1"/>
  <c r="G219" i="11"/>
  <c r="R207" i="9"/>
  <c r="G201" i="11"/>
  <c r="R97" i="9"/>
  <c r="T97" i="9" s="1"/>
  <c r="AF97" i="9" s="1"/>
  <c r="G96" i="11"/>
  <c r="R124" i="9"/>
  <c r="T124" i="9" s="1"/>
  <c r="AF124" i="9" s="1"/>
  <c r="G123" i="11"/>
  <c r="R59" i="9"/>
  <c r="T59" i="9" s="1"/>
  <c r="AF59" i="9" s="1"/>
  <c r="G58" i="11"/>
  <c r="W79" i="9"/>
  <c r="X79" i="9" s="1"/>
  <c r="AA79" i="9" s="1"/>
  <c r="AE79" i="9" s="1"/>
  <c r="AK79" i="9" s="1"/>
  <c r="W121" i="9"/>
  <c r="X121" i="9" s="1"/>
  <c r="AA121" i="9" s="1"/>
  <c r="AE121" i="9" s="1"/>
  <c r="AK121" i="9" s="1"/>
  <c r="W105" i="9"/>
  <c r="X105" i="9" s="1"/>
  <c r="AA105" i="9" s="1"/>
  <c r="AE105" i="9" s="1"/>
  <c r="AK105" i="9" s="1"/>
  <c r="W89" i="9"/>
  <c r="X89" i="9" s="1"/>
  <c r="AA89" i="9" s="1"/>
  <c r="AE89" i="9" s="1"/>
  <c r="AK89" i="9" s="1"/>
  <c r="W57" i="9"/>
  <c r="X57" i="9" s="1"/>
  <c r="AA57" i="9" s="1"/>
  <c r="AE57" i="9" s="1"/>
  <c r="AK57" i="9" s="1"/>
  <c r="W129" i="9"/>
  <c r="X129" i="9" s="1"/>
  <c r="AA129" i="9" s="1"/>
  <c r="AE129" i="9" s="1"/>
  <c r="AK129" i="9" s="1"/>
  <c r="W117" i="9"/>
  <c r="X117" i="9" s="1"/>
  <c r="AA117" i="9" s="1"/>
  <c r="AE117" i="9" s="1"/>
  <c r="AK117" i="9" s="1"/>
  <c r="W53" i="9"/>
  <c r="X53" i="9" s="1"/>
  <c r="AA53" i="9" s="1"/>
  <c r="AE53" i="9" s="1"/>
  <c r="AK53" i="9" s="1"/>
  <c r="W97" i="9"/>
  <c r="X97" i="9" s="1"/>
  <c r="AA97" i="9" s="1"/>
  <c r="AE97" i="9" s="1"/>
  <c r="AK97" i="9" s="1"/>
  <c r="W120" i="9"/>
  <c r="X120" i="9" s="1"/>
  <c r="AA120" i="9" s="1"/>
  <c r="AE120" i="9" s="1"/>
  <c r="AK120" i="9" s="1"/>
  <c r="W104" i="9"/>
  <c r="X104" i="9" s="1"/>
  <c r="AA104" i="9" s="1"/>
  <c r="AE104" i="9" s="1"/>
  <c r="AK104" i="9" s="1"/>
  <c r="W55" i="9"/>
  <c r="X55" i="9" s="1"/>
  <c r="AA55" i="9" s="1"/>
  <c r="AE55" i="9" s="1"/>
  <c r="AK55" i="9" s="1"/>
  <c r="W111" i="9"/>
  <c r="X111" i="9" s="1"/>
  <c r="AA111" i="9" s="1"/>
  <c r="AE111" i="9" s="1"/>
  <c r="AK111" i="9" s="1"/>
  <c r="W125" i="9"/>
  <c r="X125" i="9" s="1"/>
  <c r="AA125" i="9" s="1"/>
  <c r="AE125" i="9" s="1"/>
  <c r="AK125" i="9" s="1"/>
  <c r="W109" i="9"/>
  <c r="X109" i="9" s="1"/>
  <c r="AA109" i="9" s="1"/>
  <c r="AE109" i="9" s="1"/>
  <c r="AK109" i="9" s="1"/>
  <c r="W61" i="9"/>
  <c r="X61" i="9" s="1"/>
  <c r="AA61" i="9" s="1"/>
  <c r="AE61" i="9" s="1"/>
  <c r="AK61" i="9" s="1"/>
  <c r="W123" i="9"/>
  <c r="X123" i="9" s="1"/>
  <c r="AA123" i="9" s="1"/>
  <c r="AE123" i="9" s="1"/>
  <c r="AK123" i="9" s="1"/>
  <c r="W107" i="9"/>
  <c r="X107" i="9" s="1"/>
  <c r="AA107" i="9" s="1"/>
  <c r="AE107" i="9" s="1"/>
  <c r="AK107" i="9" s="1"/>
  <c r="W59" i="9"/>
  <c r="X59" i="9" s="1"/>
  <c r="AA59" i="9" s="1"/>
  <c r="AE59" i="9" s="1"/>
  <c r="AK59" i="9" s="1"/>
  <c r="W119" i="9"/>
  <c r="X119" i="9" s="1"/>
  <c r="W103" i="9"/>
  <c r="X103" i="9" s="1"/>
  <c r="AA103" i="9" s="1"/>
  <c r="AE103" i="9" s="1"/>
  <c r="AK103" i="9" s="1"/>
  <c r="W93" i="9"/>
  <c r="X93" i="9" s="1"/>
  <c r="AA93" i="9" s="1"/>
  <c r="AE93" i="9" s="1"/>
  <c r="AK93" i="9" s="1"/>
  <c r="W73" i="9"/>
  <c r="X73" i="9" s="1"/>
  <c r="AA73" i="9" s="1"/>
  <c r="AE73" i="9" s="1"/>
  <c r="AK73" i="9" s="1"/>
  <c r="W62" i="9"/>
  <c r="X62" i="9" s="1"/>
  <c r="AA62" i="9" s="1"/>
  <c r="AE62" i="9" s="1"/>
  <c r="AK62" i="9" s="1"/>
  <c r="W124" i="9"/>
  <c r="X124" i="9" s="1"/>
  <c r="AA124" i="9" s="1"/>
  <c r="AE124" i="9" s="1"/>
  <c r="AK124" i="9" s="1"/>
  <c r="W92" i="9"/>
  <c r="X92" i="9" s="1"/>
  <c r="AA92" i="9" s="1"/>
  <c r="AE92" i="9" s="1"/>
  <c r="AK92" i="9" s="1"/>
  <c r="W60" i="9"/>
  <c r="X60" i="9" s="1"/>
  <c r="AA60" i="9" s="1"/>
  <c r="AE60" i="9" s="1"/>
  <c r="AK60" i="9" s="1"/>
  <c r="W108" i="9"/>
  <c r="X108" i="9" s="1"/>
  <c r="AA108" i="9" s="1"/>
  <c r="AE108" i="9" s="1"/>
  <c r="AK108" i="9" s="1"/>
  <c r="W95" i="9"/>
  <c r="X95" i="9" s="1"/>
  <c r="AA95" i="9" s="1"/>
  <c r="AE95" i="9" s="1"/>
  <c r="AK95" i="9" s="1"/>
  <c r="W75" i="9"/>
  <c r="X75" i="9" s="1"/>
  <c r="AA75" i="9" s="1"/>
  <c r="AE75" i="9" s="1"/>
  <c r="AK75" i="9" s="1"/>
  <c r="W113" i="9"/>
  <c r="X113" i="9" s="1"/>
  <c r="AA113" i="9" s="1"/>
  <c r="AE113" i="9" s="1"/>
  <c r="AK113" i="9" s="1"/>
  <c r="W101" i="9"/>
  <c r="X101" i="9" s="1"/>
  <c r="AA101" i="9" s="1"/>
  <c r="AE101" i="9" s="1"/>
  <c r="AK101" i="9" s="1"/>
  <c r="W85" i="9"/>
  <c r="X85" i="9" s="1"/>
  <c r="AA85" i="9" s="1"/>
  <c r="AE85" i="9" s="1"/>
  <c r="AK85" i="9" s="1"/>
  <c r="W126" i="9"/>
  <c r="X126" i="9" s="1"/>
  <c r="W110" i="9"/>
  <c r="X110" i="9" s="1"/>
  <c r="AA110" i="9" s="1"/>
  <c r="AE110" i="9" s="1"/>
  <c r="AK110" i="9" s="1"/>
  <c r="W81" i="9"/>
  <c r="X81" i="9" s="1"/>
  <c r="AA81" i="9" s="1"/>
  <c r="AE81" i="9" s="1"/>
  <c r="AK81" i="9" s="1"/>
  <c r="W87" i="9"/>
  <c r="X87" i="9" s="1"/>
  <c r="AA87" i="9" s="1"/>
  <c r="AE87" i="9" s="1"/>
  <c r="AK87" i="9" s="1"/>
  <c r="W71" i="9"/>
  <c r="X71" i="9" s="1"/>
  <c r="AA71" i="9" s="1"/>
  <c r="AE71" i="9" s="1"/>
  <c r="AK71" i="9" s="1"/>
  <c r="W133" i="9"/>
  <c r="X133" i="9" s="1"/>
  <c r="AA133" i="9" s="1"/>
  <c r="AE133" i="9" s="1"/>
  <c r="AK133" i="9" s="1"/>
  <c r="W69" i="9"/>
  <c r="X69" i="9" s="1"/>
  <c r="AA69" i="9" s="1"/>
  <c r="AE69" i="9" s="1"/>
  <c r="AK69" i="9" s="1"/>
  <c r="W131" i="9"/>
  <c r="X131" i="9" s="1"/>
  <c r="AA131" i="9" s="1"/>
  <c r="AE131" i="9" s="1"/>
  <c r="AK131" i="9" s="1"/>
  <c r="W115" i="9"/>
  <c r="X115" i="9" s="1"/>
  <c r="AA115" i="9" s="1"/>
  <c r="AE115" i="9" s="1"/>
  <c r="AK115" i="9" s="1"/>
  <c r="W83" i="9"/>
  <c r="X83" i="9" s="1"/>
  <c r="AA83" i="9" s="1"/>
  <c r="AE83" i="9" s="1"/>
  <c r="AK83" i="9" s="1"/>
  <c r="W67" i="9"/>
  <c r="X67" i="9" s="1"/>
  <c r="AA67" i="9" s="1"/>
  <c r="AE67" i="9" s="1"/>
  <c r="AK67" i="9" s="1"/>
  <c r="W51" i="9"/>
  <c r="X51" i="9" s="1"/>
  <c r="AA51" i="9" s="1"/>
  <c r="AE51" i="9" s="1"/>
  <c r="AK51" i="9" s="1"/>
  <c r="W94" i="9"/>
  <c r="X94" i="9" s="1"/>
  <c r="AA94" i="9" s="1"/>
  <c r="AE94" i="9" s="1"/>
  <c r="AK94" i="9" s="1"/>
  <c r="W78" i="9"/>
  <c r="X78" i="9" s="1"/>
  <c r="AA78" i="9" s="1"/>
  <c r="AE78" i="9" s="1"/>
  <c r="AK78" i="9" s="1"/>
  <c r="W65" i="9"/>
  <c r="X65" i="9" s="1"/>
  <c r="AA65" i="9" s="1"/>
  <c r="AE65" i="9" s="1"/>
  <c r="AK65" i="9" s="1"/>
  <c r="W42" i="9"/>
  <c r="X42" i="9" s="1"/>
  <c r="AA42" i="9" s="1"/>
  <c r="AE42" i="9" s="1"/>
  <c r="AK42" i="9" s="1"/>
  <c r="W76" i="9"/>
  <c r="X76" i="9" s="1"/>
  <c r="AA76" i="9" s="1"/>
  <c r="AE76" i="9" s="1"/>
  <c r="AK76" i="9" s="1"/>
  <c r="W127" i="9"/>
  <c r="X127" i="9" s="1"/>
  <c r="AA127" i="9" s="1"/>
  <c r="AE127" i="9" s="1"/>
  <c r="AK127" i="9" s="1"/>
  <c r="W63" i="9"/>
  <c r="X63" i="9" s="1"/>
  <c r="AA63" i="9" s="1"/>
  <c r="AE63" i="9" s="1"/>
  <c r="AK63" i="9" s="1"/>
  <c r="W91" i="9"/>
  <c r="X91" i="9" s="1"/>
  <c r="AA91" i="9" s="1"/>
  <c r="AE91" i="9" s="1"/>
  <c r="AK91" i="9" s="1"/>
  <c r="O217" i="10"/>
  <c r="Q217" i="10" s="1"/>
  <c r="O192" i="10"/>
  <c r="Q192" i="10" s="1"/>
  <c r="O237" i="10"/>
  <c r="Q237" i="10" s="1"/>
  <c r="O197" i="10"/>
  <c r="Q197" i="10" s="1"/>
  <c r="O232" i="10"/>
  <c r="Q232" i="10" s="1"/>
  <c r="O124" i="10"/>
  <c r="Q124" i="10" s="1"/>
  <c r="O54" i="10"/>
  <c r="Q54" i="10" s="1"/>
  <c r="O222" i="10"/>
  <c r="Q222" i="10" s="1"/>
  <c r="O187" i="10"/>
  <c r="Q187" i="10" s="1"/>
  <c r="O227" i="10"/>
  <c r="Q227" i="10" s="1"/>
  <c r="T176" i="10"/>
  <c r="V176" i="10" s="1"/>
  <c r="AF176" i="10" s="1"/>
  <c r="T246" i="10"/>
  <c r="V246" i="10" s="1"/>
  <c r="AF246" i="10" s="1"/>
  <c r="T214" i="10"/>
  <c r="V214" i="10" s="1"/>
  <c r="AF214" i="10" s="1"/>
  <c r="T182" i="10"/>
  <c r="T164" i="10"/>
  <c r="V164" i="10" s="1"/>
  <c r="AF164" i="10" s="1"/>
  <c r="T213" i="10"/>
  <c r="V213" i="10" s="1"/>
  <c r="AF213" i="10" s="1"/>
  <c r="T157" i="10"/>
  <c r="T192" i="10"/>
  <c r="T239" i="10"/>
  <c r="V239" i="10" s="1"/>
  <c r="AF239" i="10" s="1"/>
  <c r="T207" i="10"/>
  <c r="T175" i="10"/>
  <c r="V175" i="10" s="1"/>
  <c r="AF175" i="10" s="1"/>
  <c r="T248" i="10"/>
  <c r="V248" i="10" s="1"/>
  <c r="AF248" i="10" s="1"/>
  <c r="T242" i="10"/>
  <c r="T210" i="10"/>
  <c r="V210" i="10" s="1"/>
  <c r="AF210" i="10" s="1"/>
  <c r="T178" i="10"/>
  <c r="V178" i="10" s="1"/>
  <c r="AF178" i="10" s="1"/>
  <c r="T197" i="10"/>
  <c r="T160" i="10"/>
  <c r="V160" i="10" s="1"/>
  <c r="AF160" i="10" s="1"/>
  <c r="T235" i="10"/>
  <c r="V235" i="10" s="1"/>
  <c r="AF235" i="10" s="1"/>
  <c r="T203" i="10"/>
  <c r="V203" i="10" s="1"/>
  <c r="AF203" i="10" s="1"/>
  <c r="T171" i="10"/>
  <c r="V171" i="10" s="1"/>
  <c r="AF171" i="10" s="1"/>
  <c r="T212" i="10"/>
  <c r="T238" i="10"/>
  <c r="V238" i="10" s="1"/>
  <c r="AF238" i="10" s="1"/>
  <c r="T206" i="10"/>
  <c r="V206" i="10" s="1"/>
  <c r="AF206" i="10" s="1"/>
  <c r="T174" i="10"/>
  <c r="V174" i="10" s="1"/>
  <c r="AF174" i="10" s="1"/>
  <c r="T237" i="10"/>
  <c r="T193" i="10"/>
  <c r="V193" i="10" s="1"/>
  <c r="AF193" i="10" s="1"/>
  <c r="T236" i="10"/>
  <c r="V236" i="10" s="1"/>
  <c r="AF236" i="10" s="1"/>
  <c r="T231" i="10"/>
  <c r="V231" i="10" s="1"/>
  <c r="AF231" i="10" s="1"/>
  <c r="T199" i="10"/>
  <c r="AF199" i="10" s="1"/>
  <c r="T167" i="10"/>
  <c r="T208" i="10"/>
  <c r="V208" i="10" s="1"/>
  <c r="AF208" i="10" s="1"/>
  <c r="O131" i="10"/>
  <c r="Q131" i="10" s="1"/>
  <c r="O110" i="10"/>
  <c r="Q110" i="10" s="1"/>
  <c r="S152" i="10"/>
  <c r="O182" i="10"/>
  <c r="Q182" i="10" s="1"/>
  <c r="T234" i="10"/>
  <c r="T202" i="10"/>
  <c r="T170" i="10"/>
  <c r="V170" i="10" s="1"/>
  <c r="AF170" i="10" s="1"/>
  <c r="T240" i="10"/>
  <c r="V240" i="10" s="1"/>
  <c r="AF240" i="10" s="1"/>
  <c r="T233" i="10"/>
  <c r="V233" i="10" s="1"/>
  <c r="AF233" i="10" s="1"/>
  <c r="T189" i="10"/>
  <c r="V189" i="10" s="1"/>
  <c r="AF189" i="10" s="1"/>
  <c r="T204" i="10"/>
  <c r="V204" i="10" s="1"/>
  <c r="AF204" i="10" s="1"/>
  <c r="T227" i="10"/>
  <c r="T195" i="10"/>
  <c r="T163" i="10"/>
  <c r="V163" i="10" s="1"/>
  <c r="AF163" i="10" s="1"/>
  <c r="T172" i="10"/>
  <c r="V172" i="10" s="1"/>
  <c r="AF172" i="10" s="1"/>
  <c r="O177" i="10"/>
  <c r="Q177" i="10" s="1"/>
  <c r="T230" i="10"/>
  <c r="V230" i="10" s="1"/>
  <c r="AF230" i="10" s="1"/>
  <c r="T198" i="10"/>
  <c r="V198" i="10" s="1"/>
  <c r="AF198" i="10" s="1"/>
  <c r="T166" i="10"/>
  <c r="T228" i="10"/>
  <c r="V228" i="10" s="1"/>
  <c r="AF228" i="10" s="1"/>
  <c r="T229" i="10"/>
  <c r="V229" i="10" s="1"/>
  <c r="AF229" i="10" s="1"/>
  <c r="T185" i="10"/>
  <c r="V185" i="10" s="1"/>
  <c r="AF185" i="10" s="1"/>
  <c r="T184" i="10"/>
  <c r="V184" i="10" s="1"/>
  <c r="AF184" i="10" s="1"/>
  <c r="T244" i="10"/>
  <c r="V244" i="10" s="1"/>
  <c r="AF244" i="10" s="1"/>
  <c r="T223" i="10"/>
  <c r="V223" i="10" s="1"/>
  <c r="AF223" i="10" s="1"/>
  <c r="T191" i="10"/>
  <c r="V191" i="10" s="1"/>
  <c r="AF191" i="10" s="1"/>
  <c r="T159" i="10"/>
  <c r="V159" i="10" s="1"/>
  <c r="AF159" i="10" s="1"/>
  <c r="O212" i="10"/>
  <c r="Q212" i="10" s="1"/>
  <c r="O167" i="10"/>
  <c r="Q167" i="10" s="1"/>
  <c r="T219" i="10"/>
  <c r="V219" i="10" s="1"/>
  <c r="AF219" i="10" s="1"/>
  <c r="T226" i="10"/>
  <c r="V226" i="10" s="1"/>
  <c r="AF226" i="10" s="1"/>
  <c r="T194" i="10"/>
  <c r="V194" i="10" s="1"/>
  <c r="AF194" i="10" s="1"/>
  <c r="T162" i="10"/>
  <c r="T196" i="10"/>
  <c r="V196" i="10" s="1"/>
  <c r="AF196" i="10" s="1"/>
  <c r="T225" i="10"/>
  <c r="V225" i="10" s="1"/>
  <c r="AF225" i="10" s="1"/>
  <c r="T181" i="10"/>
  <c r="V181" i="10" s="1"/>
  <c r="AF181" i="10" s="1"/>
  <c r="T232" i="10"/>
  <c r="T251" i="10"/>
  <c r="V251" i="10" s="1"/>
  <c r="AF251" i="10" s="1"/>
  <c r="T220" i="10"/>
  <c r="V220" i="10" s="1"/>
  <c r="AF220" i="10" s="1"/>
  <c r="T187" i="10"/>
  <c r="O247" i="10"/>
  <c r="Q247" i="10" s="1"/>
  <c r="O207" i="10"/>
  <c r="Q207" i="10" s="1"/>
  <c r="O162" i="10"/>
  <c r="Q162" i="10" s="1"/>
  <c r="T216" i="10"/>
  <c r="V216" i="10" s="1"/>
  <c r="AF216" i="10" s="1"/>
  <c r="T222" i="10"/>
  <c r="T190" i="10"/>
  <c r="V190" i="10" s="1"/>
  <c r="AF190" i="10" s="1"/>
  <c r="T158" i="10"/>
  <c r="V158" i="10" s="1"/>
  <c r="AF158" i="10" s="1"/>
  <c r="T188" i="10"/>
  <c r="V188" i="10" s="1"/>
  <c r="AF188" i="10" s="1"/>
  <c r="T221" i="10"/>
  <c r="V221" i="10" s="1"/>
  <c r="AF221" i="10" s="1"/>
  <c r="T177" i="10"/>
  <c r="T224" i="10"/>
  <c r="V224" i="10" s="1"/>
  <c r="AF224" i="10" s="1"/>
  <c r="T247" i="10"/>
  <c r="T215" i="10"/>
  <c r="V215" i="10" s="1"/>
  <c r="AF215" i="10" s="1"/>
  <c r="T183" i="10"/>
  <c r="V183" i="10" s="1"/>
  <c r="AF183" i="10" s="1"/>
  <c r="O242" i="10"/>
  <c r="Q242" i="10" s="1"/>
  <c r="O202" i="10"/>
  <c r="Q202" i="10" s="1"/>
  <c r="O157" i="10"/>
  <c r="Q157" i="10" s="1"/>
  <c r="T179" i="10"/>
  <c r="V179" i="10" s="1"/>
  <c r="AF179" i="10" s="1"/>
  <c r="T250" i="10"/>
  <c r="T218" i="10"/>
  <c r="V218" i="10" s="1"/>
  <c r="AF218" i="10" s="1"/>
  <c r="T186" i="10"/>
  <c r="V186" i="10" s="1"/>
  <c r="AF186" i="10" s="1"/>
  <c r="T217" i="10"/>
  <c r="T173" i="10"/>
  <c r="T200" i="10"/>
  <c r="V200" i="10" s="1"/>
  <c r="AF200" i="10" s="1"/>
  <c r="T243" i="10"/>
  <c r="V243" i="10" s="1"/>
  <c r="AF243" i="10" s="1"/>
  <c r="T211" i="10"/>
  <c r="T180" i="10"/>
  <c r="O117" i="10"/>
  <c r="Q117" i="10" s="1"/>
  <c r="V106" i="10"/>
  <c r="AF106" i="10" s="1"/>
  <c r="V101" i="10"/>
  <c r="AF101" i="10" s="1"/>
  <c r="O172" i="10"/>
  <c r="Q172" i="10" s="1"/>
  <c r="V150" i="10"/>
  <c r="AF150" i="10" s="1"/>
  <c r="O103" i="10"/>
  <c r="Q103" i="10" s="1"/>
  <c r="W43" i="9"/>
  <c r="X43" i="9" s="1"/>
  <c r="AA43" i="9" s="1"/>
  <c r="AE43" i="9" s="1"/>
  <c r="AK43" i="9" s="1"/>
  <c r="W41" i="9"/>
  <c r="X41" i="9" s="1"/>
  <c r="AA41" i="9" s="1"/>
  <c r="AE41" i="9" s="1"/>
  <c r="AK41" i="9" s="1"/>
  <c r="W50" i="9"/>
  <c r="X50" i="9" s="1"/>
  <c r="AA50" i="9" s="1"/>
  <c r="AE50" i="9" s="1"/>
  <c r="AK50" i="9" s="1"/>
  <c r="W132" i="9"/>
  <c r="X132" i="9" s="1"/>
  <c r="AA132" i="9" s="1"/>
  <c r="AE132" i="9" s="1"/>
  <c r="AK132" i="9" s="1"/>
  <c r="W116" i="9"/>
  <c r="X116" i="9" s="1"/>
  <c r="AA116" i="9" s="1"/>
  <c r="AE116" i="9" s="1"/>
  <c r="AK116" i="9" s="1"/>
  <c r="W100" i="9"/>
  <c r="X100" i="9" s="1"/>
  <c r="AA100" i="9" s="1"/>
  <c r="AE100" i="9" s="1"/>
  <c r="AK100" i="9" s="1"/>
  <c r="W84" i="9"/>
  <c r="X84" i="9" s="1"/>
  <c r="AA84" i="9" s="1"/>
  <c r="AE84" i="9" s="1"/>
  <c r="AK84" i="9" s="1"/>
  <c r="W68" i="9"/>
  <c r="X68" i="9" s="1"/>
  <c r="AA68" i="9" s="1"/>
  <c r="AE68" i="9" s="1"/>
  <c r="AK68" i="9" s="1"/>
  <c r="W52" i="9"/>
  <c r="X52" i="9" s="1"/>
  <c r="AA52" i="9" s="1"/>
  <c r="AE52" i="9" s="1"/>
  <c r="AK52" i="9" s="1"/>
  <c r="W49" i="9"/>
  <c r="X49" i="9" s="1"/>
  <c r="AA49" i="9" s="1"/>
  <c r="AE49" i="9" s="1"/>
  <c r="AK49" i="9" s="1"/>
  <c r="W88" i="9"/>
  <c r="X88" i="9" s="1"/>
  <c r="AA88" i="9" s="1"/>
  <c r="AE88" i="9" s="1"/>
  <c r="AK88" i="9" s="1"/>
  <c r="W72" i="9"/>
  <c r="X72" i="9" s="1"/>
  <c r="AA72" i="9" s="1"/>
  <c r="AE72" i="9" s="1"/>
  <c r="AK72" i="9" s="1"/>
  <c r="W56" i="9"/>
  <c r="X56" i="9" s="1"/>
  <c r="AA56" i="9" s="1"/>
  <c r="AE56" i="9" s="1"/>
  <c r="AK56" i="9" s="1"/>
  <c r="W35" i="9"/>
  <c r="X35" i="9" s="1"/>
  <c r="AA35" i="9" s="1"/>
  <c r="AE35" i="9" s="1"/>
  <c r="AK35" i="9" s="1"/>
  <c r="W134" i="9"/>
  <c r="X134" i="9" s="1"/>
  <c r="AA134" i="9" s="1"/>
  <c r="AE134" i="9" s="1"/>
  <c r="AK134" i="9" s="1"/>
  <c r="W118" i="9"/>
  <c r="X118" i="9" s="1"/>
  <c r="AA118" i="9" s="1"/>
  <c r="AE118" i="9" s="1"/>
  <c r="AK118" i="9" s="1"/>
  <c r="W102" i="9"/>
  <c r="X102" i="9" s="1"/>
  <c r="AA102" i="9" s="1"/>
  <c r="AE102" i="9" s="1"/>
  <c r="AK102" i="9" s="1"/>
  <c r="W86" i="9"/>
  <c r="X86" i="9" s="1"/>
  <c r="AA86" i="9" s="1"/>
  <c r="AE86" i="9" s="1"/>
  <c r="AK86" i="9" s="1"/>
  <c r="W70" i="9"/>
  <c r="X70" i="9" s="1"/>
  <c r="AA70" i="9" s="1"/>
  <c r="AE70" i="9" s="1"/>
  <c r="AK70" i="9" s="1"/>
  <c r="W54" i="9"/>
  <c r="X54" i="9" s="1"/>
  <c r="AA54" i="9" s="1"/>
  <c r="AE54" i="9" s="1"/>
  <c r="AK54" i="9" s="1"/>
  <c r="W45" i="9"/>
  <c r="X45" i="9" s="1"/>
  <c r="AA45" i="9" s="1"/>
  <c r="AE45" i="9" s="1"/>
  <c r="AK45" i="9" s="1"/>
  <c r="W40" i="9"/>
  <c r="X40" i="9" s="1"/>
  <c r="AA40" i="9" s="1"/>
  <c r="AE40" i="9" s="1"/>
  <c r="AK40" i="9" s="1"/>
  <c r="W130" i="9"/>
  <c r="X130" i="9" s="1"/>
  <c r="AA130" i="9" s="1"/>
  <c r="AE130" i="9" s="1"/>
  <c r="AK130" i="9" s="1"/>
  <c r="W114" i="9"/>
  <c r="X114" i="9" s="1"/>
  <c r="AA114" i="9" s="1"/>
  <c r="AE114" i="9" s="1"/>
  <c r="AK114" i="9" s="1"/>
  <c r="W98" i="9"/>
  <c r="X98" i="9" s="1"/>
  <c r="AA98" i="9" s="1"/>
  <c r="AE98" i="9" s="1"/>
  <c r="AK98" i="9" s="1"/>
  <c r="W82" i="9"/>
  <c r="X82" i="9" s="1"/>
  <c r="AA82" i="9" s="1"/>
  <c r="AE82" i="9" s="1"/>
  <c r="AK82" i="9" s="1"/>
  <c r="W66" i="9"/>
  <c r="X66" i="9" s="1"/>
  <c r="AA66" i="9" s="1"/>
  <c r="AE66" i="9" s="1"/>
  <c r="AK66" i="9" s="1"/>
  <c r="W34" i="9"/>
  <c r="X34" i="9" s="1"/>
  <c r="AA34" i="9" s="1"/>
  <c r="AE34" i="9" s="1"/>
  <c r="AK34" i="9" s="1"/>
  <c r="W128" i="9"/>
  <c r="X128" i="9" s="1"/>
  <c r="AA128" i="9" s="1"/>
  <c r="AE128" i="9" s="1"/>
  <c r="AK128" i="9" s="1"/>
  <c r="W112" i="9"/>
  <c r="X112" i="9" s="1"/>
  <c r="AA112" i="9" s="1"/>
  <c r="AE112" i="9" s="1"/>
  <c r="AK112" i="9" s="1"/>
  <c r="W96" i="9"/>
  <c r="X96" i="9" s="1"/>
  <c r="AA96" i="9" s="1"/>
  <c r="AE96" i="9" s="1"/>
  <c r="AK96" i="9" s="1"/>
  <c r="W80" i="9"/>
  <c r="X80" i="9" s="1"/>
  <c r="AA80" i="9" s="1"/>
  <c r="AE80" i="9" s="1"/>
  <c r="AK80" i="9" s="1"/>
  <c r="W64" i="9"/>
  <c r="X64" i="9" s="1"/>
  <c r="AA64" i="9" s="1"/>
  <c r="AE64" i="9" s="1"/>
  <c r="AK64" i="9" s="1"/>
  <c r="W122" i="9"/>
  <c r="X122" i="9" s="1"/>
  <c r="AA122" i="9" s="1"/>
  <c r="AE122" i="9" s="1"/>
  <c r="AK122" i="9" s="1"/>
  <c r="W106" i="9"/>
  <c r="X106" i="9" s="1"/>
  <c r="AA106" i="9" s="1"/>
  <c r="AE106" i="9" s="1"/>
  <c r="AK106" i="9" s="1"/>
  <c r="W90" i="9"/>
  <c r="X90" i="9" s="1"/>
  <c r="AA90" i="9" s="1"/>
  <c r="AE90" i="9" s="1"/>
  <c r="AK90" i="9" s="1"/>
  <c r="W74" i="9"/>
  <c r="X74" i="9" s="1"/>
  <c r="AA74" i="9" s="1"/>
  <c r="AE74" i="9" s="1"/>
  <c r="AK74" i="9" s="1"/>
  <c r="W58" i="9"/>
  <c r="X58" i="9" s="1"/>
  <c r="AA58" i="9" s="1"/>
  <c r="AE58" i="9" s="1"/>
  <c r="AK58" i="9" s="1"/>
  <c r="W48" i="9"/>
  <c r="X48" i="9" s="1"/>
  <c r="AA48" i="9" s="1"/>
  <c r="AE48" i="9" s="1"/>
  <c r="AK48" i="9" s="1"/>
  <c r="N24" i="9"/>
  <c r="X33" i="9"/>
  <c r="W46" i="9"/>
  <c r="X46" i="9" s="1"/>
  <c r="AA46" i="9" s="1"/>
  <c r="AE46" i="9" s="1"/>
  <c r="AK46" i="9" s="1"/>
  <c r="W38" i="9"/>
  <c r="X38" i="9" s="1"/>
  <c r="AA38" i="9" s="1"/>
  <c r="AE38" i="9" s="1"/>
  <c r="AK38" i="9" s="1"/>
  <c r="W47" i="9"/>
  <c r="X47" i="9" s="1"/>
  <c r="AA47" i="9" s="1"/>
  <c r="AE47" i="9" s="1"/>
  <c r="AK47" i="9" s="1"/>
  <c r="W39" i="9"/>
  <c r="X39" i="9" s="1"/>
  <c r="AA39" i="9" s="1"/>
  <c r="AE39" i="9" s="1"/>
  <c r="AK39" i="9" s="1"/>
  <c r="W44" i="9"/>
  <c r="X44" i="9" s="1"/>
  <c r="AA44" i="9" s="1"/>
  <c r="AE44" i="9" s="1"/>
  <c r="AK44" i="9" s="1"/>
  <c r="W36" i="9"/>
  <c r="X36" i="9" s="1"/>
  <c r="AA36" i="9" s="1"/>
  <c r="AE36" i="9" s="1"/>
  <c r="AK36" i="9" s="1"/>
  <c r="W37" i="9"/>
  <c r="X37" i="9" s="1"/>
  <c r="AA37" i="9" s="1"/>
  <c r="AE37" i="9" s="1"/>
  <c r="AK37" i="9" s="1"/>
  <c r="O56" i="9"/>
  <c r="R56" i="9"/>
  <c r="T56" i="9" s="1"/>
  <c r="AF56" i="9" s="1"/>
  <c r="R33" i="9"/>
  <c r="S32" i="9" s="1"/>
  <c r="O171" i="9"/>
  <c r="O221" i="9"/>
  <c r="O86" i="9"/>
  <c r="O34" i="9"/>
  <c r="O131" i="9"/>
  <c r="O126" i="9"/>
  <c r="O166" i="9"/>
  <c r="O81" i="9"/>
  <c r="O226" i="9"/>
  <c r="O91" i="9"/>
  <c r="Q136" i="9"/>
  <c r="O44" i="9"/>
  <c r="O146" i="9"/>
  <c r="R131" i="9"/>
  <c r="S131" i="9" s="1"/>
  <c r="T147" i="10"/>
  <c r="T139" i="10"/>
  <c r="V128" i="10"/>
  <c r="AF128" i="10" s="1"/>
  <c r="T92" i="10"/>
  <c r="T74" i="10"/>
  <c r="T67" i="10"/>
  <c r="Y10" i="10"/>
  <c r="AM13" i="10"/>
  <c r="O47" i="10"/>
  <c r="Q47" i="10" s="1"/>
  <c r="T47" i="10"/>
  <c r="T126" i="10"/>
  <c r="T129" i="10"/>
  <c r="T143" i="10"/>
  <c r="V115" i="10"/>
  <c r="AF115" i="10" s="1"/>
  <c r="T71" i="10"/>
  <c r="T49" i="10"/>
  <c r="V69" i="10"/>
  <c r="AF69" i="10" s="1"/>
  <c r="T51" i="10"/>
  <c r="V64" i="10"/>
  <c r="AF64" i="10" s="1"/>
  <c r="V42" i="10"/>
  <c r="AF42" i="10" s="1"/>
  <c r="O138" i="10"/>
  <c r="Q138" i="10" s="1"/>
  <c r="T116" i="10"/>
  <c r="V113" i="10"/>
  <c r="AF113" i="10" s="1"/>
  <c r="T144" i="10"/>
  <c r="V118" i="10"/>
  <c r="AF118" i="10" s="1"/>
  <c r="T75" i="10"/>
  <c r="O75" i="10"/>
  <c r="Q75" i="10" s="1"/>
  <c r="T44" i="10"/>
  <c r="O89" i="10"/>
  <c r="Q89" i="10" s="1"/>
  <c r="T46" i="10"/>
  <c r="O40" i="10"/>
  <c r="Q40" i="10" s="1"/>
  <c r="V65" i="10"/>
  <c r="AF65" i="10" s="1"/>
  <c r="T34" i="10"/>
  <c r="O33" i="10"/>
  <c r="Q33" i="10" s="1"/>
  <c r="T133" i="10"/>
  <c r="T135" i="10"/>
  <c r="T122" i="10"/>
  <c r="V99" i="10"/>
  <c r="AF99" i="10" s="1"/>
  <c r="V104" i="10"/>
  <c r="AF104" i="10" s="1"/>
  <c r="V93" i="10"/>
  <c r="AF93" i="10" s="1"/>
  <c r="T39" i="10"/>
  <c r="D10" i="10"/>
  <c r="G9" i="10"/>
  <c r="J9" i="10" s="1"/>
  <c r="G5" i="10"/>
  <c r="T149" i="10"/>
  <c r="T130" i="10"/>
  <c r="T134" i="10"/>
  <c r="O145" i="10"/>
  <c r="Q145" i="10" s="1"/>
  <c r="V132" i="10"/>
  <c r="AF132" i="10" s="1"/>
  <c r="V112" i="10"/>
  <c r="AF112" i="10" s="1"/>
  <c r="T90" i="10"/>
  <c r="V97" i="10"/>
  <c r="AF97" i="10" s="1"/>
  <c r="T88" i="10"/>
  <c r="V89" i="10"/>
  <c r="AF89" i="10" s="1"/>
  <c r="T62" i="10"/>
  <c r="V68" i="10"/>
  <c r="AF68" i="10" s="1"/>
  <c r="T114" i="10"/>
  <c r="V141" i="10"/>
  <c r="AF141" i="10" s="1"/>
  <c r="T86" i="10"/>
  <c r="T87" i="10"/>
  <c r="T63" i="10"/>
  <c r="T57" i="10"/>
  <c r="O61" i="10"/>
  <c r="Q61" i="10" s="1"/>
  <c r="T148" i="10"/>
  <c r="T119" i="10"/>
  <c r="T108" i="10"/>
  <c r="V84" i="10"/>
  <c r="AF84" i="10" s="1"/>
  <c r="T96" i="10"/>
  <c r="O96" i="10"/>
  <c r="Q96" i="10" s="1"/>
  <c r="V95" i="10"/>
  <c r="AF95" i="10" s="1"/>
  <c r="T78" i="10"/>
  <c r="T56" i="10"/>
  <c r="T58" i="10"/>
  <c r="AZ156" i="10"/>
  <c r="AZ31" i="10"/>
  <c r="BH31" i="10"/>
  <c r="Y9" i="10"/>
  <c r="N152" i="10"/>
  <c r="O68" i="10"/>
  <c r="Q68" i="10" s="1"/>
  <c r="V37" i="10"/>
  <c r="AF37" i="10" s="1"/>
  <c r="T140" i="10"/>
  <c r="V110" i="10"/>
  <c r="AF110" i="10" s="1"/>
  <c r="T111" i="10"/>
  <c r="T109" i="10"/>
  <c r="V81" i="10"/>
  <c r="AF81" i="10" s="1"/>
  <c r="O82" i="10"/>
  <c r="Q82" i="10" s="1"/>
  <c r="T82" i="10"/>
  <c r="T98" i="10"/>
  <c r="T76" i="10"/>
  <c r="T79" i="10"/>
  <c r="V94" i="10"/>
  <c r="AF94" i="10" s="1"/>
  <c r="T55" i="10"/>
  <c r="V54" i="10"/>
  <c r="AF54" i="10" s="1"/>
  <c r="V35" i="10"/>
  <c r="AF35" i="10" s="1"/>
  <c r="V60" i="10"/>
  <c r="AF60" i="10" s="1"/>
  <c r="AZ140" i="9"/>
  <c r="AZ31" i="9"/>
  <c r="R236" i="9"/>
  <c r="O236" i="9"/>
  <c r="R201" i="9"/>
  <c r="O201" i="9"/>
  <c r="R205" i="9"/>
  <c r="R184" i="9"/>
  <c r="T146" i="9"/>
  <c r="AF146" i="9" s="1"/>
  <c r="R155" i="9"/>
  <c r="R125" i="9"/>
  <c r="T133" i="9"/>
  <c r="AF133" i="9" s="1"/>
  <c r="R96" i="9"/>
  <c r="O96" i="9"/>
  <c r="R74" i="9"/>
  <c r="R71" i="9"/>
  <c r="O71" i="9"/>
  <c r="T36" i="9"/>
  <c r="AF36" i="9" s="1"/>
  <c r="R234" i="9"/>
  <c r="R232" i="9"/>
  <c r="T240" i="9"/>
  <c r="AF240" i="9" s="1"/>
  <c r="R233" i="9"/>
  <c r="T216" i="9"/>
  <c r="AF216" i="9" s="1"/>
  <c r="R191" i="9"/>
  <c r="O191" i="9"/>
  <c r="R190" i="9"/>
  <c r="R144" i="9"/>
  <c r="R159" i="9"/>
  <c r="R130" i="9"/>
  <c r="R68" i="9"/>
  <c r="R64" i="9"/>
  <c r="R67" i="9"/>
  <c r="R102" i="9"/>
  <c r="T53" i="9"/>
  <c r="AF53" i="9" s="1"/>
  <c r="R48" i="9"/>
  <c r="R39" i="9"/>
  <c r="O39" i="9"/>
  <c r="T38" i="9"/>
  <c r="AF38" i="9" s="1"/>
  <c r="R218" i="9"/>
  <c r="R165" i="9"/>
  <c r="R183" i="9"/>
  <c r="T180" i="9"/>
  <c r="AF180" i="9" s="1"/>
  <c r="R111" i="9"/>
  <c r="O111" i="9"/>
  <c r="O61" i="9"/>
  <c r="R61" i="9"/>
  <c r="T239" i="9"/>
  <c r="AF239" i="9" s="1"/>
  <c r="R228" i="9"/>
  <c r="O216" i="9"/>
  <c r="R214" i="9"/>
  <c r="T200" i="9"/>
  <c r="AF200" i="9" s="1"/>
  <c r="O211" i="9"/>
  <c r="R211" i="9"/>
  <c r="R170" i="9"/>
  <c r="R182" i="9"/>
  <c r="R116" i="9"/>
  <c r="O116" i="9"/>
  <c r="T158" i="9"/>
  <c r="AF158" i="9" s="1"/>
  <c r="T134" i="9"/>
  <c r="AF134" i="9" s="1"/>
  <c r="R113" i="9"/>
  <c r="R88" i="9"/>
  <c r="R54" i="9"/>
  <c r="R62" i="9"/>
  <c r="BH140" i="9"/>
  <c r="BH31" i="9"/>
  <c r="Y9" i="9"/>
  <c r="R43" i="9"/>
  <c r="R215" i="9"/>
  <c r="R179" i="9"/>
  <c r="R210" i="9"/>
  <c r="R160" i="9"/>
  <c r="R117" i="9"/>
  <c r="T127" i="9"/>
  <c r="AF127" i="9" s="1"/>
  <c r="R115" i="9"/>
  <c r="T94" i="9"/>
  <c r="AF94" i="9" s="1"/>
  <c r="R51" i="9"/>
  <c r="O101" i="9"/>
  <c r="R101" i="9"/>
  <c r="R229" i="9"/>
  <c r="R209" i="9"/>
  <c r="R169" i="9"/>
  <c r="O181" i="9"/>
  <c r="R181" i="9"/>
  <c r="R173" i="9"/>
  <c r="R157" i="9"/>
  <c r="R175" i="9"/>
  <c r="T132" i="9"/>
  <c r="AF132" i="9" s="1"/>
  <c r="R122" i="9"/>
  <c r="R107" i="9"/>
  <c r="T103" i="9"/>
  <c r="AF103" i="9" s="1"/>
  <c r="R90" i="9"/>
  <c r="T118" i="9"/>
  <c r="AF118" i="9" s="1"/>
  <c r="T45" i="9"/>
  <c r="AF45" i="9" s="1"/>
  <c r="R222" i="9"/>
  <c r="R204" i="9"/>
  <c r="T207" i="9"/>
  <c r="AF207" i="9" s="1"/>
  <c r="T220" i="9"/>
  <c r="AF220" i="9" s="1"/>
  <c r="T195" i="9"/>
  <c r="AF195" i="9" s="1"/>
  <c r="O161" i="9"/>
  <c r="R161" i="9"/>
  <c r="R167" i="9"/>
  <c r="O176" i="9"/>
  <c r="R148" i="9"/>
  <c r="R123" i="9"/>
  <c r="R129" i="9"/>
  <c r="N243" i="9"/>
  <c r="O140" i="9"/>
  <c r="R141" i="9"/>
  <c r="R106" i="9"/>
  <c r="O106" i="9"/>
  <c r="R93" i="9"/>
  <c r="R100" i="9"/>
  <c r="R82" i="9"/>
  <c r="T70" i="9"/>
  <c r="AF70" i="9" s="1"/>
  <c r="T49" i="9"/>
  <c r="AF49" i="9" s="1"/>
  <c r="T35" i="9"/>
  <c r="AF35" i="9" s="1"/>
  <c r="O231" i="9"/>
  <c r="R231" i="9"/>
  <c r="R199" i="9"/>
  <c r="T212" i="9"/>
  <c r="AF212" i="9" s="1"/>
  <c r="R143" i="9"/>
  <c r="T178" i="9"/>
  <c r="AF178" i="9" s="1"/>
  <c r="R149" i="9"/>
  <c r="R142" i="9"/>
  <c r="R104" i="9"/>
  <c r="O121" i="9"/>
  <c r="R76" i="9"/>
  <c r="O76" i="9"/>
  <c r="T108" i="9"/>
  <c r="AF108" i="9" s="1"/>
  <c r="T91" i="9"/>
  <c r="AF91" i="9" s="1"/>
  <c r="R83" i="9"/>
  <c r="T50" i="9"/>
  <c r="AF50" i="9" s="1"/>
  <c r="R223" i="9"/>
  <c r="R235" i="9"/>
  <c r="R213" i="9"/>
  <c r="R202" i="9"/>
  <c r="R196" i="9"/>
  <c r="O196" i="9"/>
  <c r="T203" i="9"/>
  <c r="AF203" i="9" s="1"/>
  <c r="O206" i="9"/>
  <c r="R206" i="9"/>
  <c r="T186" i="9"/>
  <c r="AF186" i="9" s="1"/>
  <c r="T197" i="9"/>
  <c r="AF197" i="9" s="1"/>
  <c r="O186" i="9"/>
  <c r="R188" i="9"/>
  <c r="R151" i="9"/>
  <c r="O151" i="9"/>
  <c r="R156" i="9"/>
  <c r="O156" i="9"/>
  <c r="T162" i="9"/>
  <c r="AF162" i="9" s="1"/>
  <c r="T145" i="9"/>
  <c r="AF145" i="9" s="1"/>
  <c r="T120" i="9"/>
  <c r="AF120" i="9" s="1"/>
  <c r="T98" i="9"/>
  <c r="AF98" i="9" s="1"/>
  <c r="R65" i="9"/>
  <c r="R72" i="9"/>
  <c r="R78" i="9"/>
  <c r="J9" i="9"/>
  <c r="O66" i="9"/>
  <c r="O49" i="9"/>
  <c r="AE48" i="8"/>
  <c r="AE61" i="8"/>
  <c r="V49" i="8"/>
  <c r="AE45" i="8"/>
  <c r="AC43" i="8"/>
  <c r="AC42" i="8"/>
  <c r="V56" i="8"/>
  <c r="V48" i="8"/>
  <c r="AC61" i="8"/>
  <c r="AC53" i="8"/>
  <c r="AC45" i="8"/>
  <c r="AE55" i="8"/>
  <c r="AE47" i="8"/>
  <c r="V41" i="8"/>
  <c r="V55" i="8"/>
  <c r="V47" i="8"/>
  <c r="AC60" i="8"/>
  <c r="AC52" i="8"/>
  <c r="AC44" i="8"/>
  <c r="AE41" i="8"/>
  <c r="AE54" i="8"/>
  <c r="AE46" i="8"/>
  <c r="V62" i="8"/>
  <c r="V46" i="8"/>
  <c r="V61" i="8"/>
  <c r="V53" i="8"/>
  <c r="V45" i="8"/>
  <c r="AC58" i="8"/>
  <c r="AC50" i="8"/>
  <c r="AE60" i="8"/>
  <c r="AE52" i="8"/>
  <c r="AE44" i="8"/>
  <c r="AE53" i="8"/>
  <c r="V60" i="8"/>
  <c r="V52" i="8"/>
  <c r="V44" i="8"/>
  <c r="AC57" i="8"/>
  <c r="AC49" i="8"/>
  <c r="AE59" i="8"/>
  <c r="AE51" i="8"/>
  <c r="AE43" i="8"/>
  <c r="V54" i="8"/>
  <c r="AC51" i="8"/>
  <c r="V59" i="8"/>
  <c r="V51" i="8"/>
  <c r="V43" i="8"/>
  <c r="AC56" i="8"/>
  <c r="AC48" i="8"/>
  <c r="AE58" i="8"/>
  <c r="AE50" i="8"/>
  <c r="AE42" i="8"/>
  <c r="V58" i="8"/>
  <c r="V50" i="8"/>
  <c r="V42" i="8"/>
  <c r="AC55" i="8"/>
  <c r="AC47" i="8"/>
  <c r="AE57" i="8"/>
  <c r="AE49" i="8"/>
  <c r="AC59" i="8"/>
  <c r="V57" i="8"/>
  <c r="AC54" i="8"/>
  <c r="AC46" i="8"/>
  <c r="AE56" i="8"/>
  <c r="S65" i="8"/>
  <c r="Z65" i="8"/>
  <c r="AB65" i="8"/>
  <c r="X65" i="8"/>
  <c r="O65" i="8"/>
  <c r="AE233" i="9" l="1"/>
  <c r="AK233" i="9" s="1"/>
  <c r="AE160" i="9"/>
  <c r="AK160" i="9" s="1"/>
  <c r="AE168" i="9"/>
  <c r="AK168" i="9" s="1"/>
  <c r="AE212" i="9"/>
  <c r="AK212" i="9" s="1"/>
  <c r="AE201" i="9"/>
  <c r="AK201" i="9" s="1"/>
  <c r="AE228" i="9"/>
  <c r="AK228" i="9" s="1"/>
  <c r="AE149" i="9"/>
  <c r="AK149" i="9" s="1"/>
  <c r="AE221" i="9"/>
  <c r="AK221" i="9" s="1"/>
  <c r="AE189" i="9"/>
  <c r="AK189" i="9" s="1"/>
  <c r="AE224" i="9"/>
  <c r="AK224" i="9" s="1"/>
  <c r="AE232" i="9"/>
  <c r="AK232" i="9" s="1"/>
  <c r="AE213" i="9"/>
  <c r="AK213" i="9" s="1"/>
  <c r="AE176" i="9"/>
  <c r="AK176" i="9" s="1"/>
  <c r="AE205" i="9"/>
  <c r="AK205" i="9" s="1"/>
  <c r="AE200" i="9"/>
  <c r="AK200" i="9" s="1"/>
  <c r="AE208" i="9"/>
  <c r="AK208" i="9" s="1"/>
  <c r="AE180" i="9"/>
  <c r="AK180" i="9" s="1"/>
  <c r="AE240" i="9"/>
  <c r="AK240" i="9" s="1"/>
  <c r="AE220" i="9"/>
  <c r="AK220" i="9" s="1"/>
  <c r="AE185" i="9"/>
  <c r="AK185" i="9" s="1"/>
  <c r="AE153" i="9"/>
  <c r="AK153" i="9" s="1"/>
  <c r="AE204" i="9"/>
  <c r="AK204" i="9" s="1"/>
  <c r="AE193" i="9"/>
  <c r="AK193" i="9" s="1"/>
  <c r="AE177" i="9"/>
  <c r="AK177" i="9" s="1"/>
  <c r="AE165" i="9"/>
  <c r="AK165" i="9" s="1"/>
  <c r="AE166" i="9"/>
  <c r="AK166" i="9" s="1"/>
  <c r="AE174" i="9"/>
  <c r="AK174" i="9" s="1"/>
  <c r="AE229" i="9"/>
  <c r="AK229" i="9" s="1"/>
  <c r="AE196" i="9"/>
  <c r="AK196" i="9" s="1"/>
  <c r="AE172" i="9"/>
  <c r="AK172" i="9" s="1"/>
  <c r="AE197" i="9"/>
  <c r="AK197" i="9" s="1"/>
  <c r="AE192" i="9"/>
  <c r="AK192" i="9" s="1"/>
  <c r="AE217" i="9"/>
  <c r="AK217" i="9" s="1"/>
  <c r="AE152" i="9"/>
  <c r="AK152" i="9" s="1"/>
  <c r="AE236" i="9"/>
  <c r="AK236" i="9" s="1"/>
  <c r="AE184" i="9"/>
  <c r="AK184" i="9" s="1"/>
  <c r="AE188" i="9"/>
  <c r="AK188" i="9" s="1"/>
  <c r="AE150" i="9"/>
  <c r="AK150" i="9" s="1"/>
  <c r="AE161" i="9"/>
  <c r="AK161" i="9" s="1"/>
  <c r="AE225" i="9"/>
  <c r="AK225" i="9" s="1"/>
  <c r="AE163" i="9"/>
  <c r="AK163" i="9" s="1"/>
  <c r="AE206" i="9"/>
  <c r="AK206" i="9" s="1"/>
  <c r="AE216" i="9"/>
  <c r="AK216" i="9" s="1"/>
  <c r="AE173" i="9"/>
  <c r="AK173" i="9" s="1"/>
  <c r="AE182" i="9"/>
  <c r="AK182" i="9" s="1"/>
  <c r="AE198" i="9"/>
  <c r="AK198" i="9" s="1"/>
  <c r="AE209" i="9"/>
  <c r="AK209" i="9" s="1"/>
  <c r="AE214" i="9"/>
  <c r="AK214" i="9" s="1"/>
  <c r="AE169" i="9"/>
  <c r="AK169" i="9" s="1"/>
  <c r="AE237" i="9"/>
  <c r="AK237" i="9" s="1"/>
  <c r="AE181" i="9"/>
  <c r="AK181" i="9" s="1"/>
  <c r="AE155" i="9"/>
  <c r="AK155" i="9" s="1"/>
  <c r="AE158" i="9"/>
  <c r="AK158" i="9" s="1"/>
  <c r="AE190" i="9"/>
  <c r="AK190" i="9" s="1"/>
  <c r="AE157" i="9"/>
  <c r="AK157" i="9" s="1"/>
  <c r="AE91" i="10"/>
  <c r="AK91" i="10" s="1"/>
  <c r="AE117" i="10"/>
  <c r="AK117" i="10" s="1"/>
  <c r="AE84" i="10"/>
  <c r="AK84" i="10" s="1"/>
  <c r="AE75" i="10"/>
  <c r="AK75" i="10" s="1"/>
  <c r="AE93" i="10"/>
  <c r="AK93" i="10" s="1"/>
  <c r="AE45" i="10"/>
  <c r="AK45" i="10" s="1"/>
  <c r="AE119" i="10"/>
  <c r="AK119" i="10" s="1"/>
  <c r="AE85" i="10"/>
  <c r="AK85" i="10" s="1"/>
  <c r="AE82" i="10"/>
  <c r="AK82" i="10" s="1"/>
  <c r="AE51" i="10"/>
  <c r="AK51" i="10" s="1"/>
  <c r="AE147" i="10"/>
  <c r="AK147" i="10" s="1"/>
  <c r="AE113" i="10"/>
  <c r="AK113" i="10" s="1"/>
  <c r="AE105" i="10"/>
  <c r="AK105" i="10" s="1"/>
  <c r="AE78" i="10"/>
  <c r="AK78" i="10" s="1"/>
  <c r="AE116" i="10"/>
  <c r="AK116" i="10" s="1"/>
  <c r="AE143" i="10"/>
  <c r="AK143" i="10" s="1"/>
  <c r="AE80" i="10"/>
  <c r="AK80" i="10" s="1"/>
  <c r="AE145" i="10"/>
  <c r="AK145" i="10" s="1"/>
  <c r="AE47" i="10"/>
  <c r="AK47" i="10" s="1"/>
  <c r="AE89" i="10"/>
  <c r="AK89" i="10" s="1"/>
  <c r="AE79" i="10"/>
  <c r="AK79" i="10" s="1"/>
  <c r="AE35" i="10"/>
  <c r="AK35" i="10" s="1"/>
  <c r="AE144" i="10"/>
  <c r="AK144" i="10" s="1"/>
  <c r="AE134" i="10"/>
  <c r="AK134" i="10" s="1"/>
  <c r="AE140" i="10"/>
  <c r="AK140" i="10" s="1"/>
  <c r="AE104" i="10"/>
  <c r="AK104" i="10" s="1"/>
  <c r="AE109" i="10"/>
  <c r="AK109" i="10" s="1"/>
  <c r="AE98" i="10"/>
  <c r="AK98" i="10" s="1"/>
  <c r="AE129" i="10"/>
  <c r="AK129" i="10" s="1"/>
  <c r="AE42" i="10"/>
  <c r="AK42" i="10" s="1"/>
  <c r="AE112" i="10"/>
  <c r="AK112" i="10" s="1"/>
  <c r="AE64" i="10"/>
  <c r="AK64" i="10" s="1"/>
  <c r="AE106" i="10"/>
  <c r="AK106" i="10" s="1"/>
  <c r="AE74" i="10"/>
  <c r="AK74" i="10" s="1"/>
  <c r="AE59" i="10"/>
  <c r="AK59" i="10" s="1"/>
  <c r="AE83" i="10"/>
  <c r="AK83" i="10" s="1"/>
  <c r="AE73" i="10"/>
  <c r="AK73" i="10" s="1"/>
  <c r="AE32" i="10"/>
  <c r="AK32" i="10" s="1"/>
  <c r="AE120" i="10"/>
  <c r="AK120" i="10" s="1"/>
  <c r="AE70" i="10"/>
  <c r="AK70" i="10" s="1"/>
  <c r="AE137" i="10"/>
  <c r="AK137" i="10" s="1"/>
  <c r="AE149" i="10"/>
  <c r="AK149" i="10" s="1"/>
  <c r="AE114" i="10"/>
  <c r="AK114" i="10" s="1"/>
  <c r="AE37" i="10"/>
  <c r="AK37" i="10" s="1"/>
  <c r="AE126" i="10"/>
  <c r="AK126" i="10" s="1"/>
  <c r="AE95" i="10"/>
  <c r="AK95" i="10" s="1"/>
  <c r="AE103" i="10"/>
  <c r="AK103" i="10" s="1"/>
  <c r="AE63" i="10"/>
  <c r="AK63" i="10" s="1"/>
  <c r="AE118" i="10"/>
  <c r="AK118" i="10" s="1"/>
  <c r="AE77" i="10"/>
  <c r="AK77" i="10" s="1"/>
  <c r="AE52" i="10"/>
  <c r="AK52" i="10" s="1"/>
  <c r="AE66" i="10"/>
  <c r="AK66" i="10" s="1"/>
  <c r="AE34" i="10"/>
  <c r="AK34" i="10" s="1"/>
  <c r="AE131" i="10"/>
  <c r="AK131" i="10" s="1"/>
  <c r="AE125" i="10"/>
  <c r="AK125" i="10" s="1"/>
  <c r="AE39" i="10"/>
  <c r="AK39" i="10" s="1"/>
  <c r="AE135" i="10"/>
  <c r="AK135" i="10" s="1"/>
  <c r="AE76" i="10"/>
  <c r="AK76" i="10" s="1"/>
  <c r="AE41" i="10"/>
  <c r="AK41" i="10" s="1"/>
  <c r="AE65" i="10"/>
  <c r="AK65" i="10" s="1"/>
  <c r="AE33" i="10"/>
  <c r="AK33" i="10" s="1"/>
  <c r="AE57" i="10"/>
  <c r="AK57" i="10" s="1"/>
  <c r="AE142" i="10"/>
  <c r="AK142" i="10" s="1"/>
  <c r="AE100" i="10"/>
  <c r="AK100" i="10" s="1"/>
  <c r="AE46" i="10"/>
  <c r="AK46" i="10" s="1"/>
  <c r="AE107" i="10"/>
  <c r="AK107" i="10" s="1"/>
  <c r="AE69" i="10"/>
  <c r="AK69" i="10" s="1"/>
  <c r="AE102" i="10"/>
  <c r="AK102" i="10" s="1"/>
  <c r="AE44" i="10"/>
  <c r="AK44" i="10" s="1"/>
  <c r="AE71" i="10"/>
  <c r="AK71" i="10" s="1"/>
  <c r="AE136" i="10"/>
  <c r="AK136" i="10" s="1"/>
  <c r="AE49" i="10"/>
  <c r="AK49" i="10" s="1"/>
  <c r="AE101" i="10"/>
  <c r="AK101" i="10" s="1"/>
  <c r="AE62" i="10"/>
  <c r="AK62" i="10" s="1"/>
  <c r="AE68" i="10"/>
  <c r="AK68" i="10" s="1"/>
  <c r="AE146" i="10"/>
  <c r="AK146" i="10" s="1"/>
  <c r="AE124" i="10"/>
  <c r="AK124" i="10" s="1"/>
  <c r="AE108" i="10"/>
  <c r="AK108" i="10" s="1"/>
  <c r="U117" i="10"/>
  <c r="S34" i="9"/>
  <c r="U33" i="10"/>
  <c r="S216" i="9"/>
  <c r="S44" i="9"/>
  <c r="S49" i="9"/>
  <c r="U54" i="10"/>
  <c r="U172" i="10"/>
  <c r="U103" i="10"/>
  <c r="V222" i="10"/>
  <c r="AF222" i="10" s="1"/>
  <c r="U222" i="10"/>
  <c r="V202" i="10"/>
  <c r="AF202" i="10" s="1"/>
  <c r="U202" i="10"/>
  <c r="V211" i="10"/>
  <c r="AF211" i="10" s="1"/>
  <c r="V217" i="10"/>
  <c r="AF217" i="10" s="1"/>
  <c r="U217" i="10"/>
  <c r="V192" i="10"/>
  <c r="AF192" i="10" s="1"/>
  <c r="U192" i="10"/>
  <c r="V182" i="10"/>
  <c r="AF182" i="10" s="1"/>
  <c r="U182" i="10"/>
  <c r="V247" i="10"/>
  <c r="AF247" i="10" s="1"/>
  <c r="U247" i="10"/>
  <c r="V195" i="10"/>
  <c r="AF195" i="10" s="1"/>
  <c r="V234" i="10"/>
  <c r="AF234" i="10" s="1"/>
  <c r="V167" i="10"/>
  <c r="AF167" i="10" s="1"/>
  <c r="U167" i="10"/>
  <c r="V157" i="10"/>
  <c r="AF157" i="10" s="1"/>
  <c r="U157" i="10"/>
  <c r="V227" i="10"/>
  <c r="AF227" i="10" s="1"/>
  <c r="U227" i="10"/>
  <c r="V237" i="10"/>
  <c r="AF237" i="10" s="1"/>
  <c r="U237" i="10"/>
  <c r="U212" i="10"/>
  <c r="V212" i="10"/>
  <c r="AF212" i="10" s="1"/>
  <c r="V242" i="10"/>
  <c r="AF242" i="10" s="1"/>
  <c r="U242" i="10"/>
  <c r="V232" i="10"/>
  <c r="AF232" i="10" s="1"/>
  <c r="U232" i="10"/>
  <c r="V162" i="10"/>
  <c r="AF162" i="10" s="1"/>
  <c r="U162" i="10"/>
  <c r="V207" i="10"/>
  <c r="AF207" i="10" s="1"/>
  <c r="U207" i="10"/>
  <c r="U177" i="10"/>
  <c r="V177" i="10"/>
  <c r="AF177" i="10" s="1"/>
  <c r="V197" i="10"/>
  <c r="AF197" i="10" s="1"/>
  <c r="U197" i="10"/>
  <c r="AL223" i="10"/>
  <c r="AL251" i="10"/>
  <c r="AL191" i="10"/>
  <c r="AL201" i="10"/>
  <c r="AL216" i="10"/>
  <c r="AL238" i="10"/>
  <c r="AL207" i="10"/>
  <c r="AL249" i="10"/>
  <c r="AL183" i="10"/>
  <c r="AL231" i="10"/>
  <c r="AL241" i="10"/>
  <c r="AL248" i="10"/>
  <c r="AL221" i="10"/>
  <c r="AL175" i="10"/>
  <c r="AL189" i="10"/>
  <c r="AL194" i="10"/>
  <c r="AL199" i="10"/>
  <c r="AL229" i="10"/>
  <c r="AL202" i="10"/>
  <c r="AL164" i="10"/>
  <c r="AL198" i="10"/>
  <c r="AL185" i="10"/>
  <c r="AL173" i="10"/>
  <c r="AL184" i="10"/>
  <c r="AL212" i="10"/>
  <c r="AL178" i="10"/>
  <c r="AL179" i="10"/>
  <c r="AL169" i="10"/>
  <c r="AL166" i="10"/>
  <c r="AL215" i="10"/>
  <c r="AL186" i="10"/>
  <c r="AL159" i="10"/>
  <c r="AL225" i="10"/>
  <c r="AL233" i="10"/>
  <c r="AL224" i="10"/>
  <c r="AL190" i="10"/>
  <c r="AL240" i="10"/>
  <c r="AL254" i="10"/>
  <c r="AL161" i="10"/>
  <c r="AL204" i="10"/>
  <c r="AL235" i="10"/>
  <c r="AL252" i="10"/>
  <c r="AL176" i="10"/>
  <c r="AL230" i="10"/>
  <c r="AL211" i="10"/>
  <c r="AL193" i="10"/>
  <c r="AL192" i="10"/>
  <c r="AL182" i="10"/>
  <c r="AL208" i="10"/>
  <c r="AL246" i="10"/>
  <c r="AL213" i="10"/>
  <c r="AL196" i="10"/>
  <c r="AL227" i="10"/>
  <c r="AL244" i="10"/>
  <c r="AL172" i="10"/>
  <c r="AL210" i="10"/>
  <c r="AL160" i="10"/>
  <c r="AL163" i="10"/>
  <c r="AL237" i="10"/>
  <c r="AL200" i="10"/>
  <c r="AL239" i="10"/>
  <c r="AL247" i="10"/>
  <c r="AL168" i="10"/>
  <c r="AL234" i="10"/>
  <c r="AL181" i="10"/>
  <c r="AL188" i="10"/>
  <c r="AL219" i="10"/>
  <c r="AL158" i="10"/>
  <c r="AL218" i="10"/>
  <c r="AL180" i="10"/>
  <c r="AL170" i="10"/>
  <c r="AL253" i="10"/>
  <c r="AL171" i="10"/>
  <c r="AL217" i="10"/>
  <c r="AL214" i="10"/>
  <c r="AL157" i="10"/>
  <c r="AL205" i="10"/>
  <c r="AL250" i="10"/>
  <c r="AL228" i="10"/>
  <c r="AL245" i="10"/>
  <c r="AL195" i="10"/>
  <c r="AL165" i="10"/>
  <c r="AL162" i="10"/>
  <c r="AL222" i="10"/>
  <c r="AL203" i="10"/>
  <c r="AL167" i="10"/>
  <c r="AL242" i="10"/>
  <c r="AL206" i="10"/>
  <c r="AL209" i="10"/>
  <c r="AL197" i="10"/>
  <c r="AL232" i="10"/>
  <c r="AL220" i="10"/>
  <c r="AL226" i="10"/>
  <c r="AL187" i="10"/>
  <c r="AL177" i="10"/>
  <c r="AL174" i="10"/>
  <c r="AL243" i="10"/>
  <c r="AL236" i="10"/>
  <c r="V180" i="10"/>
  <c r="AF180" i="10" s="1"/>
  <c r="V173" i="10"/>
  <c r="AF173" i="10" s="1"/>
  <c r="V250" i="10"/>
  <c r="AF250" i="10" s="1"/>
  <c r="V187" i="10"/>
  <c r="AF187" i="10" s="1"/>
  <c r="U187" i="10"/>
  <c r="V166" i="10"/>
  <c r="AF166" i="10" s="1"/>
  <c r="U131" i="10"/>
  <c r="U68" i="10"/>
  <c r="U40" i="10"/>
  <c r="U138" i="10"/>
  <c r="U124" i="10"/>
  <c r="S56" i="9"/>
  <c r="T131" i="9"/>
  <c r="AF131" i="9" s="1"/>
  <c r="S186" i="9"/>
  <c r="T33" i="9"/>
  <c r="AF33" i="9" s="1"/>
  <c r="S66" i="9"/>
  <c r="S121" i="9"/>
  <c r="S146" i="9"/>
  <c r="S91" i="9"/>
  <c r="S221" i="9"/>
  <c r="V55" i="10"/>
  <c r="AF55" i="10" s="1"/>
  <c r="V109" i="10"/>
  <c r="AF109" i="10" s="1"/>
  <c r="V134" i="10"/>
  <c r="AF134" i="10" s="1"/>
  <c r="U75" i="10"/>
  <c r="V75" i="10"/>
  <c r="AF75" i="10" s="1"/>
  <c r="V116" i="10"/>
  <c r="AF116" i="10" s="1"/>
  <c r="U82" i="10"/>
  <c r="V82" i="10"/>
  <c r="AF82" i="10" s="1"/>
  <c r="V119" i="10"/>
  <c r="AF119" i="10" s="1"/>
  <c r="V87" i="10"/>
  <c r="AF87" i="10" s="1"/>
  <c r="V88" i="10"/>
  <c r="AF88" i="10" s="1"/>
  <c r="AL146" i="10"/>
  <c r="AL148" i="10"/>
  <c r="AL152" i="10"/>
  <c r="AL141" i="10"/>
  <c r="AL136" i="10"/>
  <c r="AL142" i="10"/>
  <c r="AL147" i="10"/>
  <c r="AL145" i="10"/>
  <c r="AL132" i="10"/>
  <c r="AL149" i="10"/>
  <c r="AL138" i="10"/>
  <c r="AL133" i="10"/>
  <c r="AH156" i="10"/>
  <c r="AL144" i="10"/>
  <c r="AL139" i="10"/>
  <c r="AL134" i="10"/>
  <c r="AL129" i="10"/>
  <c r="AL140" i="10"/>
  <c r="AL131" i="10"/>
  <c r="AL128" i="10"/>
  <c r="AL117" i="10"/>
  <c r="AL112" i="10"/>
  <c r="AL153" i="10"/>
  <c r="AL118" i="10"/>
  <c r="AL113" i="10"/>
  <c r="AL124" i="10"/>
  <c r="AL143" i="10"/>
  <c r="AL127" i="10"/>
  <c r="AL125" i="10"/>
  <c r="AL120" i="10"/>
  <c r="AL115" i="10"/>
  <c r="AL123" i="10"/>
  <c r="AL114" i="10"/>
  <c r="AL109" i="10"/>
  <c r="AL103" i="10"/>
  <c r="AL121" i="10"/>
  <c r="AL104" i="10"/>
  <c r="AL99" i="10"/>
  <c r="AL95" i="10"/>
  <c r="AL94" i="10"/>
  <c r="AL119" i="10"/>
  <c r="AL105" i="10"/>
  <c r="AL100" i="10"/>
  <c r="AL135" i="10"/>
  <c r="AL106" i="10"/>
  <c r="AL101" i="10"/>
  <c r="AL83" i="10"/>
  <c r="AL111" i="10"/>
  <c r="AL107" i="10"/>
  <c r="AL89" i="10"/>
  <c r="AL84" i="10"/>
  <c r="AL79" i="10"/>
  <c r="AL122" i="10"/>
  <c r="AL110" i="10"/>
  <c r="AL108" i="10"/>
  <c r="AL90" i="10"/>
  <c r="AL85" i="10"/>
  <c r="AL80" i="10"/>
  <c r="AL126" i="10"/>
  <c r="AL93" i="10"/>
  <c r="AL88" i="10"/>
  <c r="AL75" i="10"/>
  <c r="AL70" i="10"/>
  <c r="AL92" i="10"/>
  <c r="AL91" i="10"/>
  <c r="AL76" i="10"/>
  <c r="AL98" i="10"/>
  <c r="AL97" i="10"/>
  <c r="AL96" i="10"/>
  <c r="AL87" i="10"/>
  <c r="AL86" i="10"/>
  <c r="AL77" i="10"/>
  <c r="AL82" i="10"/>
  <c r="AL78" i="10"/>
  <c r="AL73" i="10"/>
  <c r="AL62" i="10"/>
  <c r="AL57" i="10"/>
  <c r="AL52" i="10"/>
  <c r="AL34" i="10"/>
  <c r="AL68" i="10"/>
  <c r="AL63" i="10"/>
  <c r="AL69" i="10"/>
  <c r="AL64" i="10"/>
  <c r="AL60" i="10"/>
  <c r="AL59" i="10"/>
  <c r="AL41" i="10"/>
  <c r="AL36" i="10"/>
  <c r="AL32" i="10"/>
  <c r="AL65" i="10"/>
  <c r="AL47" i="10"/>
  <c r="AL42" i="10"/>
  <c r="AL37" i="10"/>
  <c r="AH31" i="10"/>
  <c r="AL71" i="10"/>
  <c r="AL67" i="10"/>
  <c r="AL66" i="10"/>
  <c r="AL48" i="10"/>
  <c r="AL43" i="10"/>
  <c r="AL39" i="10"/>
  <c r="AL38" i="10"/>
  <c r="AL54" i="10"/>
  <c r="AL49" i="10"/>
  <c r="AL44" i="10"/>
  <c r="D6" i="10"/>
  <c r="AL55" i="10"/>
  <c r="AL50" i="10"/>
  <c r="AL45" i="10"/>
  <c r="AL72" i="10"/>
  <c r="AL61" i="10"/>
  <c r="AL56" i="10"/>
  <c r="AL35" i="10"/>
  <c r="AL51" i="10"/>
  <c r="AL33" i="10"/>
  <c r="AL40" i="10"/>
  <c r="AL58" i="10"/>
  <c r="AL151" i="10"/>
  <c r="AL74" i="10"/>
  <c r="AL130" i="10"/>
  <c r="AL102" i="10"/>
  <c r="AL116" i="10"/>
  <c r="AL156" i="10"/>
  <c r="AL31" i="10"/>
  <c r="AL81" i="10"/>
  <c r="AL46" i="10"/>
  <c r="AL53" i="10"/>
  <c r="AL137" i="10"/>
  <c r="V143" i="10"/>
  <c r="AF143" i="10" s="1"/>
  <c r="V58" i="10"/>
  <c r="AF58" i="10" s="1"/>
  <c r="V86" i="10"/>
  <c r="AF86" i="10" s="1"/>
  <c r="V130" i="10"/>
  <c r="AF130" i="10" s="1"/>
  <c r="J10" i="10"/>
  <c r="U5" i="10"/>
  <c r="V46" i="10"/>
  <c r="AF46" i="10" s="1"/>
  <c r="V71" i="10"/>
  <c r="AF71" i="10" s="1"/>
  <c r="V67" i="10"/>
  <c r="AF67" i="10" s="1"/>
  <c r="V111" i="10"/>
  <c r="AF111" i="10" s="1"/>
  <c r="U96" i="10"/>
  <c r="V96" i="10"/>
  <c r="AF96" i="10" s="1"/>
  <c r="V62" i="10"/>
  <c r="AF62" i="10" s="1"/>
  <c r="V51" i="10"/>
  <c r="AF51" i="10" s="1"/>
  <c r="V129" i="10"/>
  <c r="AF129" i="10" s="1"/>
  <c r="V74" i="10"/>
  <c r="AF74" i="10" s="1"/>
  <c r="V79" i="10"/>
  <c r="AF79" i="10" s="1"/>
  <c r="V56" i="10"/>
  <c r="AF56" i="10" s="1"/>
  <c r="V148" i="10"/>
  <c r="AF148" i="10" s="1"/>
  <c r="V57" i="10"/>
  <c r="AF57" i="10" s="1"/>
  <c r="V135" i="10"/>
  <c r="AF135" i="10" s="1"/>
  <c r="V34" i="10"/>
  <c r="AF34" i="10" s="1"/>
  <c r="V44" i="10"/>
  <c r="AF44" i="10" s="1"/>
  <c r="V144" i="10"/>
  <c r="AF144" i="10" s="1"/>
  <c r="U47" i="10"/>
  <c r="V47" i="10"/>
  <c r="AF47" i="10" s="1"/>
  <c r="V139" i="10"/>
  <c r="AF139" i="10" s="1"/>
  <c r="V149" i="10"/>
  <c r="AF149" i="10" s="1"/>
  <c r="V39" i="10"/>
  <c r="AF39" i="10" s="1"/>
  <c r="V133" i="10"/>
  <c r="AF133" i="10" s="1"/>
  <c r="V126" i="10"/>
  <c r="AF126" i="10" s="1"/>
  <c r="V76" i="10"/>
  <c r="AF76" i="10" s="1"/>
  <c r="U110" i="10"/>
  <c r="V63" i="10"/>
  <c r="AF63" i="10" s="1"/>
  <c r="V114" i="10"/>
  <c r="AF114" i="10" s="1"/>
  <c r="V92" i="10"/>
  <c r="AF92" i="10" s="1"/>
  <c r="V147" i="10"/>
  <c r="AF147" i="10" s="1"/>
  <c r="U145" i="10"/>
  <c r="V98" i="10"/>
  <c r="AF98" i="10" s="1"/>
  <c r="V140" i="10"/>
  <c r="AF140" i="10" s="1"/>
  <c r="V78" i="10"/>
  <c r="AF78" i="10" s="1"/>
  <c r="V108" i="10"/>
  <c r="AF108" i="10" s="1"/>
  <c r="U89" i="10"/>
  <c r="V90" i="10"/>
  <c r="AF90" i="10" s="1"/>
  <c r="U61" i="10"/>
  <c r="V122" i="10"/>
  <c r="AF122" i="10" s="1"/>
  <c r="V49" i="10"/>
  <c r="AF49" i="10" s="1"/>
  <c r="S151" i="9"/>
  <c r="T151" i="9"/>
  <c r="AF151" i="9" s="1"/>
  <c r="T149" i="9"/>
  <c r="AF149" i="9" s="1"/>
  <c r="T232" i="9"/>
  <c r="AF232" i="9" s="1"/>
  <c r="AL226" i="9"/>
  <c r="AL239" i="9"/>
  <c r="AL228" i="9"/>
  <c r="AL237" i="9"/>
  <c r="AL233" i="9"/>
  <c r="AL236" i="9"/>
  <c r="AL235" i="9"/>
  <c r="AL215" i="9"/>
  <c r="AL214" i="9"/>
  <c r="AL220" i="9"/>
  <c r="AL210" i="9"/>
  <c r="AL209" i="9"/>
  <c r="AL219" i="9"/>
  <c r="AL201" i="9"/>
  <c r="AL195" i="9"/>
  <c r="AL212" i="9"/>
  <c r="AL211" i="9"/>
  <c r="AL208" i="9"/>
  <c r="AL192" i="9"/>
  <c r="AL184" i="9"/>
  <c r="AL199" i="9"/>
  <c r="AL194" i="9"/>
  <c r="AL202" i="9"/>
  <c r="AL166" i="9"/>
  <c r="AL188" i="9"/>
  <c r="AL190" i="9"/>
  <c r="AL196" i="9"/>
  <c r="AL182" i="9"/>
  <c r="AL172" i="9"/>
  <c r="AL207" i="9"/>
  <c r="AL197" i="9"/>
  <c r="AL164" i="9"/>
  <c r="AL162" i="9"/>
  <c r="AL158" i="9"/>
  <c r="AL193" i="9"/>
  <c r="AL178" i="9"/>
  <c r="AL161" i="9"/>
  <c r="AL181" i="9"/>
  <c r="AL183" i="9"/>
  <c r="AL157" i="9"/>
  <c r="AL185" i="9"/>
  <c r="AL145" i="9"/>
  <c r="AL148" i="9"/>
  <c r="AL152" i="9"/>
  <c r="AL144" i="9"/>
  <c r="AL180" i="9"/>
  <c r="AL168" i="9"/>
  <c r="AL159" i="9"/>
  <c r="AH140" i="9"/>
  <c r="AL167" i="9"/>
  <c r="AL177" i="9"/>
  <c r="AL155" i="9"/>
  <c r="AL171" i="9"/>
  <c r="AL142" i="9"/>
  <c r="AL141" i="9"/>
  <c r="AH31" i="9"/>
  <c r="AL189" i="9"/>
  <c r="AL216" i="9"/>
  <c r="AL151" i="9"/>
  <c r="AL143" i="9"/>
  <c r="AL149" i="9"/>
  <c r="AL222" i="9"/>
  <c r="AL206" i="9"/>
  <c r="AL218" i="9"/>
  <c r="AL238" i="9"/>
  <c r="AL198" i="9"/>
  <c r="AL203" i="9"/>
  <c r="AL230" i="9"/>
  <c r="AL163" i="9"/>
  <c r="AL165" i="9"/>
  <c r="AL204" i="9"/>
  <c r="AL217" i="9"/>
  <c r="AL229" i="9"/>
  <c r="AL225" i="9"/>
  <c r="AL234" i="9"/>
  <c r="AL232" i="9"/>
  <c r="AL147" i="9"/>
  <c r="AL153" i="9"/>
  <c r="AL175" i="9"/>
  <c r="AL169" i="9"/>
  <c r="AL170" i="9"/>
  <c r="AL205" i="9"/>
  <c r="AL227" i="9"/>
  <c r="AL223" i="9"/>
  <c r="AL240" i="9"/>
  <c r="AL146" i="9"/>
  <c r="AL187" i="9"/>
  <c r="AL221" i="9"/>
  <c r="AL140" i="9"/>
  <c r="AL150" i="9"/>
  <c r="AL174" i="9"/>
  <c r="AL179" i="9"/>
  <c r="AL191" i="9"/>
  <c r="AL176" i="9"/>
  <c r="AL224" i="9"/>
  <c r="AL154" i="9"/>
  <c r="AL156" i="9"/>
  <c r="AL160" i="9"/>
  <c r="AL173" i="9"/>
  <c r="AL186" i="9"/>
  <c r="AL200" i="9"/>
  <c r="AL213" i="9"/>
  <c r="AL231" i="9"/>
  <c r="T196" i="9"/>
  <c r="AF196" i="9" s="1"/>
  <c r="S196" i="9"/>
  <c r="T199" i="9"/>
  <c r="AF199" i="9" s="1"/>
  <c r="T82" i="9"/>
  <c r="AF82" i="9" s="1"/>
  <c r="S81" i="9"/>
  <c r="T90" i="9"/>
  <c r="AF90" i="9" s="1"/>
  <c r="T169" i="9"/>
  <c r="AF169" i="9" s="1"/>
  <c r="T179" i="9"/>
  <c r="AF179" i="9" s="1"/>
  <c r="T54" i="9"/>
  <c r="AF54" i="9" s="1"/>
  <c r="T170" i="9"/>
  <c r="AF170" i="9" s="1"/>
  <c r="T130" i="9"/>
  <c r="AF130" i="9" s="1"/>
  <c r="T234" i="9"/>
  <c r="AF234" i="9" s="1"/>
  <c r="T141" i="9"/>
  <c r="AF141" i="9" s="1"/>
  <c r="S140" i="9"/>
  <c r="T78" i="9"/>
  <c r="AF78" i="9" s="1"/>
  <c r="T83" i="9"/>
  <c r="AF83" i="9" s="1"/>
  <c r="T104" i="9"/>
  <c r="AF104" i="9" s="1"/>
  <c r="T100" i="9"/>
  <c r="AF100" i="9" s="1"/>
  <c r="O243" i="9"/>
  <c r="T161" i="9"/>
  <c r="AF161" i="9" s="1"/>
  <c r="S161" i="9"/>
  <c r="T122" i="9"/>
  <c r="AF122" i="9" s="1"/>
  <c r="T173" i="9"/>
  <c r="AF173" i="9" s="1"/>
  <c r="S101" i="9"/>
  <c r="T101" i="9"/>
  <c r="AF101" i="9" s="1"/>
  <c r="T115" i="9"/>
  <c r="AF115" i="9" s="1"/>
  <c r="S176" i="9"/>
  <c r="S171" i="9"/>
  <c r="T201" i="9"/>
  <c r="AF201" i="9" s="1"/>
  <c r="S201" i="9"/>
  <c r="T235" i="9"/>
  <c r="AF235" i="9" s="1"/>
  <c r="T222" i="9"/>
  <c r="AF222" i="9" s="1"/>
  <c r="T214" i="9"/>
  <c r="AF214" i="9" s="1"/>
  <c r="T96" i="9"/>
  <c r="AF96" i="9" s="1"/>
  <c r="S96" i="9"/>
  <c r="T148" i="9"/>
  <c r="AF148" i="9" s="1"/>
  <c r="T188" i="9"/>
  <c r="AF188" i="9" s="1"/>
  <c r="T206" i="9"/>
  <c r="AF206" i="9" s="1"/>
  <c r="S206" i="9"/>
  <c r="T143" i="9"/>
  <c r="AF143" i="9" s="1"/>
  <c r="T93" i="9"/>
  <c r="AF93" i="9" s="1"/>
  <c r="T209" i="9"/>
  <c r="AF209" i="9" s="1"/>
  <c r="T117" i="9"/>
  <c r="AF117" i="9" s="1"/>
  <c r="T88" i="9"/>
  <c r="AF88" i="9" s="1"/>
  <c r="S86" i="9"/>
  <c r="T183" i="9"/>
  <c r="AF183" i="9" s="1"/>
  <c r="T48" i="9"/>
  <c r="AF48" i="9" s="1"/>
  <c r="T67" i="9"/>
  <c r="AF67" i="9" s="1"/>
  <c r="T190" i="9"/>
  <c r="AF190" i="9" s="1"/>
  <c r="T233" i="9"/>
  <c r="AF233" i="9" s="1"/>
  <c r="T71" i="9"/>
  <c r="AF71" i="9" s="1"/>
  <c r="S71" i="9"/>
  <c r="T157" i="9"/>
  <c r="AF157" i="9" s="1"/>
  <c r="T116" i="9"/>
  <c r="AF116" i="9" s="1"/>
  <c r="S116" i="9"/>
  <c r="T202" i="9"/>
  <c r="AF202" i="9" s="1"/>
  <c r="T223" i="9"/>
  <c r="AF223" i="9" s="1"/>
  <c r="T204" i="9"/>
  <c r="AF204" i="9" s="1"/>
  <c r="T51" i="9"/>
  <c r="AF51" i="9" s="1"/>
  <c r="T215" i="9"/>
  <c r="AF215" i="9" s="1"/>
  <c r="T43" i="9"/>
  <c r="AF43" i="9" s="1"/>
  <c r="T62" i="9"/>
  <c r="AF62" i="9" s="1"/>
  <c r="T211" i="9"/>
  <c r="AF211" i="9" s="1"/>
  <c r="S211" i="9"/>
  <c r="T165" i="9"/>
  <c r="AF165" i="9" s="1"/>
  <c r="T64" i="9"/>
  <c r="AF64" i="9" s="1"/>
  <c r="T74" i="9"/>
  <c r="AF74" i="9" s="1"/>
  <c r="T125" i="9"/>
  <c r="AF125" i="9" s="1"/>
  <c r="T184" i="9"/>
  <c r="AF184" i="9" s="1"/>
  <c r="T72" i="9"/>
  <c r="AF72" i="9" s="1"/>
  <c r="T156" i="9"/>
  <c r="AF156" i="9" s="1"/>
  <c r="S156" i="9"/>
  <c r="T76" i="9"/>
  <c r="AF76" i="9" s="1"/>
  <c r="S76" i="9"/>
  <c r="T142" i="9"/>
  <c r="AF142" i="9" s="1"/>
  <c r="T231" i="9"/>
  <c r="AF231" i="9" s="1"/>
  <c r="S231" i="9"/>
  <c r="T129" i="9"/>
  <c r="AF129" i="9" s="1"/>
  <c r="T181" i="9"/>
  <c r="AF181" i="9" s="1"/>
  <c r="S181" i="9"/>
  <c r="T229" i="9"/>
  <c r="AF229" i="9" s="1"/>
  <c r="T160" i="9"/>
  <c r="AF160" i="9" s="1"/>
  <c r="O136" i="9"/>
  <c r="S111" i="9"/>
  <c r="T111" i="9"/>
  <c r="AF111" i="9" s="1"/>
  <c r="T155" i="9"/>
  <c r="AF155" i="9" s="1"/>
  <c r="T236" i="9"/>
  <c r="AF236" i="9" s="1"/>
  <c r="S236" i="9"/>
  <c r="T167" i="9"/>
  <c r="AF167" i="9" s="1"/>
  <c r="T210" i="9"/>
  <c r="AF210" i="9" s="1"/>
  <c r="T113" i="9"/>
  <c r="AF113" i="9" s="1"/>
  <c r="S126" i="9"/>
  <c r="T213" i="9"/>
  <c r="AF213" i="9" s="1"/>
  <c r="T123" i="9"/>
  <c r="AF123" i="9" s="1"/>
  <c r="T107" i="9"/>
  <c r="AF107" i="9" s="1"/>
  <c r="T228" i="9"/>
  <c r="AF228" i="9" s="1"/>
  <c r="S226" i="9"/>
  <c r="T61" i="9"/>
  <c r="AF61" i="9" s="1"/>
  <c r="S61" i="9"/>
  <c r="T39" i="9"/>
  <c r="AF39" i="9" s="1"/>
  <c r="S39" i="9"/>
  <c r="T102" i="9"/>
  <c r="AF102" i="9" s="1"/>
  <c r="T68" i="9"/>
  <c r="AF68" i="9" s="1"/>
  <c r="T159" i="9"/>
  <c r="AF159" i="9" s="1"/>
  <c r="J10" i="9"/>
  <c r="U5" i="9"/>
  <c r="T65" i="9"/>
  <c r="AF65" i="9" s="1"/>
  <c r="S106" i="9"/>
  <c r="T106" i="9"/>
  <c r="AF106" i="9" s="1"/>
  <c r="T175" i="9"/>
  <c r="AF175" i="9" s="1"/>
  <c r="S166" i="9"/>
  <c r="T182" i="9"/>
  <c r="AF182" i="9" s="1"/>
  <c r="T218" i="9"/>
  <c r="AF218" i="9" s="1"/>
  <c r="T144" i="9"/>
  <c r="AF144" i="9" s="1"/>
  <c r="T191" i="9"/>
  <c r="AF191" i="9" s="1"/>
  <c r="S191" i="9"/>
  <c r="T205" i="9"/>
  <c r="AF205" i="9" s="1"/>
  <c r="AJ163" i="10" l="1"/>
  <c r="AM163" i="10" s="1"/>
  <c r="AN163" i="10" s="1"/>
  <c r="AJ167" i="10"/>
  <c r="AM167" i="10" s="1"/>
  <c r="AN167" i="10" s="1"/>
  <c r="AJ180" i="10"/>
  <c r="AM180" i="10" s="1"/>
  <c r="AN180" i="10" s="1"/>
  <c r="AJ182" i="10"/>
  <c r="AM182" i="10" s="1"/>
  <c r="AN182" i="10" s="1"/>
  <c r="AJ161" i="10"/>
  <c r="AM161" i="10" s="1"/>
  <c r="AN161" i="10" s="1"/>
  <c r="AJ170" i="10"/>
  <c r="AM170" i="10" s="1"/>
  <c r="AN170" i="10" s="1"/>
  <c r="AJ175" i="10"/>
  <c r="AM175" i="10" s="1"/>
  <c r="AN175" i="10" s="1"/>
  <c r="AJ159" i="10"/>
  <c r="AM159" i="10" s="1"/>
  <c r="AN159" i="10" s="1"/>
  <c r="AJ157" i="10"/>
  <c r="AM157" i="10" s="1"/>
  <c r="AN157" i="10" s="1"/>
  <c r="AJ162" i="10"/>
  <c r="AM162" i="10" s="1"/>
  <c r="AN162" i="10" s="1"/>
  <c r="AJ166" i="10"/>
  <c r="AM166" i="10" s="1"/>
  <c r="AN166" i="10" s="1"/>
  <c r="AJ158" i="10"/>
  <c r="AM158" i="10" s="1"/>
  <c r="AN158" i="10" s="1"/>
  <c r="AJ169" i="10"/>
  <c r="AM169" i="10" s="1"/>
  <c r="AN169" i="10" s="1"/>
  <c r="AJ174" i="10"/>
  <c r="AM174" i="10" s="1"/>
  <c r="AN174" i="10" s="1"/>
  <c r="AJ176" i="10"/>
  <c r="AM176" i="10" s="1"/>
  <c r="AN176" i="10" s="1"/>
  <c r="AJ190" i="10"/>
  <c r="AM190" i="10" s="1"/>
  <c r="AN190" i="10" s="1"/>
  <c r="AJ195" i="10"/>
  <c r="AM195" i="10" s="1"/>
  <c r="AN195" i="10" s="1"/>
  <c r="AJ200" i="10"/>
  <c r="AM200" i="10" s="1"/>
  <c r="AN200" i="10" s="1"/>
  <c r="AJ208" i="10"/>
  <c r="AM208" i="10" s="1"/>
  <c r="AN208" i="10" s="1"/>
  <c r="AJ215" i="10"/>
  <c r="AM215" i="10" s="1"/>
  <c r="AN215" i="10" s="1"/>
  <c r="AJ222" i="10"/>
  <c r="AM222" i="10" s="1"/>
  <c r="AN222" i="10" s="1"/>
  <c r="AJ230" i="10"/>
  <c r="AM230" i="10" s="1"/>
  <c r="AN230" i="10" s="1"/>
  <c r="AJ237" i="10"/>
  <c r="AM237" i="10" s="1"/>
  <c r="AN237" i="10" s="1"/>
  <c r="AJ242" i="10"/>
  <c r="AM242" i="10" s="1"/>
  <c r="AN242" i="10" s="1"/>
  <c r="AJ250" i="10"/>
  <c r="AM250" i="10" s="1"/>
  <c r="AN250" i="10" s="1"/>
  <c r="AJ252" i="10"/>
  <c r="AM252" i="10" s="1"/>
  <c r="AN252" i="10" s="1"/>
  <c r="AJ189" i="10"/>
  <c r="AM189" i="10" s="1"/>
  <c r="AN189" i="10" s="1"/>
  <c r="AJ251" i="10"/>
  <c r="AM251" i="10" s="1"/>
  <c r="AN251" i="10" s="1"/>
  <c r="AJ227" i="10"/>
  <c r="AM227" i="10" s="1"/>
  <c r="AN227" i="10" s="1"/>
  <c r="AJ165" i="10"/>
  <c r="AM165" i="10" s="1"/>
  <c r="AN165" i="10" s="1"/>
  <c r="AJ173" i="10"/>
  <c r="AM173" i="10" s="1"/>
  <c r="AN173" i="10" s="1"/>
  <c r="AJ185" i="10"/>
  <c r="AM185" i="10" s="1"/>
  <c r="AN185" i="10" s="1"/>
  <c r="AJ203" i="10"/>
  <c r="AM203" i="10" s="1"/>
  <c r="AN203" i="10" s="1"/>
  <c r="AJ213" i="10"/>
  <c r="AM213" i="10" s="1"/>
  <c r="AN213" i="10" s="1"/>
  <c r="AJ220" i="10"/>
  <c r="AM220" i="10" s="1"/>
  <c r="AN220" i="10" s="1"/>
  <c r="AJ225" i="10"/>
  <c r="AM225" i="10" s="1"/>
  <c r="AN225" i="10" s="1"/>
  <c r="AJ233" i="10"/>
  <c r="AM233" i="10" s="1"/>
  <c r="AN233" i="10" s="1"/>
  <c r="AJ235" i="10"/>
  <c r="AM235" i="10" s="1"/>
  <c r="AN235" i="10" s="1"/>
  <c r="AJ245" i="10"/>
  <c r="AM245" i="10" s="1"/>
  <c r="AN245" i="10" s="1"/>
  <c r="AJ177" i="10"/>
  <c r="AM177" i="10" s="1"/>
  <c r="AN177" i="10" s="1"/>
  <c r="AJ188" i="10"/>
  <c r="AM188" i="10" s="1"/>
  <c r="AN188" i="10" s="1"/>
  <c r="AJ193" i="10"/>
  <c r="AM193" i="10" s="1"/>
  <c r="AN193" i="10" s="1"/>
  <c r="AJ198" i="10"/>
  <c r="AM198" i="10" s="1"/>
  <c r="AN198" i="10" s="1"/>
  <c r="AJ206" i="10"/>
  <c r="AM206" i="10" s="1"/>
  <c r="AN206" i="10" s="1"/>
  <c r="AJ211" i="10"/>
  <c r="AM211" i="10" s="1"/>
  <c r="AN211" i="10" s="1"/>
  <c r="AJ218" i="10"/>
  <c r="AM218" i="10" s="1"/>
  <c r="AN218" i="10" s="1"/>
  <c r="AJ228" i="10"/>
  <c r="AM228" i="10" s="1"/>
  <c r="AN228" i="10" s="1"/>
  <c r="AJ240" i="10"/>
  <c r="AM240" i="10" s="1"/>
  <c r="AN240" i="10" s="1"/>
  <c r="AJ248" i="10"/>
  <c r="AM248" i="10" s="1"/>
  <c r="AN248" i="10" s="1"/>
  <c r="AJ229" i="10"/>
  <c r="AM229" i="10" s="1"/>
  <c r="AN229" i="10" s="1"/>
  <c r="AJ239" i="10"/>
  <c r="AM239" i="10" s="1"/>
  <c r="AN239" i="10" s="1"/>
  <c r="AJ183" i="10"/>
  <c r="AM183" i="10" s="1"/>
  <c r="AN183" i="10" s="1"/>
  <c r="AJ191" i="10"/>
  <c r="AM191" i="10" s="1"/>
  <c r="AN191" i="10" s="1"/>
  <c r="AJ201" i="10"/>
  <c r="AM201" i="10" s="1"/>
  <c r="AN201" i="10" s="1"/>
  <c r="AJ216" i="10"/>
  <c r="AM216" i="10" s="1"/>
  <c r="AN216" i="10" s="1"/>
  <c r="AJ223" i="10"/>
  <c r="AM223" i="10" s="1"/>
  <c r="AN223" i="10" s="1"/>
  <c r="AJ231" i="10"/>
  <c r="AM231" i="10" s="1"/>
  <c r="AN231" i="10" s="1"/>
  <c r="AJ238" i="10"/>
  <c r="AM238" i="10" s="1"/>
  <c r="AN238" i="10" s="1"/>
  <c r="AJ243" i="10"/>
  <c r="AM243" i="10" s="1"/>
  <c r="AN243" i="10" s="1"/>
  <c r="AJ253" i="10"/>
  <c r="AM253" i="10" s="1"/>
  <c r="AN253" i="10" s="1"/>
  <c r="AJ171" i="10"/>
  <c r="AM171" i="10" s="1"/>
  <c r="AN171" i="10" s="1"/>
  <c r="AJ199" i="10"/>
  <c r="AM199" i="10" s="1"/>
  <c r="AN199" i="10" s="1"/>
  <c r="AJ207" i="10"/>
  <c r="AM207" i="10" s="1"/>
  <c r="AN207" i="10" s="1"/>
  <c r="AJ221" i="10"/>
  <c r="AM221" i="10" s="1"/>
  <c r="AN221" i="10" s="1"/>
  <c r="AJ178" i="10"/>
  <c r="AM178" i="10" s="1"/>
  <c r="AN178" i="10" s="1"/>
  <c r="AJ186" i="10"/>
  <c r="AM186" i="10" s="1"/>
  <c r="AN186" i="10" s="1"/>
  <c r="AJ196" i="10"/>
  <c r="AM196" i="10" s="1"/>
  <c r="AN196" i="10" s="1"/>
  <c r="AJ204" i="10"/>
  <c r="AM204" i="10" s="1"/>
  <c r="AN204" i="10" s="1"/>
  <c r="AJ209" i="10"/>
  <c r="AM209" i="10" s="1"/>
  <c r="AN209" i="10" s="1"/>
  <c r="AJ214" i="10"/>
  <c r="AM214" i="10" s="1"/>
  <c r="AN214" i="10" s="1"/>
  <c r="AJ226" i="10"/>
  <c r="AM226" i="10" s="1"/>
  <c r="AN226" i="10" s="1"/>
  <c r="AJ234" i="10"/>
  <c r="AM234" i="10" s="1"/>
  <c r="AN234" i="10" s="1"/>
  <c r="AJ236" i="10"/>
  <c r="AM236" i="10" s="1"/>
  <c r="AN236" i="10" s="1"/>
  <c r="AJ246" i="10"/>
  <c r="AM246" i="10" s="1"/>
  <c r="AN246" i="10" s="1"/>
  <c r="AJ194" i="10"/>
  <c r="AM194" i="10" s="1"/>
  <c r="AN194" i="10" s="1"/>
  <c r="AJ241" i="10"/>
  <c r="AM241" i="10" s="1"/>
  <c r="AN241" i="10" s="1"/>
  <c r="AJ249" i="10"/>
  <c r="AM249" i="10" s="1"/>
  <c r="AN249" i="10" s="1"/>
  <c r="AJ205" i="10"/>
  <c r="AM205" i="10" s="1"/>
  <c r="AN205" i="10" s="1"/>
  <c r="AJ247" i="10"/>
  <c r="AM247" i="10" s="1"/>
  <c r="AN247" i="10" s="1"/>
  <c r="AJ160" i="10"/>
  <c r="AM160" i="10" s="1"/>
  <c r="AN160" i="10" s="1"/>
  <c r="AJ164" i="10"/>
  <c r="AM164" i="10" s="1"/>
  <c r="AN164" i="10" s="1"/>
  <c r="AJ181" i="10"/>
  <c r="AM181" i="10" s="1"/>
  <c r="AN181" i="10" s="1"/>
  <c r="AJ184" i="10"/>
  <c r="AM184" i="10" s="1"/>
  <c r="AN184" i="10" s="1"/>
  <c r="AJ192" i="10"/>
  <c r="AM192" i="10" s="1"/>
  <c r="AN192" i="10" s="1"/>
  <c r="AJ202" i="10"/>
  <c r="AM202" i="10" s="1"/>
  <c r="AN202" i="10" s="1"/>
  <c r="AJ212" i="10"/>
  <c r="AM212" i="10" s="1"/>
  <c r="AN212" i="10" s="1"/>
  <c r="AJ219" i="10"/>
  <c r="AM219" i="10" s="1"/>
  <c r="AN219" i="10" s="1"/>
  <c r="AJ224" i="10"/>
  <c r="AM224" i="10" s="1"/>
  <c r="AN224" i="10" s="1"/>
  <c r="AJ232" i="10"/>
  <c r="AM232" i="10" s="1"/>
  <c r="AN232" i="10" s="1"/>
  <c r="AJ244" i="10"/>
  <c r="AM244" i="10" s="1"/>
  <c r="AN244" i="10" s="1"/>
  <c r="AJ254" i="10"/>
  <c r="AM254" i="10" s="1"/>
  <c r="AN254" i="10" s="1"/>
  <c r="AJ168" i="10"/>
  <c r="AM168" i="10" s="1"/>
  <c r="AN168" i="10" s="1"/>
  <c r="AJ172" i="10"/>
  <c r="AM172" i="10" s="1"/>
  <c r="AN172" i="10" s="1"/>
  <c r="AJ179" i="10"/>
  <c r="AM179" i="10" s="1"/>
  <c r="AN179" i="10" s="1"/>
  <c r="AJ187" i="10"/>
  <c r="AM187" i="10" s="1"/>
  <c r="AN187" i="10" s="1"/>
  <c r="AJ197" i="10"/>
  <c r="AM197" i="10" s="1"/>
  <c r="AN197" i="10" s="1"/>
  <c r="AJ210" i="10"/>
  <c r="AM210" i="10" s="1"/>
  <c r="AN210" i="10" s="1"/>
  <c r="AJ217" i="10"/>
  <c r="AM217" i="10" s="1"/>
  <c r="AN217" i="10" s="1"/>
  <c r="BK156" i="10"/>
  <c r="AJ156" i="10"/>
  <c r="AM156" i="10" s="1"/>
  <c r="AN156" i="10" s="1"/>
  <c r="AQ156" i="10" s="1"/>
  <c r="AJ148" i="10"/>
  <c r="AM148" i="10" s="1"/>
  <c r="AN148" i="10" s="1"/>
  <c r="AJ144" i="10"/>
  <c r="AM144" i="10" s="1"/>
  <c r="AN144" i="10" s="1"/>
  <c r="AJ143" i="10"/>
  <c r="AM143" i="10" s="1"/>
  <c r="AN143" i="10" s="1"/>
  <c r="AJ139" i="10"/>
  <c r="AM139" i="10" s="1"/>
  <c r="AN139" i="10" s="1"/>
  <c r="AJ134" i="10"/>
  <c r="AM134" i="10" s="1"/>
  <c r="AN134" i="10" s="1"/>
  <c r="AJ130" i="10"/>
  <c r="AM130" i="10" s="1"/>
  <c r="AN130" i="10" s="1"/>
  <c r="AJ153" i="10"/>
  <c r="AM153" i="10" s="1"/>
  <c r="AN153" i="10" s="1"/>
  <c r="AJ152" i="10"/>
  <c r="AM152" i="10" s="1"/>
  <c r="AN152" i="10" s="1"/>
  <c r="AJ140" i="10"/>
  <c r="AM140" i="10" s="1"/>
  <c r="AN140" i="10" s="1"/>
  <c r="AJ135" i="10"/>
  <c r="AM135" i="10" s="1"/>
  <c r="AN135" i="10" s="1"/>
  <c r="AJ141" i="10"/>
  <c r="AM141" i="10" s="1"/>
  <c r="AN141" i="10" s="1"/>
  <c r="AJ137" i="10"/>
  <c r="AM137" i="10" s="1"/>
  <c r="AN137" i="10" s="1"/>
  <c r="AJ136" i="10"/>
  <c r="AM136" i="10" s="1"/>
  <c r="AN136" i="10" s="1"/>
  <c r="AJ151" i="10"/>
  <c r="AM151" i="10" s="1"/>
  <c r="AN151" i="10" s="1"/>
  <c r="AJ146" i="10"/>
  <c r="AM146" i="10" s="1"/>
  <c r="AN146" i="10" s="1"/>
  <c r="AJ142" i="10"/>
  <c r="AM142" i="10" s="1"/>
  <c r="AN142" i="10" s="1"/>
  <c r="AJ147" i="10"/>
  <c r="AM147" i="10" s="1"/>
  <c r="AN147" i="10" s="1"/>
  <c r="AJ145" i="10"/>
  <c r="AM145" i="10" s="1"/>
  <c r="AN145" i="10" s="1"/>
  <c r="AJ131" i="10"/>
  <c r="AM131" i="10" s="1"/>
  <c r="AN131" i="10" s="1"/>
  <c r="AJ132" i="10"/>
  <c r="AM132" i="10" s="1"/>
  <c r="AN132" i="10" s="1"/>
  <c r="AJ127" i="10"/>
  <c r="AM127" i="10" s="1"/>
  <c r="AN127" i="10" s="1"/>
  <c r="AJ125" i="10"/>
  <c r="AM125" i="10" s="1"/>
  <c r="AN125" i="10" s="1"/>
  <c r="AJ126" i="10"/>
  <c r="AM126" i="10" s="1"/>
  <c r="AN126" i="10" s="1"/>
  <c r="AJ110" i="10"/>
  <c r="AM110" i="10" s="1"/>
  <c r="AN110" i="10" s="1"/>
  <c r="AJ111" i="10"/>
  <c r="AM111" i="10" s="1"/>
  <c r="AN111" i="10" s="1"/>
  <c r="AJ133" i="10"/>
  <c r="AM133" i="10" s="1"/>
  <c r="AN133" i="10" s="1"/>
  <c r="AJ128" i="10"/>
  <c r="AM128" i="10" s="1"/>
  <c r="AN128" i="10" s="1"/>
  <c r="AJ149" i="10"/>
  <c r="AM149" i="10" s="1"/>
  <c r="AN149" i="10" s="1"/>
  <c r="AJ118" i="10"/>
  <c r="AM118" i="10" s="1"/>
  <c r="AN118" i="10" s="1"/>
  <c r="AJ97" i="10"/>
  <c r="AM97" i="10" s="1"/>
  <c r="AN97" i="10" s="1"/>
  <c r="AJ92" i="10"/>
  <c r="AM92" i="10" s="1"/>
  <c r="AN92" i="10" s="1"/>
  <c r="AJ88" i="10"/>
  <c r="AM88" i="10" s="1"/>
  <c r="AN88" i="10" s="1"/>
  <c r="AJ87" i="10"/>
  <c r="AM87" i="10" s="1"/>
  <c r="AN87" i="10" s="1"/>
  <c r="AJ129" i="10"/>
  <c r="AM129" i="10" s="1"/>
  <c r="AN129" i="10" s="1"/>
  <c r="AJ123" i="10"/>
  <c r="AM123" i="10" s="1"/>
  <c r="AN123" i="10" s="1"/>
  <c r="AJ115" i="10"/>
  <c r="AM115" i="10" s="1"/>
  <c r="AN115" i="10" s="1"/>
  <c r="AJ114" i="10"/>
  <c r="AM114" i="10" s="1"/>
  <c r="AN114" i="10" s="1"/>
  <c r="AJ113" i="10"/>
  <c r="AM113" i="10" s="1"/>
  <c r="AN113" i="10" s="1"/>
  <c r="AJ109" i="10"/>
  <c r="AM109" i="10" s="1"/>
  <c r="AN109" i="10" s="1"/>
  <c r="AJ103" i="10"/>
  <c r="AM103" i="10" s="1"/>
  <c r="AN103" i="10" s="1"/>
  <c r="AJ98" i="10"/>
  <c r="AM98" i="10" s="1"/>
  <c r="AN98" i="10" s="1"/>
  <c r="AJ124" i="10"/>
  <c r="AM124" i="10" s="1"/>
  <c r="AN124" i="10" s="1"/>
  <c r="AJ121" i="10"/>
  <c r="AM121" i="10" s="1"/>
  <c r="AN121" i="10" s="1"/>
  <c r="AJ112" i="10"/>
  <c r="AM112" i="10" s="1"/>
  <c r="AN112" i="10" s="1"/>
  <c r="AJ104" i="10"/>
  <c r="AM104" i="10" s="1"/>
  <c r="AN104" i="10" s="1"/>
  <c r="AJ99" i="10"/>
  <c r="AM99" i="10" s="1"/>
  <c r="AN99" i="10" s="1"/>
  <c r="AJ95" i="10"/>
  <c r="AM95" i="10" s="1"/>
  <c r="AN95" i="10" s="1"/>
  <c r="AJ94" i="10"/>
  <c r="AM94" i="10" s="1"/>
  <c r="AN94" i="10" s="1"/>
  <c r="AJ119" i="10"/>
  <c r="AM119" i="10" s="1"/>
  <c r="AN119" i="10" s="1"/>
  <c r="AJ105" i="10"/>
  <c r="AM105" i="10" s="1"/>
  <c r="AN105" i="10" s="1"/>
  <c r="AJ100" i="10"/>
  <c r="AM100" i="10" s="1"/>
  <c r="AN100" i="10" s="1"/>
  <c r="AJ82" i="10"/>
  <c r="AM82" i="10" s="1"/>
  <c r="AN82" i="10" s="1"/>
  <c r="AJ106" i="10"/>
  <c r="AM106" i="10" s="1"/>
  <c r="AN106" i="10" s="1"/>
  <c r="AJ102" i="10"/>
  <c r="AM102" i="10" s="1"/>
  <c r="AN102" i="10" s="1"/>
  <c r="AJ101" i="10"/>
  <c r="AM101" i="10" s="1"/>
  <c r="AN101" i="10" s="1"/>
  <c r="AJ83" i="10"/>
  <c r="AM83" i="10" s="1"/>
  <c r="AN83" i="10" s="1"/>
  <c r="AJ120" i="10"/>
  <c r="AM120" i="10" s="1"/>
  <c r="AN120" i="10" s="1"/>
  <c r="AJ116" i="10"/>
  <c r="AM116" i="10" s="1"/>
  <c r="AN116" i="10" s="1"/>
  <c r="AJ138" i="10"/>
  <c r="AM138" i="10" s="1"/>
  <c r="AN138" i="10" s="1"/>
  <c r="AJ122" i="10"/>
  <c r="AM122" i="10" s="1"/>
  <c r="AN122" i="10" s="1"/>
  <c r="AJ84" i="10"/>
  <c r="AM84" i="10" s="1"/>
  <c r="AN84" i="10" s="1"/>
  <c r="AJ80" i="10"/>
  <c r="AM80" i="10" s="1"/>
  <c r="AN80" i="10" s="1"/>
  <c r="AJ93" i="10"/>
  <c r="AM93" i="10" s="1"/>
  <c r="AN93" i="10" s="1"/>
  <c r="AJ81" i="10"/>
  <c r="AM81" i="10" s="1"/>
  <c r="AN81" i="10" s="1"/>
  <c r="AJ75" i="10"/>
  <c r="AM75" i="10" s="1"/>
  <c r="AN75" i="10" s="1"/>
  <c r="AJ108" i="10"/>
  <c r="AM108" i="10" s="1"/>
  <c r="AN108" i="10" s="1"/>
  <c r="AJ91" i="10"/>
  <c r="AM91" i="10" s="1"/>
  <c r="AN91" i="10" s="1"/>
  <c r="AJ90" i="10"/>
  <c r="AM90" i="10" s="1"/>
  <c r="AN90" i="10" s="1"/>
  <c r="AJ76" i="10"/>
  <c r="AM76" i="10" s="1"/>
  <c r="AN76" i="10" s="1"/>
  <c r="AJ117" i="10"/>
  <c r="AM117" i="10" s="1"/>
  <c r="AN117" i="10" s="1"/>
  <c r="AJ107" i="10"/>
  <c r="AM107" i="10" s="1"/>
  <c r="AN107" i="10" s="1"/>
  <c r="AJ89" i="10"/>
  <c r="AM89" i="10" s="1"/>
  <c r="AN89" i="10" s="1"/>
  <c r="AJ79" i="10"/>
  <c r="AM79" i="10" s="1"/>
  <c r="AN79" i="10" s="1"/>
  <c r="AJ78" i="10"/>
  <c r="AM78" i="10" s="1"/>
  <c r="AN78" i="10" s="1"/>
  <c r="AJ74" i="10"/>
  <c r="AM74" i="10" s="1"/>
  <c r="AN74" i="10" s="1"/>
  <c r="AJ73" i="10"/>
  <c r="AM73" i="10" s="1"/>
  <c r="AN73" i="10" s="1"/>
  <c r="AJ96" i="10"/>
  <c r="AM96" i="10" s="1"/>
  <c r="AN96" i="10" s="1"/>
  <c r="AJ55" i="10"/>
  <c r="AM55" i="10" s="1"/>
  <c r="AN55" i="10" s="1"/>
  <c r="AJ50" i="10"/>
  <c r="AM50" i="10" s="1"/>
  <c r="AN50" i="10" s="1"/>
  <c r="AJ46" i="10"/>
  <c r="AM46" i="10" s="1"/>
  <c r="AN46" i="10" s="1"/>
  <c r="AJ45" i="10"/>
  <c r="AM45" i="10" s="1"/>
  <c r="AN45" i="10" s="1"/>
  <c r="AJ85" i="10"/>
  <c r="AM85" i="10" s="1"/>
  <c r="AN85" i="10" s="1"/>
  <c r="AJ72" i="10"/>
  <c r="AM72" i="10" s="1"/>
  <c r="AN72" i="10" s="1"/>
  <c r="AJ61" i="10"/>
  <c r="AM61" i="10" s="1"/>
  <c r="AN61" i="10" s="1"/>
  <c r="AJ86" i="10"/>
  <c r="AM86" i="10" s="1"/>
  <c r="AN86" i="10" s="1"/>
  <c r="AJ62" i="10"/>
  <c r="AM62" i="10" s="1"/>
  <c r="AN62" i="10" s="1"/>
  <c r="AJ57" i="10"/>
  <c r="AM57" i="10" s="1"/>
  <c r="AN57" i="10" s="1"/>
  <c r="AJ53" i="10"/>
  <c r="AM53" i="10" s="1"/>
  <c r="AN53" i="10" s="1"/>
  <c r="AJ52" i="10"/>
  <c r="AM52" i="10" s="1"/>
  <c r="AN52" i="10" s="1"/>
  <c r="AJ34" i="10"/>
  <c r="AM34" i="10" s="1"/>
  <c r="AN34" i="10" s="1"/>
  <c r="AJ31" i="10"/>
  <c r="AM31" i="10" s="1"/>
  <c r="AN31" i="10" s="1"/>
  <c r="J4" i="10"/>
  <c r="D8" i="10" s="1"/>
  <c r="AJ68" i="10"/>
  <c r="AM68" i="10" s="1"/>
  <c r="AN68" i="10" s="1"/>
  <c r="AJ63" i="10"/>
  <c r="AM63" i="10" s="1"/>
  <c r="AN63" i="10" s="1"/>
  <c r="AJ58" i="10"/>
  <c r="AM58" i="10" s="1"/>
  <c r="AN58" i="10" s="1"/>
  <c r="AJ40" i="10"/>
  <c r="AM40" i="10" s="1"/>
  <c r="AN40" i="10" s="1"/>
  <c r="AJ35" i="10"/>
  <c r="AM35" i="10" s="1"/>
  <c r="AN35" i="10" s="1"/>
  <c r="AJ77" i="10"/>
  <c r="AM77" i="10" s="1"/>
  <c r="AN77" i="10" s="1"/>
  <c r="AJ69" i="10"/>
  <c r="AM69" i="10" s="1"/>
  <c r="AN69" i="10" s="1"/>
  <c r="AJ64" i="10"/>
  <c r="AM64" i="10" s="1"/>
  <c r="AN64" i="10" s="1"/>
  <c r="AJ60" i="10"/>
  <c r="AM60" i="10" s="1"/>
  <c r="AN60" i="10" s="1"/>
  <c r="AJ59" i="10"/>
  <c r="AM59" i="10" s="1"/>
  <c r="AN59" i="10" s="1"/>
  <c r="AJ41" i="10"/>
  <c r="AM41" i="10" s="1"/>
  <c r="AN41" i="10" s="1"/>
  <c r="AJ36" i="10"/>
  <c r="AM36" i="10" s="1"/>
  <c r="AN36" i="10" s="1"/>
  <c r="AJ32" i="10"/>
  <c r="AM32" i="10" s="1"/>
  <c r="AJ65" i="10"/>
  <c r="AM65" i="10" s="1"/>
  <c r="AN65" i="10" s="1"/>
  <c r="AJ47" i="10"/>
  <c r="AM47" i="10" s="1"/>
  <c r="AN47" i="10" s="1"/>
  <c r="AJ42" i="10"/>
  <c r="AM42" i="10" s="1"/>
  <c r="AN42" i="10" s="1"/>
  <c r="AJ37" i="10"/>
  <c r="AM37" i="10" s="1"/>
  <c r="AN37" i="10" s="1"/>
  <c r="AJ71" i="10"/>
  <c r="AM71" i="10" s="1"/>
  <c r="AN71" i="10" s="1"/>
  <c r="AJ67" i="10"/>
  <c r="AM67" i="10" s="1"/>
  <c r="AN67" i="10" s="1"/>
  <c r="AJ66" i="10"/>
  <c r="AM66" i="10" s="1"/>
  <c r="AN66" i="10" s="1"/>
  <c r="AJ48" i="10"/>
  <c r="AM48" i="10" s="1"/>
  <c r="AN48" i="10" s="1"/>
  <c r="AJ43" i="10"/>
  <c r="AM43" i="10" s="1"/>
  <c r="AN43" i="10" s="1"/>
  <c r="AJ39" i="10"/>
  <c r="AM39" i="10" s="1"/>
  <c r="AN39" i="10" s="1"/>
  <c r="AJ38" i="10"/>
  <c r="AM38" i="10" s="1"/>
  <c r="AN38" i="10" s="1"/>
  <c r="AJ70" i="10"/>
  <c r="AM70" i="10" s="1"/>
  <c r="AN70" i="10" s="1"/>
  <c r="AJ49" i="10"/>
  <c r="AM49" i="10" s="1"/>
  <c r="AN49" i="10" s="1"/>
  <c r="AJ44" i="10"/>
  <c r="AM44" i="10" s="1"/>
  <c r="AN44" i="10" s="1"/>
  <c r="BK31" i="10"/>
  <c r="AJ5" i="10"/>
  <c r="G10" i="10"/>
  <c r="W7" i="10" s="1"/>
  <c r="AJ56" i="10"/>
  <c r="AM56" i="10" s="1"/>
  <c r="AN56" i="10" s="1"/>
  <c r="AJ54" i="10"/>
  <c r="AM54" i="10" s="1"/>
  <c r="AN54" i="10" s="1"/>
  <c r="AJ51" i="10"/>
  <c r="AM51" i="10" s="1"/>
  <c r="AN51" i="10" s="1"/>
  <c r="W3" i="10"/>
  <c r="AJ33" i="10"/>
  <c r="AM33" i="10" s="1"/>
  <c r="AN33" i="10" s="1"/>
  <c r="AW156" i="10"/>
  <c r="BI156" i="10" s="1"/>
  <c r="J11" i="10"/>
  <c r="Y7" i="10" s="1"/>
  <c r="AW31" i="10"/>
  <c r="BI31" i="10" s="1"/>
  <c r="BA31" i="10"/>
  <c r="BA156" i="10"/>
  <c r="BA31" i="9"/>
  <c r="BA140" i="9"/>
  <c r="AJ237" i="9"/>
  <c r="AM237" i="9" s="1"/>
  <c r="AN237" i="9" s="1"/>
  <c r="AJ233" i="9"/>
  <c r="AM233" i="9" s="1"/>
  <c r="AN233" i="9" s="1"/>
  <c r="AJ229" i="9"/>
  <c r="AM229" i="9" s="1"/>
  <c r="AN229" i="9" s="1"/>
  <c r="AJ225" i="9"/>
  <c r="AM225" i="9" s="1"/>
  <c r="AN225" i="9" s="1"/>
  <c r="AJ240" i="9"/>
  <c r="AM240" i="9" s="1"/>
  <c r="AN240" i="9" s="1"/>
  <c r="AJ231" i="9"/>
  <c r="AM231" i="9" s="1"/>
  <c r="AN231" i="9" s="1"/>
  <c r="AJ224" i="9"/>
  <c r="AM224" i="9" s="1"/>
  <c r="AN224" i="9" s="1"/>
  <c r="AJ217" i="9"/>
  <c r="AM217" i="9" s="1"/>
  <c r="AN217" i="9" s="1"/>
  <c r="AJ238" i="9"/>
  <c r="AM238" i="9" s="1"/>
  <c r="AN238" i="9" s="1"/>
  <c r="AJ236" i="9"/>
  <c r="AM236" i="9" s="1"/>
  <c r="AN236" i="9" s="1"/>
  <c r="AJ228" i="9"/>
  <c r="AM228" i="9" s="1"/>
  <c r="AN228" i="9" s="1"/>
  <c r="AJ220" i="9"/>
  <c r="AM220" i="9" s="1"/>
  <c r="AN220" i="9" s="1"/>
  <c r="CE220" i="9" s="1"/>
  <c r="AJ232" i="9"/>
  <c r="AM232" i="9" s="1"/>
  <c r="AN232" i="9" s="1"/>
  <c r="AJ226" i="9"/>
  <c r="AM226" i="9" s="1"/>
  <c r="AN226" i="9" s="1"/>
  <c r="AJ222" i="9"/>
  <c r="AM222" i="9" s="1"/>
  <c r="AN222" i="9" s="1"/>
  <c r="AJ218" i="9"/>
  <c r="AM218" i="9" s="1"/>
  <c r="AN218" i="9" s="1"/>
  <c r="AJ239" i="9"/>
  <c r="AM239" i="9" s="1"/>
  <c r="AN239" i="9" s="1"/>
  <c r="AJ235" i="9"/>
  <c r="AM235" i="9" s="1"/>
  <c r="AN235" i="9" s="1"/>
  <c r="CE235" i="9" s="1"/>
  <c r="AJ219" i="9"/>
  <c r="AM219" i="9" s="1"/>
  <c r="AN219" i="9" s="1"/>
  <c r="AJ212" i="9"/>
  <c r="AM212" i="9" s="1"/>
  <c r="AN212" i="9" s="1"/>
  <c r="AJ208" i="9"/>
  <c r="AM208" i="9" s="1"/>
  <c r="AN208" i="9" s="1"/>
  <c r="AJ234" i="9"/>
  <c r="AM234" i="9" s="1"/>
  <c r="AN234" i="9" s="1"/>
  <c r="AJ216" i="9"/>
  <c r="AM216" i="9" s="1"/>
  <c r="AN216" i="9" s="1"/>
  <c r="AJ213" i="9"/>
  <c r="AM213" i="9" s="1"/>
  <c r="AN213" i="9" s="1"/>
  <c r="AJ211" i="9"/>
  <c r="AM211" i="9" s="1"/>
  <c r="AN211" i="9" s="1"/>
  <c r="AJ215" i="9"/>
  <c r="AM215" i="9" s="1"/>
  <c r="AN215" i="9" s="1"/>
  <c r="CE215" i="9" s="1"/>
  <c r="AJ207" i="9"/>
  <c r="AM207" i="9" s="1"/>
  <c r="AN207" i="9" s="1"/>
  <c r="AJ206" i="9"/>
  <c r="AM206" i="9" s="1"/>
  <c r="AN206" i="9" s="1"/>
  <c r="AJ221" i="9"/>
  <c r="AM221" i="9" s="1"/>
  <c r="AN221" i="9" s="1"/>
  <c r="AJ214" i="9"/>
  <c r="AM214" i="9" s="1"/>
  <c r="AN214" i="9" s="1"/>
  <c r="AJ223" i="9"/>
  <c r="AM223" i="9" s="1"/>
  <c r="AN223" i="9" s="1"/>
  <c r="AJ202" i="9"/>
  <c r="AM202" i="9" s="1"/>
  <c r="AN202" i="9" s="1"/>
  <c r="AJ205" i="9"/>
  <c r="AM205" i="9" s="1"/>
  <c r="AN205" i="9" s="1"/>
  <c r="AJ196" i="9"/>
  <c r="AM196" i="9" s="1"/>
  <c r="AN196" i="9" s="1"/>
  <c r="AJ192" i="9"/>
  <c r="AM192" i="9" s="1"/>
  <c r="AN192" i="9" s="1"/>
  <c r="AJ188" i="9"/>
  <c r="AM188" i="9" s="1"/>
  <c r="AN188" i="9" s="1"/>
  <c r="AJ184" i="9"/>
  <c r="AM184" i="9" s="1"/>
  <c r="AN184" i="9" s="1"/>
  <c r="AJ198" i="9"/>
  <c r="AM198" i="9" s="1"/>
  <c r="AN198" i="9" s="1"/>
  <c r="AJ186" i="9"/>
  <c r="AM186" i="9" s="1"/>
  <c r="AN186" i="9" s="1"/>
  <c r="AJ182" i="9"/>
  <c r="AM182" i="9" s="1"/>
  <c r="AN182" i="9" s="1"/>
  <c r="AJ178" i="9"/>
  <c r="AM178" i="9" s="1"/>
  <c r="AN178" i="9" s="1"/>
  <c r="AJ227" i="9"/>
  <c r="AM227" i="9" s="1"/>
  <c r="AN227" i="9" s="1"/>
  <c r="AJ199" i="9"/>
  <c r="AM199" i="9" s="1"/>
  <c r="AN199" i="9" s="1"/>
  <c r="AJ197" i="9"/>
  <c r="AM197" i="9" s="1"/>
  <c r="AN197" i="9" s="1"/>
  <c r="AJ193" i="9"/>
  <c r="AM193" i="9" s="1"/>
  <c r="AN193" i="9" s="1"/>
  <c r="AJ189" i="9"/>
  <c r="AM189" i="9" s="1"/>
  <c r="AN189" i="9" s="1"/>
  <c r="AJ210" i="9"/>
  <c r="AM210" i="9" s="1"/>
  <c r="AN210" i="9" s="1"/>
  <c r="AJ195" i="9"/>
  <c r="AM195" i="9" s="1"/>
  <c r="AN195" i="9" s="1"/>
  <c r="AJ191" i="9"/>
  <c r="AM191" i="9" s="1"/>
  <c r="AN191" i="9" s="1"/>
  <c r="AJ190" i="9"/>
  <c r="AM190" i="9" s="1"/>
  <c r="AN190" i="9" s="1"/>
  <c r="AJ187" i="9"/>
  <c r="AM187" i="9" s="1"/>
  <c r="AN187" i="9" s="1"/>
  <c r="AJ183" i="9"/>
  <c r="AM183" i="9" s="1"/>
  <c r="AN183" i="9" s="1"/>
  <c r="AJ181" i="9"/>
  <c r="AM181" i="9" s="1"/>
  <c r="AN181" i="9" s="1"/>
  <c r="AJ172" i="9"/>
  <c r="AM172" i="9" s="1"/>
  <c r="AN172" i="9" s="1"/>
  <c r="AJ177" i="9"/>
  <c r="AM177" i="9" s="1"/>
  <c r="AN177" i="9" s="1"/>
  <c r="AJ176" i="9"/>
  <c r="AM176" i="9" s="1"/>
  <c r="AN176" i="9" s="1"/>
  <c r="AJ175" i="9"/>
  <c r="AM175" i="9" s="1"/>
  <c r="AN175" i="9" s="1"/>
  <c r="AJ200" i="9"/>
  <c r="AM200" i="9" s="1"/>
  <c r="AN200" i="9" s="1"/>
  <c r="AJ185" i="9"/>
  <c r="AM185" i="9" s="1"/>
  <c r="AN185" i="9" s="1"/>
  <c r="AJ230" i="9"/>
  <c r="AM230" i="9" s="1"/>
  <c r="AN230" i="9" s="1"/>
  <c r="AJ164" i="9"/>
  <c r="AM164" i="9" s="1"/>
  <c r="AN164" i="9" s="1"/>
  <c r="AJ161" i="9"/>
  <c r="AM161" i="9" s="1"/>
  <c r="AN161" i="9" s="1"/>
  <c r="AJ146" i="9"/>
  <c r="AM146" i="9" s="1"/>
  <c r="AN146" i="9" s="1"/>
  <c r="AJ142" i="9"/>
  <c r="AM142" i="9" s="1"/>
  <c r="AN142" i="9" s="1"/>
  <c r="AJ194" i="9"/>
  <c r="AM194" i="9" s="1"/>
  <c r="AN194" i="9" s="1"/>
  <c r="AJ157" i="9"/>
  <c r="AM157" i="9" s="1"/>
  <c r="AN157" i="9" s="1"/>
  <c r="AJ153" i="9"/>
  <c r="AM153" i="9" s="1"/>
  <c r="AN153" i="9" s="1"/>
  <c r="AJ149" i="9"/>
  <c r="AM149" i="9" s="1"/>
  <c r="AN149" i="9" s="1"/>
  <c r="AJ145" i="9"/>
  <c r="AM145" i="9" s="1"/>
  <c r="AN145" i="9" s="1"/>
  <c r="AJ134" i="9"/>
  <c r="AM134" i="9" s="1"/>
  <c r="AN134" i="9" s="1"/>
  <c r="AJ132" i="9"/>
  <c r="AM132" i="9" s="1"/>
  <c r="AN132" i="9" s="1"/>
  <c r="AJ129" i="9"/>
  <c r="AM129" i="9" s="1"/>
  <c r="AN129" i="9" s="1"/>
  <c r="AJ201" i="9"/>
  <c r="AM201" i="9" s="1"/>
  <c r="AN201" i="9" s="1"/>
  <c r="AJ165" i="9"/>
  <c r="AM165" i="9" s="1"/>
  <c r="AN165" i="9" s="1"/>
  <c r="AJ204" i="9"/>
  <c r="AM204" i="9" s="1"/>
  <c r="AN204" i="9" s="1"/>
  <c r="AJ180" i="9"/>
  <c r="AM180" i="9" s="1"/>
  <c r="AN180" i="9" s="1"/>
  <c r="CE180" i="9" s="1"/>
  <c r="AJ174" i="9"/>
  <c r="AM174" i="9" s="1"/>
  <c r="AN174" i="9" s="1"/>
  <c r="AJ173" i="9"/>
  <c r="AM173" i="9" s="1"/>
  <c r="AN173" i="9" s="1"/>
  <c r="AJ167" i="9"/>
  <c r="AM167" i="9" s="1"/>
  <c r="AN167" i="9" s="1"/>
  <c r="AJ203" i="9"/>
  <c r="AM203" i="9" s="1"/>
  <c r="AN203" i="9" s="1"/>
  <c r="AJ170" i="9"/>
  <c r="AM170" i="9" s="1"/>
  <c r="AN170" i="9" s="1"/>
  <c r="AJ162" i="9"/>
  <c r="AM162" i="9" s="1"/>
  <c r="AN162" i="9" s="1"/>
  <c r="AJ169" i="9"/>
  <c r="AM169" i="9" s="1"/>
  <c r="AN169" i="9" s="1"/>
  <c r="AJ168" i="9"/>
  <c r="AM168" i="9" s="1"/>
  <c r="AN168" i="9" s="1"/>
  <c r="AJ159" i="9"/>
  <c r="AM159" i="9" s="1"/>
  <c r="AN159" i="9" s="1"/>
  <c r="AJ152" i="9"/>
  <c r="AM152" i="9" s="1"/>
  <c r="AN152" i="9" s="1"/>
  <c r="AJ148" i="9"/>
  <c r="AM148" i="9" s="1"/>
  <c r="AN148" i="9" s="1"/>
  <c r="AJ123" i="9"/>
  <c r="AM123" i="9" s="1"/>
  <c r="AN123" i="9" s="1"/>
  <c r="AJ116" i="9"/>
  <c r="AM116" i="9" s="1"/>
  <c r="AN116" i="9" s="1"/>
  <c r="AJ171" i="9"/>
  <c r="AM171" i="9" s="1"/>
  <c r="AN171" i="9" s="1"/>
  <c r="AJ156" i="9"/>
  <c r="AM156" i="9" s="1"/>
  <c r="AN156" i="9" s="1"/>
  <c r="AJ209" i="9"/>
  <c r="AM209" i="9" s="1"/>
  <c r="AN209" i="9" s="1"/>
  <c r="AJ158" i="9"/>
  <c r="AM158" i="9" s="1"/>
  <c r="AN158" i="9" s="1"/>
  <c r="AJ163" i="9"/>
  <c r="AM163" i="9" s="1"/>
  <c r="AN163" i="9" s="1"/>
  <c r="AJ154" i="9"/>
  <c r="AM154" i="9" s="1"/>
  <c r="AN154" i="9" s="1"/>
  <c r="AJ151" i="9"/>
  <c r="AM151" i="9" s="1"/>
  <c r="AN151" i="9" s="1"/>
  <c r="AJ150" i="9"/>
  <c r="AM150" i="9" s="1"/>
  <c r="AN150" i="9" s="1"/>
  <c r="AJ147" i="9"/>
  <c r="AM147" i="9" s="1"/>
  <c r="AN147" i="9" s="1"/>
  <c r="AJ128" i="9"/>
  <c r="AM128" i="9" s="1"/>
  <c r="AN128" i="9" s="1"/>
  <c r="AJ127" i="9"/>
  <c r="AM127" i="9" s="1"/>
  <c r="AN127" i="9" s="1"/>
  <c r="AJ160" i="9"/>
  <c r="AM160" i="9" s="1"/>
  <c r="AN160" i="9" s="1"/>
  <c r="AJ120" i="9"/>
  <c r="AM120" i="9" s="1"/>
  <c r="AN120" i="9" s="1"/>
  <c r="CE120" i="9" s="1"/>
  <c r="AJ108" i="9"/>
  <c r="AM108" i="9" s="1"/>
  <c r="AN108" i="9" s="1"/>
  <c r="AJ166" i="9"/>
  <c r="AM166" i="9" s="1"/>
  <c r="AN166" i="9" s="1"/>
  <c r="AJ133" i="9"/>
  <c r="AM133" i="9" s="1"/>
  <c r="AN133" i="9" s="1"/>
  <c r="AJ131" i="9"/>
  <c r="AM131" i="9" s="1"/>
  <c r="AN131" i="9" s="1"/>
  <c r="AJ125" i="9"/>
  <c r="AM125" i="9" s="1"/>
  <c r="AN125" i="9" s="1"/>
  <c r="AJ179" i="9"/>
  <c r="AM179" i="9" s="1"/>
  <c r="AN179" i="9" s="1"/>
  <c r="AJ144" i="9"/>
  <c r="AM144" i="9" s="1"/>
  <c r="AN144" i="9" s="1"/>
  <c r="AJ126" i="9"/>
  <c r="AM126" i="9" s="1"/>
  <c r="AN126" i="9" s="1"/>
  <c r="AJ124" i="9"/>
  <c r="AM124" i="9" s="1"/>
  <c r="AN124" i="9" s="1"/>
  <c r="AJ122" i="9"/>
  <c r="AM122" i="9" s="1"/>
  <c r="AN122" i="9" s="1"/>
  <c r="AJ121" i="9"/>
  <c r="AM121" i="9" s="1"/>
  <c r="AN121" i="9" s="1"/>
  <c r="AJ111" i="9"/>
  <c r="AM111" i="9" s="1"/>
  <c r="AN111" i="9" s="1"/>
  <c r="AJ143" i="9"/>
  <c r="AM143" i="9" s="1"/>
  <c r="AN143" i="9" s="1"/>
  <c r="AJ119" i="9"/>
  <c r="AM119" i="9" s="1"/>
  <c r="AN119" i="9" s="1"/>
  <c r="AJ141" i="9"/>
  <c r="AM141" i="9" s="1"/>
  <c r="AN141" i="9" s="1"/>
  <c r="AJ117" i="9"/>
  <c r="AM117" i="9" s="1"/>
  <c r="AN117" i="9" s="1"/>
  <c r="AJ113" i="9"/>
  <c r="AM113" i="9" s="1"/>
  <c r="AN113" i="9" s="1"/>
  <c r="AJ109" i="9"/>
  <c r="AM109" i="9" s="1"/>
  <c r="AN109" i="9" s="1"/>
  <c r="AJ106" i="9"/>
  <c r="AM106" i="9" s="1"/>
  <c r="AN106" i="9" s="1"/>
  <c r="AJ105" i="9"/>
  <c r="AM105" i="9" s="1"/>
  <c r="AN105" i="9" s="1"/>
  <c r="AJ118" i="9"/>
  <c r="AM118" i="9" s="1"/>
  <c r="AN118" i="9" s="1"/>
  <c r="AJ155" i="9"/>
  <c r="AM155" i="9" s="1"/>
  <c r="AN155" i="9" s="1"/>
  <c r="CE155" i="9" s="1"/>
  <c r="AJ140" i="9"/>
  <c r="AM140" i="9" s="1"/>
  <c r="AN140" i="9" s="1"/>
  <c r="AJ104" i="9"/>
  <c r="AM104" i="9" s="1"/>
  <c r="AN104" i="9" s="1"/>
  <c r="AJ101" i="9"/>
  <c r="AM101" i="9" s="1"/>
  <c r="AN101" i="9" s="1"/>
  <c r="AJ88" i="9"/>
  <c r="AM88" i="9" s="1"/>
  <c r="AN88" i="9" s="1"/>
  <c r="AJ81" i="9"/>
  <c r="AM81" i="9" s="1"/>
  <c r="AN81" i="9" s="1"/>
  <c r="AJ115" i="9"/>
  <c r="AM115" i="9" s="1"/>
  <c r="AN115" i="9" s="1"/>
  <c r="AJ97" i="9"/>
  <c r="AM97" i="9" s="1"/>
  <c r="AN97" i="9" s="1"/>
  <c r="AJ130" i="9"/>
  <c r="AM130" i="9" s="1"/>
  <c r="AN130" i="9" s="1"/>
  <c r="CE130" i="9" s="1"/>
  <c r="AJ89" i="9"/>
  <c r="AM89" i="9" s="1"/>
  <c r="AN89" i="9" s="1"/>
  <c r="AJ85" i="9"/>
  <c r="AM85" i="9" s="1"/>
  <c r="AN85" i="9" s="1"/>
  <c r="CE85" i="9" s="1"/>
  <c r="AJ82" i="9"/>
  <c r="AM82" i="9" s="1"/>
  <c r="AN82" i="9" s="1"/>
  <c r="AJ98" i="9"/>
  <c r="AM98" i="9" s="1"/>
  <c r="AN98" i="9" s="1"/>
  <c r="AJ91" i="9"/>
  <c r="AM91" i="9" s="1"/>
  <c r="AN91" i="9" s="1"/>
  <c r="AJ78" i="9"/>
  <c r="AM78" i="9" s="1"/>
  <c r="AN78" i="9" s="1"/>
  <c r="AJ114" i="9"/>
  <c r="AM114" i="9" s="1"/>
  <c r="AN114" i="9" s="1"/>
  <c r="AJ100" i="9"/>
  <c r="AM100" i="9" s="1"/>
  <c r="AN100" i="9" s="1"/>
  <c r="AJ94" i="9"/>
  <c r="AM94" i="9" s="1"/>
  <c r="AN94" i="9" s="1"/>
  <c r="AJ90" i="9"/>
  <c r="AM90" i="9" s="1"/>
  <c r="AN90" i="9" s="1"/>
  <c r="CE90" i="9" s="1"/>
  <c r="AJ87" i="9"/>
  <c r="AM87" i="9" s="1"/>
  <c r="AN87" i="9" s="1"/>
  <c r="AJ74" i="9"/>
  <c r="AM74" i="9" s="1"/>
  <c r="AN74" i="9" s="1"/>
  <c r="AJ107" i="9"/>
  <c r="AM107" i="9" s="1"/>
  <c r="AN107" i="9" s="1"/>
  <c r="AJ96" i="9"/>
  <c r="AM96" i="9" s="1"/>
  <c r="AN96" i="9" s="1"/>
  <c r="AJ83" i="9"/>
  <c r="AM83" i="9" s="1"/>
  <c r="AN83" i="9" s="1"/>
  <c r="AJ76" i="9"/>
  <c r="AM76" i="9" s="1"/>
  <c r="AN76" i="9" s="1"/>
  <c r="AJ95" i="9"/>
  <c r="AM95" i="9" s="1"/>
  <c r="AN95" i="9" s="1"/>
  <c r="AJ70" i="9"/>
  <c r="AM70" i="9" s="1"/>
  <c r="AN70" i="9" s="1"/>
  <c r="CE70" i="9" s="1"/>
  <c r="AJ59" i="9"/>
  <c r="AM59" i="9" s="1"/>
  <c r="AN59" i="9" s="1"/>
  <c r="AJ55" i="9"/>
  <c r="AM55" i="9" s="1"/>
  <c r="AN55" i="9" s="1"/>
  <c r="AJ92" i="9"/>
  <c r="AM92" i="9" s="1"/>
  <c r="AN92" i="9" s="1"/>
  <c r="AJ61" i="9"/>
  <c r="AM61" i="9" s="1"/>
  <c r="AN61" i="9" s="1"/>
  <c r="AJ79" i="9"/>
  <c r="AM79" i="9" s="1"/>
  <c r="AN79" i="9" s="1"/>
  <c r="AJ69" i="9"/>
  <c r="AM69" i="9" s="1"/>
  <c r="AN69" i="9" s="1"/>
  <c r="AJ68" i="9"/>
  <c r="AM68" i="9" s="1"/>
  <c r="AN68" i="9" s="1"/>
  <c r="AJ64" i="9"/>
  <c r="AM64" i="9" s="1"/>
  <c r="AN64" i="9" s="1"/>
  <c r="AJ60" i="9"/>
  <c r="AM60" i="9" s="1"/>
  <c r="AN60" i="9" s="1"/>
  <c r="AJ57" i="9"/>
  <c r="AM57" i="9" s="1"/>
  <c r="AN57" i="9" s="1"/>
  <c r="AJ110" i="9"/>
  <c r="AM110" i="9" s="1"/>
  <c r="AN110" i="9" s="1"/>
  <c r="AJ103" i="9"/>
  <c r="AM103" i="9" s="1"/>
  <c r="AN103" i="9" s="1"/>
  <c r="AJ86" i="9"/>
  <c r="AM86" i="9" s="1"/>
  <c r="AN86" i="9" s="1"/>
  <c r="AJ75" i="9"/>
  <c r="AM75" i="9" s="1"/>
  <c r="AN75" i="9" s="1"/>
  <c r="AJ71" i="9"/>
  <c r="AM71" i="9" s="1"/>
  <c r="AN71" i="9" s="1"/>
  <c r="AJ66" i="9"/>
  <c r="AM66" i="9" s="1"/>
  <c r="AN66" i="9" s="1"/>
  <c r="AJ53" i="9"/>
  <c r="AM53" i="9" s="1"/>
  <c r="AN53" i="9" s="1"/>
  <c r="AJ46" i="9"/>
  <c r="AM46" i="9" s="1"/>
  <c r="AN46" i="9" s="1"/>
  <c r="AJ93" i="9"/>
  <c r="AM93" i="9" s="1"/>
  <c r="AN93" i="9" s="1"/>
  <c r="AJ84" i="9"/>
  <c r="AM84" i="9" s="1"/>
  <c r="AN84" i="9" s="1"/>
  <c r="AJ72" i="9"/>
  <c r="AM72" i="9" s="1"/>
  <c r="AN72" i="9" s="1"/>
  <c r="AJ65" i="9"/>
  <c r="AM65" i="9" s="1"/>
  <c r="AN65" i="9" s="1"/>
  <c r="AJ62" i="9"/>
  <c r="AM62" i="9" s="1"/>
  <c r="AN62" i="9" s="1"/>
  <c r="AJ77" i="9"/>
  <c r="AM77" i="9" s="1"/>
  <c r="AN77" i="9" s="1"/>
  <c r="AJ80" i="9"/>
  <c r="AM80" i="9" s="1"/>
  <c r="AN80" i="9" s="1"/>
  <c r="AJ54" i="9"/>
  <c r="AM54" i="9" s="1"/>
  <c r="AN54" i="9" s="1"/>
  <c r="AJ48" i="9"/>
  <c r="AM48" i="9" s="1"/>
  <c r="AN48" i="9" s="1"/>
  <c r="AJ41" i="9"/>
  <c r="AM41" i="9" s="1"/>
  <c r="AN41" i="9" s="1"/>
  <c r="AJ102" i="9"/>
  <c r="AM102" i="9" s="1"/>
  <c r="AN102" i="9" s="1"/>
  <c r="AJ56" i="9"/>
  <c r="AM56" i="9" s="1"/>
  <c r="AN56" i="9" s="1"/>
  <c r="AJ50" i="9"/>
  <c r="AM50" i="9" s="1"/>
  <c r="AN50" i="9" s="1"/>
  <c r="AJ99" i="9"/>
  <c r="AM99" i="9" s="1"/>
  <c r="AN99" i="9" s="1"/>
  <c r="AJ73" i="9"/>
  <c r="AM73" i="9" s="1"/>
  <c r="AN73" i="9" s="1"/>
  <c r="AJ112" i="9"/>
  <c r="AM112" i="9" s="1"/>
  <c r="AN112" i="9" s="1"/>
  <c r="AJ47" i="9"/>
  <c r="AM47" i="9" s="1"/>
  <c r="AN47" i="9" s="1"/>
  <c r="AJ58" i="9"/>
  <c r="AM58" i="9" s="1"/>
  <c r="AN58" i="9" s="1"/>
  <c r="AJ49" i="9"/>
  <c r="AM49" i="9" s="1"/>
  <c r="AN49" i="9" s="1"/>
  <c r="AJ34" i="9"/>
  <c r="AM34" i="9" s="1"/>
  <c r="AN34" i="9" s="1"/>
  <c r="AJ31" i="9"/>
  <c r="AM31" i="9" s="1"/>
  <c r="AN31" i="9" s="1"/>
  <c r="CE31" i="9" s="1"/>
  <c r="AB4" i="9"/>
  <c r="J4" i="9"/>
  <c r="D8" i="9" s="1"/>
  <c r="AJ44" i="9"/>
  <c r="AJ63" i="9"/>
  <c r="AM63" i="9" s="1"/>
  <c r="AN63" i="9" s="1"/>
  <c r="AJ37" i="9"/>
  <c r="AM37" i="9" s="1"/>
  <c r="AN37" i="9" s="1"/>
  <c r="AJ52" i="9"/>
  <c r="AM52" i="9" s="1"/>
  <c r="AN52" i="9" s="1"/>
  <c r="AJ42" i="9"/>
  <c r="AM42" i="9" s="1"/>
  <c r="AN42" i="9" s="1"/>
  <c r="AJ33" i="9"/>
  <c r="AM33" i="9" s="1"/>
  <c r="AN33" i="9" s="1"/>
  <c r="CE33" i="9" s="1"/>
  <c r="W7" i="9"/>
  <c r="AJ43" i="9"/>
  <c r="AM43" i="9" s="1"/>
  <c r="AN43" i="9" s="1"/>
  <c r="AJ67" i="9"/>
  <c r="AM67" i="9" s="1"/>
  <c r="AN67" i="9" s="1"/>
  <c r="AJ39" i="9"/>
  <c r="AM39" i="9" s="1"/>
  <c r="AN39" i="9" s="1"/>
  <c r="AJ35" i="9"/>
  <c r="AM35" i="9" s="1"/>
  <c r="AJ38" i="9"/>
  <c r="AM38" i="9" s="1"/>
  <c r="AN38" i="9" s="1"/>
  <c r="AM32" i="9"/>
  <c r="AN32" i="9" s="1"/>
  <c r="CE32" i="9" s="1"/>
  <c r="AJ51" i="9"/>
  <c r="AM51" i="9" s="1"/>
  <c r="AN51" i="9" s="1"/>
  <c r="AJ45" i="9"/>
  <c r="AM45" i="9" s="1"/>
  <c r="AN45" i="9" s="1"/>
  <c r="AJ40" i="9"/>
  <c r="AM40" i="9" s="1"/>
  <c r="AN40" i="9" s="1"/>
  <c r="AJ36" i="9"/>
  <c r="AM36" i="9" s="1"/>
  <c r="AN36" i="9" s="1"/>
  <c r="AW31" i="9"/>
  <c r="BI31" i="9" s="1"/>
  <c r="BK140" i="9"/>
  <c r="AW140" i="9"/>
  <c r="BI140" i="9" s="1"/>
  <c r="W3" i="9"/>
  <c r="J11" i="9"/>
  <c r="Y7" i="9" s="1"/>
  <c r="BK31" i="9"/>
  <c r="CE95" i="9" l="1"/>
  <c r="CE160" i="9"/>
  <c r="CE145" i="9"/>
  <c r="CE65" i="9"/>
  <c r="CE75" i="9"/>
  <c r="CE100" i="9"/>
  <c r="CE230" i="9"/>
  <c r="CE225" i="9"/>
  <c r="CE38" i="9"/>
  <c r="CE125" i="9"/>
  <c r="CE185" i="9"/>
  <c r="CE115" i="9"/>
  <c r="CE105" i="9"/>
  <c r="CE165" i="9"/>
  <c r="CE200" i="9"/>
  <c r="CE190" i="9"/>
  <c r="CE48" i="9"/>
  <c r="CE110" i="9"/>
  <c r="CE150" i="9"/>
  <c r="CE170" i="9"/>
  <c r="CE175" i="9"/>
  <c r="CE205" i="9"/>
  <c r="CE55" i="9"/>
  <c r="CE140" i="9"/>
  <c r="CE195" i="9"/>
  <c r="CE80" i="9"/>
  <c r="CE60" i="9"/>
  <c r="CE210" i="9"/>
  <c r="CA81" i="10"/>
  <c r="CA102" i="10"/>
  <c r="CA130" i="10"/>
  <c r="CA88" i="10"/>
  <c r="CA53" i="10"/>
  <c r="CA46" i="10"/>
  <c r="CA67" i="10"/>
  <c r="CA95" i="10"/>
  <c r="CA109" i="10"/>
  <c r="CA60" i="10"/>
  <c r="CA137" i="10"/>
  <c r="CA39" i="10"/>
  <c r="CA74" i="10"/>
  <c r="CA123" i="10"/>
  <c r="CA116" i="10"/>
  <c r="CA144" i="10"/>
  <c r="AN32" i="10"/>
  <c r="AO32" i="10" s="1"/>
  <c r="BR32" i="10" s="1"/>
  <c r="CA32" i="10"/>
  <c r="AM44" i="9"/>
  <c r="AN44" i="9" s="1"/>
  <c r="CE43" i="9" s="1"/>
  <c r="AO174" i="10"/>
  <c r="BR174" i="10" s="1"/>
  <c r="AQ174" i="10"/>
  <c r="AO202" i="10"/>
  <c r="BR202" i="10" s="1"/>
  <c r="AQ202" i="10"/>
  <c r="AO186" i="10"/>
  <c r="BR186" i="10" s="1"/>
  <c r="AQ186" i="10"/>
  <c r="AO179" i="10"/>
  <c r="BR179" i="10" s="1"/>
  <c r="AQ179" i="10"/>
  <c r="AO212" i="10"/>
  <c r="BR212" i="10" s="1"/>
  <c r="AQ212" i="10"/>
  <c r="AO205" i="10"/>
  <c r="AQ205" i="10"/>
  <c r="AO214" i="10"/>
  <c r="AQ214" i="10"/>
  <c r="AO199" i="10"/>
  <c r="BR199" i="10" s="1"/>
  <c r="AQ199" i="10"/>
  <c r="AO201" i="10"/>
  <c r="BR201" i="10" s="1"/>
  <c r="AQ201" i="10"/>
  <c r="AO218" i="10"/>
  <c r="BR218" i="10" s="1"/>
  <c r="AQ218" i="10"/>
  <c r="AO235" i="10"/>
  <c r="BR235" i="10" s="1"/>
  <c r="AQ235" i="10"/>
  <c r="AO165" i="10"/>
  <c r="BR165" i="10" s="1"/>
  <c r="AQ165" i="10"/>
  <c r="AO230" i="10"/>
  <c r="BR230" i="10" s="1"/>
  <c r="AQ230" i="10"/>
  <c r="AO170" i="10"/>
  <c r="BR170" i="10" s="1"/>
  <c r="AQ170" i="10"/>
  <c r="AO172" i="10"/>
  <c r="BR172" i="10" s="1"/>
  <c r="AQ172" i="10"/>
  <c r="AO249" i="10"/>
  <c r="AQ249" i="10"/>
  <c r="AO209" i="10"/>
  <c r="AQ209" i="10"/>
  <c r="AO171" i="10"/>
  <c r="BR171" i="10" s="1"/>
  <c r="AQ171" i="10"/>
  <c r="AO191" i="10"/>
  <c r="BR191" i="10" s="1"/>
  <c r="AQ191" i="10"/>
  <c r="AO211" i="10"/>
  <c r="BR211" i="10" s="1"/>
  <c r="AQ211" i="10"/>
  <c r="AO233" i="10"/>
  <c r="AQ233" i="10"/>
  <c r="AO227" i="10"/>
  <c r="BR227" i="10" s="1"/>
  <c r="AQ227" i="10"/>
  <c r="AO222" i="10"/>
  <c r="BR222" i="10" s="1"/>
  <c r="AQ222" i="10"/>
  <c r="AO169" i="10"/>
  <c r="BR169" i="10" s="1"/>
  <c r="AQ169" i="10"/>
  <c r="AO161" i="10"/>
  <c r="AQ161" i="10"/>
  <c r="AO168" i="10"/>
  <c r="BR168" i="10" s="1"/>
  <c r="AQ168" i="10"/>
  <c r="AO192" i="10"/>
  <c r="BR192" i="10" s="1"/>
  <c r="AQ192" i="10"/>
  <c r="AO241" i="10"/>
  <c r="BR241" i="10" s="1"/>
  <c r="AQ241" i="10"/>
  <c r="AO204" i="10"/>
  <c r="AQ204" i="10"/>
  <c r="AQ253" i="10"/>
  <c r="AO253" i="10"/>
  <c r="BR253" i="10" s="1"/>
  <c r="AO183" i="10"/>
  <c r="BR183" i="10" s="1"/>
  <c r="AQ183" i="10"/>
  <c r="AO206" i="10"/>
  <c r="AQ206" i="10"/>
  <c r="AO225" i="10"/>
  <c r="AQ225" i="10"/>
  <c r="AO251" i="10"/>
  <c r="BR251" i="10" s="1"/>
  <c r="AQ251" i="10"/>
  <c r="AO215" i="10"/>
  <c r="AQ215" i="10"/>
  <c r="AO158" i="10"/>
  <c r="BR158" i="10" s="1"/>
  <c r="AQ158" i="10"/>
  <c r="AO182" i="10"/>
  <c r="AQ182" i="10"/>
  <c r="AQ254" i="10"/>
  <c r="AO254" i="10"/>
  <c r="BR254" i="10" s="1"/>
  <c r="AO184" i="10"/>
  <c r="BR184" i="10" s="1"/>
  <c r="AQ184" i="10"/>
  <c r="AO194" i="10"/>
  <c r="AQ194" i="10"/>
  <c r="AO196" i="10"/>
  <c r="AQ196" i="10"/>
  <c r="AO243" i="10"/>
  <c r="AQ243" i="10"/>
  <c r="AO239" i="10"/>
  <c r="BR239" i="10" s="1"/>
  <c r="AQ239" i="10"/>
  <c r="AO198" i="10"/>
  <c r="AQ198" i="10"/>
  <c r="AO220" i="10"/>
  <c r="AQ220" i="10"/>
  <c r="AO189" i="10"/>
  <c r="BR189" i="10" s="1"/>
  <c r="AQ189" i="10"/>
  <c r="AO208" i="10"/>
  <c r="AQ208" i="10"/>
  <c r="AO166" i="10"/>
  <c r="AQ166" i="10"/>
  <c r="AO180" i="10"/>
  <c r="AQ180" i="10"/>
  <c r="AO217" i="10"/>
  <c r="BR217" i="10" s="1"/>
  <c r="AQ217" i="10"/>
  <c r="AO244" i="10"/>
  <c r="BR244" i="10" s="1"/>
  <c r="AQ244" i="10"/>
  <c r="AO181" i="10"/>
  <c r="BR181" i="10" s="1"/>
  <c r="AQ181" i="10"/>
  <c r="AO246" i="10"/>
  <c r="AQ246" i="10"/>
  <c r="AO238" i="10"/>
  <c r="BR238" i="10" s="1"/>
  <c r="AQ238" i="10"/>
  <c r="AO229" i="10"/>
  <c r="AQ229" i="10"/>
  <c r="AO193" i="10"/>
  <c r="BR193" i="10" s="1"/>
  <c r="AQ193" i="10"/>
  <c r="AO213" i="10"/>
  <c r="AQ213" i="10"/>
  <c r="AQ252" i="10"/>
  <c r="AO252" i="10"/>
  <c r="AO200" i="10"/>
  <c r="BR200" i="10" s="1"/>
  <c r="AQ200" i="10"/>
  <c r="AO162" i="10"/>
  <c r="AQ162" i="10"/>
  <c r="AO167" i="10"/>
  <c r="AQ167" i="10"/>
  <c r="BB31" i="10"/>
  <c r="BC31" i="10" s="1"/>
  <c r="BB156" i="10"/>
  <c r="BC156" i="10" s="1"/>
  <c r="AO210" i="10"/>
  <c r="BR210" i="10" s="1"/>
  <c r="AQ210" i="10"/>
  <c r="AO232" i="10"/>
  <c r="AQ232" i="10"/>
  <c r="AO164" i="10"/>
  <c r="AQ164" i="10"/>
  <c r="AO236" i="10"/>
  <c r="BR236" i="10" s="1"/>
  <c r="AQ236" i="10"/>
  <c r="AO178" i="10"/>
  <c r="AQ178" i="10"/>
  <c r="AO231" i="10"/>
  <c r="BR231" i="10" s="1"/>
  <c r="AQ231" i="10"/>
  <c r="AO248" i="10"/>
  <c r="AQ248" i="10"/>
  <c r="AO188" i="10"/>
  <c r="BR188" i="10" s="1"/>
  <c r="AQ188" i="10"/>
  <c r="AO203" i="10"/>
  <c r="BR203" i="10" s="1"/>
  <c r="AQ203" i="10"/>
  <c r="AO250" i="10"/>
  <c r="AQ250" i="10"/>
  <c r="AO195" i="10"/>
  <c r="AQ195" i="10"/>
  <c r="AO157" i="10"/>
  <c r="BR157" i="10" s="1"/>
  <c r="AQ157" i="10"/>
  <c r="AO163" i="10"/>
  <c r="BR163" i="10" s="1"/>
  <c r="AQ163" i="10"/>
  <c r="AO197" i="10"/>
  <c r="BR197" i="10" s="1"/>
  <c r="AQ197" i="10"/>
  <c r="AO224" i="10"/>
  <c r="AQ224" i="10"/>
  <c r="AO160" i="10"/>
  <c r="BR160" i="10" s="1"/>
  <c r="AQ160" i="10"/>
  <c r="AO234" i="10"/>
  <c r="AQ234" i="10"/>
  <c r="AO221" i="10"/>
  <c r="AQ221" i="10"/>
  <c r="AO223" i="10"/>
  <c r="AQ223" i="10"/>
  <c r="AO240" i="10"/>
  <c r="AQ240" i="10"/>
  <c r="AO177" i="10"/>
  <c r="AQ177" i="10"/>
  <c r="AO185" i="10"/>
  <c r="AQ185" i="10"/>
  <c r="AO242" i="10"/>
  <c r="AQ242" i="10"/>
  <c r="AO190" i="10"/>
  <c r="BR190" i="10" s="1"/>
  <c r="AQ190" i="10"/>
  <c r="AO159" i="10"/>
  <c r="AQ159" i="10"/>
  <c r="AO187" i="10"/>
  <c r="AQ187" i="10"/>
  <c r="AO219" i="10"/>
  <c r="AQ219" i="10"/>
  <c r="AO247" i="10"/>
  <c r="AQ247" i="10"/>
  <c r="AO226" i="10"/>
  <c r="AQ226" i="10"/>
  <c r="AO207" i="10"/>
  <c r="AQ207" i="10"/>
  <c r="AO216" i="10"/>
  <c r="AQ216" i="10"/>
  <c r="AO228" i="10"/>
  <c r="BR228" i="10" s="1"/>
  <c r="AQ228" i="10"/>
  <c r="AO245" i="10"/>
  <c r="BR245" i="10" s="1"/>
  <c r="AQ245" i="10"/>
  <c r="AO173" i="10"/>
  <c r="AQ173" i="10"/>
  <c r="AO237" i="10"/>
  <c r="AQ237" i="10"/>
  <c r="AO176" i="10"/>
  <c r="BR176" i="10" s="1"/>
  <c r="AQ176" i="10"/>
  <c r="AO175" i="10"/>
  <c r="AQ175" i="10"/>
  <c r="AO66" i="10"/>
  <c r="BR66" i="10" s="1"/>
  <c r="AQ66" i="10"/>
  <c r="AO40" i="10"/>
  <c r="BR40" i="10" s="1"/>
  <c r="AQ40" i="10"/>
  <c r="AO81" i="10"/>
  <c r="BR81" i="10" s="1"/>
  <c r="AQ81" i="10"/>
  <c r="AO136" i="10"/>
  <c r="BR136" i="10" s="1"/>
  <c r="AQ136" i="10"/>
  <c r="AO143" i="10"/>
  <c r="BR143" i="10" s="1"/>
  <c r="AQ143" i="10"/>
  <c r="AO41" i="10"/>
  <c r="BR41" i="10" s="1"/>
  <c r="AQ41" i="10"/>
  <c r="AO51" i="10"/>
  <c r="BR51" i="10" s="1"/>
  <c r="AQ51" i="10"/>
  <c r="AO49" i="10"/>
  <c r="AQ49" i="10"/>
  <c r="AO71" i="10"/>
  <c r="BR71" i="10" s="1"/>
  <c r="AQ71" i="10"/>
  <c r="AO59" i="10"/>
  <c r="BR59" i="10" s="1"/>
  <c r="AQ59" i="10"/>
  <c r="AO63" i="10"/>
  <c r="BR63" i="10" s="1"/>
  <c r="AQ63" i="10"/>
  <c r="AO62" i="10"/>
  <c r="BR62" i="10" s="1"/>
  <c r="AQ62" i="10"/>
  <c r="AO55" i="10"/>
  <c r="BR55" i="10" s="1"/>
  <c r="AQ55" i="10"/>
  <c r="AO117" i="10"/>
  <c r="BR117" i="10" s="1"/>
  <c r="AQ117" i="10"/>
  <c r="AO80" i="10"/>
  <c r="BR80" i="10" s="1"/>
  <c r="AQ80" i="10"/>
  <c r="AO102" i="10"/>
  <c r="BR102" i="10" s="1"/>
  <c r="AQ102" i="10"/>
  <c r="AO99" i="10"/>
  <c r="BR99" i="10" s="1"/>
  <c r="AQ99" i="10"/>
  <c r="AO113" i="10"/>
  <c r="BR113" i="10" s="1"/>
  <c r="AQ113" i="10"/>
  <c r="AO97" i="10"/>
  <c r="BR97" i="10" s="1"/>
  <c r="AQ97" i="10"/>
  <c r="AO126" i="10"/>
  <c r="AQ126" i="10"/>
  <c r="AO141" i="10"/>
  <c r="BR141" i="10" s="1"/>
  <c r="AQ141" i="10"/>
  <c r="AO148" i="10"/>
  <c r="BR148" i="10" s="1"/>
  <c r="AQ148" i="10"/>
  <c r="AO37" i="10"/>
  <c r="BR37" i="10" s="1"/>
  <c r="AQ37" i="10"/>
  <c r="AO76" i="10"/>
  <c r="BR76" i="10" s="1"/>
  <c r="AQ76" i="10"/>
  <c r="AO106" i="10"/>
  <c r="BR106" i="10" s="1"/>
  <c r="AQ106" i="10"/>
  <c r="AO114" i="10"/>
  <c r="AQ114" i="10"/>
  <c r="AO125" i="10"/>
  <c r="BR125" i="10" s="1"/>
  <c r="AQ125" i="10"/>
  <c r="AO142" i="10"/>
  <c r="BR142" i="10" s="1"/>
  <c r="AQ142" i="10"/>
  <c r="AO130" i="10"/>
  <c r="BR130" i="10" s="1"/>
  <c r="AQ130" i="10"/>
  <c r="AO156" i="10"/>
  <c r="BR156" i="10" s="1"/>
  <c r="AO53" i="10"/>
  <c r="BR53" i="10" s="1"/>
  <c r="AQ53" i="10"/>
  <c r="AO103" i="10"/>
  <c r="AQ103" i="10"/>
  <c r="AQ70" i="10"/>
  <c r="AO70" i="10"/>
  <c r="BR70" i="10" s="1"/>
  <c r="AO84" i="10"/>
  <c r="BR84" i="10" s="1"/>
  <c r="AQ84" i="10"/>
  <c r="AQ38" i="10"/>
  <c r="AO38" i="10"/>
  <c r="BR38" i="10" s="1"/>
  <c r="AO42" i="10"/>
  <c r="AQ42" i="10"/>
  <c r="AO61" i="10"/>
  <c r="BR61" i="10" s="1"/>
  <c r="AQ61" i="10"/>
  <c r="AO73" i="10"/>
  <c r="BR73" i="10" s="1"/>
  <c r="AQ73" i="10"/>
  <c r="AO90" i="10"/>
  <c r="BR90" i="10" s="1"/>
  <c r="AQ90" i="10"/>
  <c r="AO122" i="10"/>
  <c r="AQ122" i="10"/>
  <c r="AO82" i="10"/>
  <c r="AQ82" i="10"/>
  <c r="AO112" i="10"/>
  <c r="AQ112" i="10"/>
  <c r="AO115" i="10"/>
  <c r="BR115" i="10" s="1"/>
  <c r="AQ115" i="10"/>
  <c r="AO118" i="10"/>
  <c r="AQ118" i="10"/>
  <c r="AO127" i="10"/>
  <c r="BR127" i="10" s="1"/>
  <c r="AQ127" i="10"/>
  <c r="AO131" i="10"/>
  <c r="AQ131" i="10"/>
  <c r="AO146" i="10"/>
  <c r="BR146" i="10" s="1"/>
  <c r="AQ146" i="10"/>
  <c r="AO134" i="10"/>
  <c r="BR134" i="10" s="1"/>
  <c r="AQ134" i="10"/>
  <c r="AO33" i="10"/>
  <c r="AQ33" i="10"/>
  <c r="AO46" i="10"/>
  <c r="BR46" i="10" s="1"/>
  <c r="AQ46" i="10"/>
  <c r="AO88" i="10"/>
  <c r="BR88" i="10" s="1"/>
  <c r="AQ88" i="10"/>
  <c r="AO60" i="10"/>
  <c r="BR60" i="10" s="1"/>
  <c r="AQ60" i="10"/>
  <c r="AO68" i="10"/>
  <c r="BR68" i="10" s="1"/>
  <c r="AQ68" i="10"/>
  <c r="AO104" i="10"/>
  <c r="BR104" i="10" s="1"/>
  <c r="AQ104" i="10"/>
  <c r="AO56" i="10"/>
  <c r="AQ56" i="10"/>
  <c r="AO64" i="10"/>
  <c r="BR64" i="10" s="1"/>
  <c r="AQ64" i="10"/>
  <c r="BL150" i="10"/>
  <c r="AO39" i="10"/>
  <c r="BR39" i="10" s="1"/>
  <c r="AQ39" i="10"/>
  <c r="AO47" i="10"/>
  <c r="BR47" i="10" s="1"/>
  <c r="AQ47" i="10"/>
  <c r="AO69" i="10"/>
  <c r="BR69" i="10" s="1"/>
  <c r="AQ69" i="10"/>
  <c r="AQ31" i="10"/>
  <c r="AO31" i="10"/>
  <c r="AO72" i="10"/>
  <c r="BR72" i="10" s="1"/>
  <c r="AQ72" i="10"/>
  <c r="AO74" i="10"/>
  <c r="BR74" i="10" s="1"/>
  <c r="AQ74" i="10"/>
  <c r="AO91" i="10"/>
  <c r="BR91" i="10" s="1"/>
  <c r="AQ91" i="10"/>
  <c r="AO138" i="10"/>
  <c r="BR138" i="10" s="1"/>
  <c r="AQ138" i="10"/>
  <c r="AO100" i="10"/>
  <c r="BR100" i="10" s="1"/>
  <c r="AQ100" i="10"/>
  <c r="AO121" i="10"/>
  <c r="BR121" i="10" s="1"/>
  <c r="AQ121" i="10"/>
  <c r="AO123" i="10"/>
  <c r="BR123" i="10" s="1"/>
  <c r="AQ123" i="10"/>
  <c r="AO149" i="10"/>
  <c r="BR149" i="10" s="1"/>
  <c r="AQ149" i="10"/>
  <c r="AQ151" i="10"/>
  <c r="AO151" i="10"/>
  <c r="AO135" i="10"/>
  <c r="BR135" i="10" s="1"/>
  <c r="AQ135" i="10"/>
  <c r="AO139" i="10"/>
  <c r="BR139" i="10" s="1"/>
  <c r="AQ139" i="10"/>
  <c r="AO83" i="10"/>
  <c r="BR83" i="10" s="1"/>
  <c r="AQ83" i="10"/>
  <c r="AO96" i="10"/>
  <c r="BR96" i="10" s="1"/>
  <c r="AQ96" i="10"/>
  <c r="AO43" i="10"/>
  <c r="BR43" i="10" s="1"/>
  <c r="AQ43" i="10"/>
  <c r="AO65" i="10"/>
  <c r="BR65" i="10" s="1"/>
  <c r="AQ65" i="10"/>
  <c r="AO77" i="10"/>
  <c r="AQ77" i="10"/>
  <c r="AO34" i="10"/>
  <c r="BR34" i="10" s="1"/>
  <c r="AQ34" i="10"/>
  <c r="AO85" i="10"/>
  <c r="BR85" i="10" s="1"/>
  <c r="AQ85" i="10"/>
  <c r="AO78" i="10"/>
  <c r="BR78" i="10" s="1"/>
  <c r="AQ78" i="10"/>
  <c r="AO108" i="10"/>
  <c r="BR108" i="10" s="1"/>
  <c r="AQ108" i="10"/>
  <c r="AO116" i="10"/>
  <c r="BR116" i="10" s="1"/>
  <c r="AQ116" i="10"/>
  <c r="AO105" i="10"/>
  <c r="BR105" i="10" s="1"/>
  <c r="AQ105" i="10"/>
  <c r="AO124" i="10"/>
  <c r="BR124" i="10" s="1"/>
  <c r="AQ124" i="10"/>
  <c r="AO129" i="10"/>
  <c r="BR129" i="10" s="1"/>
  <c r="AQ129" i="10"/>
  <c r="AO128" i="10"/>
  <c r="BR128" i="10" s="1"/>
  <c r="AQ128" i="10"/>
  <c r="AO132" i="10"/>
  <c r="BR132" i="10" s="1"/>
  <c r="AQ132" i="10"/>
  <c r="AO145" i="10"/>
  <c r="BR145" i="10" s="1"/>
  <c r="AQ145" i="10"/>
  <c r="AO140" i="10"/>
  <c r="BR140" i="10" s="1"/>
  <c r="AQ140" i="10"/>
  <c r="AO94" i="10"/>
  <c r="BR94" i="10" s="1"/>
  <c r="AQ94" i="10"/>
  <c r="AO54" i="10"/>
  <c r="AQ54" i="10"/>
  <c r="AO86" i="10"/>
  <c r="BR86" i="10" s="1"/>
  <c r="AQ86" i="10"/>
  <c r="BR150" i="10"/>
  <c r="BR82" i="10"/>
  <c r="AJ6" i="10"/>
  <c r="AJ9" i="10" s="1"/>
  <c r="AJ11" i="10" s="1"/>
  <c r="AO48" i="10"/>
  <c r="BR48" i="10" s="1"/>
  <c r="AQ48" i="10"/>
  <c r="AO35" i="10"/>
  <c r="AQ35" i="10"/>
  <c r="AO52" i="10"/>
  <c r="BR52" i="10" s="1"/>
  <c r="AQ52" i="10"/>
  <c r="AO45" i="10"/>
  <c r="AQ45" i="10"/>
  <c r="AO79" i="10"/>
  <c r="BR79" i="10" s="1"/>
  <c r="AQ79" i="10"/>
  <c r="AO75" i="10"/>
  <c r="BR75" i="10" s="1"/>
  <c r="AQ75" i="10"/>
  <c r="AO120" i="10"/>
  <c r="BR120" i="10" s="1"/>
  <c r="AQ120" i="10"/>
  <c r="AO119" i="10"/>
  <c r="AQ119" i="10"/>
  <c r="AO98" i="10"/>
  <c r="BR98" i="10" s="1"/>
  <c r="AQ98" i="10"/>
  <c r="AO87" i="10"/>
  <c r="AQ87" i="10"/>
  <c r="AO133" i="10"/>
  <c r="BR133" i="10" s="1"/>
  <c r="AQ133" i="10"/>
  <c r="AO147" i="10"/>
  <c r="BR147" i="10" s="1"/>
  <c r="AQ147" i="10"/>
  <c r="AO152" i="10"/>
  <c r="AQ152" i="10"/>
  <c r="AO36" i="10"/>
  <c r="AQ36" i="10"/>
  <c r="AO89" i="10"/>
  <c r="BR89" i="10" s="1"/>
  <c r="AQ89" i="10"/>
  <c r="AO111" i="10"/>
  <c r="BR111" i="10" s="1"/>
  <c r="AQ111" i="10"/>
  <c r="AQ153" i="10"/>
  <c r="AO153" i="10"/>
  <c r="AO44" i="10"/>
  <c r="AQ44" i="10"/>
  <c r="AO67" i="10"/>
  <c r="AQ67" i="10"/>
  <c r="AO58" i="10"/>
  <c r="BR58" i="10" s="1"/>
  <c r="AQ58" i="10"/>
  <c r="AO57" i="10"/>
  <c r="AQ57" i="10"/>
  <c r="AO50" i="10"/>
  <c r="BR50" i="10" s="1"/>
  <c r="AQ50" i="10"/>
  <c r="AO107" i="10"/>
  <c r="AQ107" i="10"/>
  <c r="AO93" i="10"/>
  <c r="BR93" i="10" s="1"/>
  <c r="AQ93" i="10"/>
  <c r="AO101" i="10"/>
  <c r="AQ101" i="10"/>
  <c r="AO95" i="10"/>
  <c r="AQ95" i="10"/>
  <c r="AO109" i="10"/>
  <c r="AQ109" i="10"/>
  <c r="AO92" i="10"/>
  <c r="AQ92" i="10"/>
  <c r="AO110" i="10"/>
  <c r="AQ110" i="10"/>
  <c r="AO137" i="10"/>
  <c r="BR137" i="10" s="1"/>
  <c r="AQ137" i="10"/>
  <c r="AO144" i="10"/>
  <c r="BR144" i="10" s="1"/>
  <c r="AQ144" i="10"/>
  <c r="U8" i="10"/>
  <c r="AO64" i="9"/>
  <c r="BR64" i="9" s="1"/>
  <c r="AQ64" i="9"/>
  <c r="AO152" i="9"/>
  <c r="BR152" i="9" s="1"/>
  <c r="AQ152" i="9"/>
  <c r="AO134" i="9"/>
  <c r="BR134" i="9" s="1"/>
  <c r="AQ134" i="9"/>
  <c r="AO189" i="9"/>
  <c r="BR189" i="9" s="1"/>
  <c r="AQ189" i="9"/>
  <c r="AO32" i="9"/>
  <c r="BR32" i="9" s="1"/>
  <c r="AQ32" i="9"/>
  <c r="AO34" i="9"/>
  <c r="BR34" i="9" s="1"/>
  <c r="AQ34" i="9"/>
  <c r="AO38" i="9"/>
  <c r="BR38" i="9" s="1"/>
  <c r="AQ38" i="9"/>
  <c r="AO52" i="9"/>
  <c r="BR52" i="9" s="1"/>
  <c r="AQ52" i="9"/>
  <c r="AO49" i="9"/>
  <c r="AQ49" i="9"/>
  <c r="AO102" i="9"/>
  <c r="BR102" i="9" s="1"/>
  <c r="AQ102" i="9"/>
  <c r="AO72" i="9"/>
  <c r="BR72" i="9" s="1"/>
  <c r="AQ72" i="9"/>
  <c r="AO86" i="9"/>
  <c r="BR86" i="9" s="1"/>
  <c r="AQ86" i="9"/>
  <c r="AO79" i="9"/>
  <c r="AQ79" i="9"/>
  <c r="AO83" i="9"/>
  <c r="AQ83" i="9"/>
  <c r="AO114" i="9"/>
  <c r="BR114" i="9" s="1"/>
  <c r="AQ114" i="9"/>
  <c r="AO97" i="9"/>
  <c r="BR97" i="9" s="1"/>
  <c r="AQ97" i="9"/>
  <c r="AO118" i="9"/>
  <c r="BR118" i="9" s="1"/>
  <c r="AQ118" i="9"/>
  <c r="AO143" i="9"/>
  <c r="BR143" i="9" s="1"/>
  <c r="AQ143" i="9"/>
  <c r="AO125" i="9"/>
  <c r="BR125" i="9" s="1"/>
  <c r="AQ125" i="9"/>
  <c r="AO128" i="9"/>
  <c r="BR128" i="9" s="1"/>
  <c r="AQ128" i="9"/>
  <c r="AO156" i="9"/>
  <c r="BR156" i="9" s="1"/>
  <c r="AQ156" i="9"/>
  <c r="AO169" i="9"/>
  <c r="AQ169" i="9"/>
  <c r="AO204" i="9"/>
  <c r="BR204" i="9" s="1"/>
  <c r="AQ204" i="9"/>
  <c r="AO153" i="9"/>
  <c r="BR153" i="9" s="1"/>
  <c r="AQ153" i="9"/>
  <c r="AO185" i="9"/>
  <c r="AQ185" i="9"/>
  <c r="AO187" i="9"/>
  <c r="BR187" i="9" s="1"/>
  <c r="AQ187" i="9"/>
  <c r="AO199" i="9"/>
  <c r="BR199" i="9" s="1"/>
  <c r="AQ199" i="9"/>
  <c r="AO192" i="9"/>
  <c r="BR192" i="9" s="1"/>
  <c r="AQ192" i="9"/>
  <c r="AO207" i="9"/>
  <c r="BR207" i="9" s="1"/>
  <c r="AQ207" i="9"/>
  <c r="AO219" i="9"/>
  <c r="AQ219" i="9"/>
  <c r="AO228" i="9"/>
  <c r="BR228" i="9" s="1"/>
  <c r="AQ228" i="9"/>
  <c r="AO229" i="9"/>
  <c r="BR229" i="9" s="1"/>
  <c r="AQ229" i="9"/>
  <c r="AO45" i="9"/>
  <c r="BR45" i="9" s="1"/>
  <c r="AQ45" i="9"/>
  <c r="AB5" i="9"/>
  <c r="AB8" i="9" s="1"/>
  <c r="AB10" i="9" s="1"/>
  <c r="AO70" i="9"/>
  <c r="AQ70" i="9"/>
  <c r="AO120" i="9"/>
  <c r="BR120" i="9" s="1"/>
  <c r="AQ120" i="9"/>
  <c r="AO35" i="9"/>
  <c r="BR35" i="9" s="1"/>
  <c r="AQ35" i="9"/>
  <c r="AO37" i="9"/>
  <c r="BR37" i="9" s="1"/>
  <c r="AQ37" i="9"/>
  <c r="AO58" i="9"/>
  <c r="BR58" i="9" s="1"/>
  <c r="AQ58" i="9"/>
  <c r="AO41" i="9"/>
  <c r="AQ41" i="9"/>
  <c r="AO84" i="9"/>
  <c r="BR84" i="9" s="1"/>
  <c r="AQ84" i="9"/>
  <c r="AO103" i="9"/>
  <c r="BR103" i="9" s="1"/>
  <c r="AQ103" i="9"/>
  <c r="AO61" i="9"/>
  <c r="BR61" i="9" s="1"/>
  <c r="AQ61" i="9"/>
  <c r="AO96" i="9"/>
  <c r="AQ96" i="9"/>
  <c r="AO78" i="9"/>
  <c r="BR78" i="9" s="1"/>
  <c r="AQ78" i="9"/>
  <c r="AO115" i="9"/>
  <c r="BR115" i="9" s="1"/>
  <c r="AQ115" i="9"/>
  <c r="AO105" i="9"/>
  <c r="BR105" i="9" s="1"/>
  <c r="AQ105" i="9"/>
  <c r="AO111" i="9"/>
  <c r="BR111" i="9" s="1"/>
  <c r="AQ111" i="9"/>
  <c r="AO131" i="9"/>
  <c r="BR131" i="9" s="1"/>
  <c r="AQ131" i="9"/>
  <c r="AO147" i="9"/>
  <c r="AQ147" i="9"/>
  <c r="AO171" i="9"/>
  <c r="BR171" i="9" s="1"/>
  <c r="AQ171" i="9"/>
  <c r="AO162" i="9"/>
  <c r="AQ162" i="9"/>
  <c r="AO165" i="9"/>
  <c r="BR165" i="9" s="1"/>
  <c r="AQ165" i="9"/>
  <c r="AO157" i="9"/>
  <c r="BR157" i="9" s="1"/>
  <c r="AQ157" i="9"/>
  <c r="AO200" i="9"/>
  <c r="AQ200" i="9"/>
  <c r="AO190" i="9"/>
  <c r="BR190" i="9" s="1"/>
  <c r="AQ190" i="9"/>
  <c r="AO227" i="9"/>
  <c r="AQ227" i="9"/>
  <c r="AO196" i="9"/>
  <c r="BR196" i="9" s="1"/>
  <c r="AQ196" i="9"/>
  <c r="AO215" i="9"/>
  <c r="AQ215" i="9"/>
  <c r="AO235" i="9"/>
  <c r="AQ235" i="9"/>
  <c r="AO236" i="9"/>
  <c r="BR236" i="9" s="1"/>
  <c r="AQ236" i="9"/>
  <c r="AO233" i="9"/>
  <c r="BR233" i="9" s="1"/>
  <c r="AQ233" i="9"/>
  <c r="AO63" i="9"/>
  <c r="AQ63" i="9"/>
  <c r="AO110" i="9"/>
  <c r="AQ110" i="9"/>
  <c r="AO91" i="9"/>
  <c r="BR91" i="9" s="1"/>
  <c r="AQ91" i="9"/>
  <c r="AO121" i="9"/>
  <c r="BR121" i="9" s="1"/>
  <c r="AQ121" i="9"/>
  <c r="AO133" i="9"/>
  <c r="AQ133" i="9"/>
  <c r="AO150" i="9"/>
  <c r="AQ150" i="9"/>
  <c r="AO116" i="9"/>
  <c r="BR116" i="9" s="1"/>
  <c r="AQ116" i="9"/>
  <c r="AO170" i="9"/>
  <c r="AQ170" i="9"/>
  <c r="AO201" i="9"/>
  <c r="AQ201" i="9"/>
  <c r="AO194" i="9"/>
  <c r="BR194" i="9" s="1"/>
  <c r="AQ194" i="9"/>
  <c r="AO175" i="9"/>
  <c r="BR175" i="9" s="1"/>
  <c r="AQ175" i="9"/>
  <c r="AO191" i="9"/>
  <c r="BR191" i="9" s="1"/>
  <c r="AQ191" i="9"/>
  <c r="AO178" i="9"/>
  <c r="BR178" i="9" s="1"/>
  <c r="AQ178" i="9"/>
  <c r="AO205" i="9"/>
  <c r="AQ205" i="9"/>
  <c r="AO211" i="9"/>
  <c r="BR211" i="9" s="1"/>
  <c r="AQ211" i="9"/>
  <c r="AO239" i="9"/>
  <c r="AQ239" i="9"/>
  <c r="AO238" i="9"/>
  <c r="AQ238" i="9"/>
  <c r="AO237" i="9"/>
  <c r="BR237" i="9" s="1"/>
  <c r="AQ237" i="9"/>
  <c r="AO85" i="9"/>
  <c r="BR85" i="9" s="1"/>
  <c r="AQ85" i="9"/>
  <c r="AO39" i="9"/>
  <c r="BR39" i="9" s="1"/>
  <c r="AQ39" i="9"/>
  <c r="AO48" i="9"/>
  <c r="AQ48" i="9"/>
  <c r="AO92" i="9"/>
  <c r="AQ92" i="9"/>
  <c r="AO81" i="9"/>
  <c r="BR81" i="9" s="1"/>
  <c r="AQ81" i="9"/>
  <c r="AO67" i="9"/>
  <c r="BR67" i="9" s="1"/>
  <c r="AQ67" i="9"/>
  <c r="AO112" i="9"/>
  <c r="AQ112" i="9"/>
  <c r="AO54" i="9"/>
  <c r="BR54" i="9" s="1"/>
  <c r="AQ54" i="9"/>
  <c r="AO46" i="9"/>
  <c r="AQ46" i="9"/>
  <c r="AO57" i="9"/>
  <c r="BR57" i="9" s="1"/>
  <c r="AQ57" i="9"/>
  <c r="AO55" i="9"/>
  <c r="BR55" i="9" s="1"/>
  <c r="AQ55" i="9"/>
  <c r="AO74" i="9"/>
  <c r="BR74" i="9" s="1"/>
  <c r="AQ74" i="9"/>
  <c r="AO98" i="9"/>
  <c r="BR98" i="9" s="1"/>
  <c r="AQ98" i="9"/>
  <c r="AO88" i="9"/>
  <c r="AQ88" i="9"/>
  <c r="AO109" i="9"/>
  <c r="AQ109" i="9"/>
  <c r="AO122" i="9"/>
  <c r="AQ122" i="9"/>
  <c r="AO166" i="9"/>
  <c r="AQ166" i="9"/>
  <c r="AO151" i="9"/>
  <c r="AQ151" i="9"/>
  <c r="AO123" i="9"/>
  <c r="AQ123" i="9"/>
  <c r="AO203" i="9"/>
  <c r="BR203" i="9" s="1"/>
  <c r="AQ203" i="9"/>
  <c r="AO129" i="9"/>
  <c r="BR129" i="9" s="1"/>
  <c r="AQ129" i="9"/>
  <c r="AO142" i="9"/>
  <c r="AQ142" i="9"/>
  <c r="AO176" i="9"/>
  <c r="BR176" i="9" s="1"/>
  <c r="AQ176" i="9"/>
  <c r="AO195" i="9"/>
  <c r="BR195" i="9" s="1"/>
  <c r="AQ195" i="9"/>
  <c r="AO182" i="9"/>
  <c r="AQ182" i="9"/>
  <c r="AO202" i="9"/>
  <c r="AQ202" i="9"/>
  <c r="AO213" i="9"/>
  <c r="AQ213" i="9"/>
  <c r="AO218" i="9"/>
  <c r="BR218" i="9" s="1"/>
  <c r="AQ218" i="9"/>
  <c r="AO217" i="9"/>
  <c r="BR217" i="9" s="1"/>
  <c r="AQ217" i="9"/>
  <c r="U8" i="9"/>
  <c r="AO77" i="9"/>
  <c r="AQ77" i="9"/>
  <c r="AO104" i="9"/>
  <c r="BR104" i="9" s="1"/>
  <c r="AQ104" i="9"/>
  <c r="AO47" i="9"/>
  <c r="BR47" i="9" s="1"/>
  <c r="AQ47" i="9"/>
  <c r="AO93" i="9"/>
  <c r="AQ93" i="9"/>
  <c r="AO107" i="9"/>
  <c r="BR107" i="9" s="1"/>
  <c r="AQ107" i="9"/>
  <c r="AO106" i="9"/>
  <c r="BR106" i="9" s="1"/>
  <c r="AQ106" i="9"/>
  <c r="AO36" i="9"/>
  <c r="BR36" i="9" s="1"/>
  <c r="AQ36" i="9"/>
  <c r="AO40" i="9"/>
  <c r="BR40" i="9" s="1"/>
  <c r="AQ40" i="9"/>
  <c r="AO43" i="9"/>
  <c r="BR43" i="9" s="1"/>
  <c r="AQ43" i="9"/>
  <c r="BB140" i="9"/>
  <c r="BC140" i="9" s="1"/>
  <c r="BB31" i="9"/>
  <c r="BC31" i="9" s="1"/>
  <c r="AO73" i="9"/>
  <c r="BR73" i="9" s="1"/>
  <c r="AQ73" i="9"/>
  <c r="AO80" i="9"/>
  <c r="AQ80" i="9"/>
  <c r="AO53" i="9"/>
  <c r="AQ53" i="9"/>
  <c r="AO60" i="9"/>
  <c r="BR60" i="9" s="1"/>
  <c r="AQ60" i="9"/>
  <c r="AO59" i="9"/>
  <c r="AQ59" i="9"/>
  <c r="AO87" i="9"/>
  <c r="BR87" i="9" s="1"/>
  <c r="AQ87" i="9"/>
  <c r="AO82" i="9"/>
  <c r="AQ82" i="9"/>
  <c r="AO101" i="9"/>
  <c r="BR101" i="9" s="1"/>
  <c r="AQ101" i="9"/>
  <c r="AO113" i="9"/>
  <c r="AQ113" i="9"/>
  <c r="AO124" i="9"/>
  <c r="AQ124" i="9"/>
  <c r="AO108" i="9"/>
  <c r="AQ108" i="9"/>
  <c r="AO154" i="9"/>
  <c r="BR154" i="9" s="1"/>
  <c r="AQ154" i="9"/>
  <c r="AO148" i="9"/>
  <c r="BR148" i="9" s="1"/>
  <c r="AQ148" i="9"/>
  <c r="AO167" i="9"/>
  <c r="BR167" i="9" s="1"/>
  <c r="AQ167" i="9"/>
  <c r="AO132" i="9"/>
  <c r="BR132" i="9" s="1"/>
  <c r="AQ132" i="9"/>
  <c r="AO146" i="9"/>
  <c r="BR146" i="9" s="1"/>
  <c r="AQ146" i="9"/>
  <c r="AO177" i="9"/>
  <c r="AQ177" i="9"/>
  <c r="AO210" i="9"/>
  <c r="AQ210" i="9"/>
  <c r="AO186" i="9"/>
  <c r="AQ186" i="9"/>
  <c r="AO223" i="9"/>
  <c r="BR223" i="9" s="1"/>
  <c r="AQ223" i="9"/>
  <c r="AO216" i="9"/>
  <c r="BR216" i="9" s="1"/>
  <c r="AQ216" i="9"/>
  <c r="AO222" i="9"/>
  <c r="BR222" i="9" s="1"/>
  <c r="AQ222" i="9"/>
  <c r="AO224" i="9"/>
  <c r="AQ224" i="9"/>
  <c r="AO214" i="9"/>
  <c r="AQ214" i="9"/>
  <c r="AO234" i="9"/>
  <c r="BR234" i="9" s="1"/>
  <c r="AQ234" i="9"/>
  <c r="AO226" i="9"/>
  <c r="BR226" i="9" s="1"/>
  <c r="AQ226" i="9"/>
  <c r="AO231" i="9"/>
  <c r="AQ231" i="9"/>
  <c r="AO99" i="9"/>
  <c r="BR99" i="9" s="1"/>
  <c r="AQ99" i="9"/>
  <c r="AO90" i="9"/>
  <c r="AQ90" i="9"/>
  <c r="AO117" i="9"/>
  <c r="BR117" i="9" s="1"/>
  <c r="AQ117" i="9"/>
  <c r="AO163" i="9"/>
  <c r="BR163" i="9" s="1"/>
  <c r="AQ163" i="9"/>
  <c r="AO173" i="9"/>
  <c r="AQ173" i="9"/>
  <c r="AO172" i="9"/>
  <c r="BR172" i="9" s="1"/>
  <c r="AQ172" i="9"/>
  <c r="AO198" i="9"/>
  <c r="AQ198" i="9"/>
  <c r="AO51" i="9"/>
  <c r="AQ51" i="9"/>
  <c r="AO33" i="9"/>
  <c r="BR33" i="9" s="1"/>
  <c r="AQ33" i="9"/>
  <c r="AQ31" i="9"/>
  <c r="AO31" i="9"/>
  <c r="BR31" i="9" s="1"/>
  <c r="AO50" i="9"/>
  <c r="BR50" i="9" s="1"/>
  <c r="AQ50" i="9"/>
  <c r="AO62" i="9"/>
  <c r="AQ62" i="9"/>
  <c r="AO71" i="9"/>
  <c r="AQ71" i="9"/>
  <c r="AO68" i="9"/>
  <c r="BR68" i="9" s="1"/>
  <c r="AQ68" i="9"/>
  <c r="AO95" i="9"/>
  <c r="BR95" i="9" s="1"/>
  <c r="AQ95" i="9"/>
  <c r="AO94" i="9"/>
  <c r="AQ94" i="9"/>
  <c r="AO89" i="9"/>
  <c r="BR89" i="9" s="1"/>
  <c r="AQ89" i="9"/>
  <c r="AO140" i="9"/>
  <c r="BR140" i="9" s="1"/>
  <c r="AQ140" i="9"/>
  <c r="AO141" i="9"/>
  <c r="BR141" i="9" s="1"/>
  <c r="AQ141" i="9"/>
  <c r="AO144" i="9"/>
  <c r="BR144" i="9" s="1"/>
  <c r="AQ144" i="9"/>
  <c r="AO160" i="9"/>
  <c r="AQ160" i="9"/>
  <c r="AO158" i="9"/>
  <c r="BR158" i="9" s="1"/>
  <c r="AQ158" i="9"/>
  <c r="AO159" i="9"/>
  <c r="BR159" i="9" s="1"/>
  <c r="AQ159" i="9"/>
  <c r="AO174" i="9"/>
  <c r="AQ174" i="9"/>
  <c r="AO145" i="9"/>
  <c r="BR145" i="9" s="1"/>
  <c r="AQ145" i="9"/>
  <c r="AO164" i="9"/>
  <c r="BR164" i="9" s="1"/>
  <c r="AQ164" i="9"/>
  <c r="AO181" i="9"/>
  <c r="AQ181" i="9"/>
  <c r="AO193" i="9"/>
  <c r="BR193" i="9" s="1"/>
  <c r="AQ193" i="9"/>
  <c r="AO184" i="9"/>
  <c r="BR184" i="9" s="1"/>
  <c r="AQ184" i="9"/>
  <c r="AO221" i="9"/>
  <c r="AQ221" i="9"/>
  <c r="AO208" i="9"/>
  <c r="AQ208" i="9"/>
  <c r="AO232" i="9"/>
  <c r="BR232" i="9" s="1"/>
  <c r="AQ232" i="9"/>
  <c r="AO240" i="9"/>
  <c r="BR240" i="9" s="1"/>
  <c r="AQ240" i="9"/>
  <c r="AO66" i="9"/>
  <c r="BR66" i="9" s="1"/>
  <c r="AQ66" i="9"/>
  <c r="AO126" i="9"/>
  <c r="AQ126" i="9"/>
  <c r="AO161" i="9"/>
  <c r="BR161" i="9" s="1"/>
  <c r="AQ161" i="9"/>
  <c r="AO42" i="9"/>
  <c r="AQ42" i="9"/>
  <c r="AO56" i="9"/>
  <c r="AQ56" i="9"/>
  <c r="AO65" i="9"/>
  <c r="AQ65" i="9"/>
  <c r="AO75" i="9"/>
  <c r="BR75" i="9" s="1"/>
  <c r="AQ75" i="9"/>
  <c r="AO69" i="9"/>
  <c r="BR69" i="9" s="1"/>
  <c r="AQ69" i="9"/>
  <c r="AO76" i="9"/>
  <c r="BR76" i="9" s="1"/>
  <c r="AQ76" i="9"/>
  <c r="AO100" i="9"/>
  <c r="BR100" i="9" s="1"/>
  <c r="AQ100" i="9"/>
  <c r="AO130" i="9"/>
  <c r="BR130" i="9" s="1"/>
  <c r="AQ130" i="9"/>
  <c r="AO155" i="9"/>
  <c r="BR155" i="9" s="1"/>
  <c r="AQ155" i="9"/>
  <c r="AO119" i="9"/>
  <c r="AQ119" i="9"/>
  <c r="AO179" i="9"/>
  <c r="BR179" i="9" s="1"/>
  <c r="AQ179" i="9"/>
  <c r="AO127" i="9"/>
  <c r="BR127" i="9" s="1"/>
  <c r="AQ127" i="9"/>
  <c r="AO209" i="9"/>
  <c r="BR209" i="9" s="1"/>
  <c r="AQ209" i="9"/>
  <c r="AO168" i="9"/>
  <c r="BR168" i="9" s="1"/>
  <c r="AQ168" i="9"/>
  <c r="AO180" i="9"/>
  <c r="BR180" i="9" s="1"/>
  <c r="AQ180" i="9"/>
  <c r="AO149" i="9"/>
  <c r="BR149" i="9" s="1"/>
  <c r="AQ149" i="9"/>
  <c r="AO230" i="9"/>
  <c r="BR230" i="9" s="1"/>
  <c r="AQ230" i="9"/>
  <c r="AO183" i="9"/>
  <c r="AQ183" i="9"/>
  <c r="AO197" i="9"/>
  <c r="AQ197" i="9"/>
  <c r="AO188" i="9"/>
  <c r="AQ188" i="9"/>
  <c r="AO206" i="9"/>
  <c r="AQ206" i="9"/>
  <c r="AO212" i="9"/>
  <c r="BR212" i="9" s="1"/>
  <c r="AQ212" i="9"/>
  <c r="AO220" i="9"/>
  <c r="BR220" i="9" s="1"/>
  <c r="AQ220" i="9"/>
  <c r="AO225" i="9"/>
  <c r="BR225" i="9" s="1"/>
  <c r="AQ225" i="9"/>
  <c r="AQ32" i="10" l="1"/>
  <c r="AO44" i="9"/>
  <c r="BR44" i="9" s="1"/>
  <c r="AQ44" i="9"/>
  <c r="BM150" i="10"/>
  <c r="AP237" i="10"/>
  <c r="BL237" i="10" s="1"/>
  <c r="AR237" i="10"/>
  <c r="AS237" i="10" s="1"/>
  <c r="AP216" i="10"/>
  <c r="BL216" i="10" s="1"/>
  <c r="AR216" i="10"/>
  <c r="AS216" i="10" s="1"/>
  <c r="AR219" i="10"/>
  <c r="AS219" i="10" s="1"/>
  <c r="AP219" i="10"/>
  <c r="BL219" i="10" s="1"/>
  <c r="AR242" i="10"/>
  <c r="AS242" i="10" s="1"/>
  <c r="AP242" i="10"/>
  <c r="BL242" i="10" s="1"/>
  <c r="BM242" i="10" s="1"/>
  <c r="AP223" i="10"/>
  <c r="BL223" i="10" s="1"/>
  <c r="AR223" i="10"/>
  <c r="AS223" i="10" s="1"/>
  <c r="AP224" i="10"/>
  <c r="BL224" i="10" s="1"/>
  <c r="BM224" i="10" s="1"/>
  <c r="AR224" i="10"/>
  <c r="AS224" i="10" s="1"/>
  <c r="AR195" i="10"/>
  <c r="AS195" i="10" s="1"/>
  <c r="AP195" i="10"/>
  <c r="BL195" i="10" s="1"/>
  <c r="AP248" i="10"/>
  <c r="BL248" i="10" s="1"/>
  <c r="AR248" i="10"/>
  <c r="AS248" i="10" s="1"/>
  <c r="AP164" i="10"/>
  <c r="BL164" i="10" s="1"/>
  <c r="AR164" i="10"/>
  <c r="AS164" i="10" s="1"/>
  <c r="AP235" i="10"/>
  <c r="BL235" i="10" s="1"/>
  <c r="AR235" i="10"/>
  <c r="AS235" i="10" s="1"/>
  <c r="AP214" i="10"/>
  <c r="BL214" i="10" s="1"/>
  <c r="BM214" i="10" s="1"/>
  <c r="AR214" i="10"/>
  <c r="AS214" i="10" s="1"/>
  <c r="AP167" i="10"/>
  <c r="BL167" i="10" s="1"/>
  <c r="AR167" i="10"/>
  <c r="AS167" i="10" s="1"/>
  <c r="AR213" i="10"/>
  <c r="AS213" i="10" s="1"/>
  <c r="AP213" i="10"/>
  <c r="BL213" i="10" s="1"/>
  <c r="AR246" i="10"/>
  <c r="AS246" i="10" s="1"/>
  <c r="AP246" i="10"/>
  <c r="BL246" i="10" s="1"/>
  <c r="AP180" i="10"/>
  <c r="BL180" i="10" s="1"/>
  <c r="BM180" i="10" s="1"/>
  <c r="AR180" i="10"/>
  <c r="AS180" i="10" s="1"/>
  <c r="AP220" i="10"/>
  <c r="BL220" i="10" s="1"/>
  <c r="AR220" i="10"/>
  <c r="AS220" i="10" s="1"/>
  <c r="AP196" i="10"/>
  <c r="BL196" i="10" s="1"/>
  <c r="AR196" i="10"/>
  <c r="AS196" i="10" s="1"/>
  <c r="AP182" i="10"/>
  <c r="BL182" i="10" s="1"/>
  <c r="AR182" i="10"/>
  <c r="AS182" i="10" s="1"/>
  <c r="AP225" i="10"/>
  <c r="BL225" i="10" s="1"/>
  <c r="AR225" i="10"/>
  <c r="AS225" i="10" s="1"/>
  <c r="AP204" i="10"/>
  <c r="BL204" i="10" s="1"/>
  <c r="AR204" i="10"/>
  <c r="AS204" i="10" s="1"/>
  <c r="AR161" i="10"/>
  <c r="AS161" i="10" s="1"/>
  <c r="AP161" i="10"/>
  <c r="BL161" i="10" s="1"/>
  <c r="AP233" i="10"/>
  <c r="BL233" i="10" s="1"/>
  <c r="AR233" i="10"/>
  <c r="AS233" i="10" s="1"/>
  <c r="AP209" i="10"/>
  <c r="BL209" i="10" s="1"/>
  <c r="BM209" i="10" s="1"/>
  <c r="AR209" i="10"/>
  <c r="AS209" i="10" s="1"/>
  <c r="BR167" i="10"/>
  <c r="AP173" i="10"/>
  <c r="BL173" i="10" s="1"/>
  <c r="BM173" i="10" s="1"/>
  <c r="AR173" i="10"/>
  <c r="AS173" i="10" s="1"/>
  <c r="AR207" i="10"/>
  <c r="AS207" i="10" s="1"/>
  <c r="AP207" i="10"/>
  <c r="BL207" i="10" s="1"/>
  <c r="AP187" i="10"/>
  <c r="BL187" i="10" s="1"/>
  <c r="AR187" i="10"/>
  <c r="AS187" i="10" s="1"/>
  <c r="AP185" i="10"/>
  <c r="BL185" i="10" s="1"/>
  <c r="BM185" i="10" s="1"/>
  <c r="AR185" i="10"/>
  <c r="AS185" i="10" s="1"/>
  <c r="AR221" i="10"/>
  <c r="AS221" i="10" s="1"/>
  <c r="AP221" i="10"/>
  <c r="BL221" i="10" s="1"/>
  <c r="AR197" i="10"/>
  <c r="AS197" i="10" s="1"/>
  <c r="AP197" i="10"/>
  <c r="BL197" i="10" s="1"/>
  <c r="BM197" i="10" s="1"/>
  <c r="AP250" i="10"/>
  <c r="BL250" i="10" s="1"/>
  <c r="AR250" i="10"/>
  <c r="AS250" i="10" s="1"/>
  <c r="AP231" i="10"/>
  <c r="BL231" i="10" s="1"/>
  <c r="AR231" i="10"/>
  <c r="AS231" i="10" s="1"/>
  <c r="AR232" i="10"/>
  <c r="AS232" i="10" s="1"/>
  <c r="AP232" i="10"/>
  <c r="BL232" i="10" s="1"/>
  <c r="AP170" i="10"/>
  <c r="BL170" i="10" s="1"/>
  <c r="AR170" i="10"/>
  <c r="AS170" i="10" s="1"/>
  <c r="AR218" i="10"/>
  <c r="AS218" i="10" s="1"/>
  <c r="AP218" i="10"/>
  <c r="BL218" i="10" s="1"/>
  <c r="AP205" i="10"/>
  <c r="BL205" i="10" s="1"/>
  <c r="AR205" i="10"/>
  <c r="AS205" i="10" s="1"/>
  <c r="BR250" i="10"/>
  <c r="BR173" i="10"/>
  <c r="BR232" i="10"/>
  <c r="BR196" i="10"/>
  <c r="BR164" i="10"/>
  <c r="BR182" i="10"/>
  <c r="BR187" i="10"/>
  <c r="AR162" i="10"/>
  <c r="AS162" i="10" s="1"/>
  <c r="AP162" i="10"/>
  <c r="BL162" i="10" s="1"/>
  <c r="BM162" i="10" s="1"/>
  <c r="AP193" i="10"/>
  <c r="BL193" i="10" s="1"/>
  <c r="AR193" i="10"/>
  <c r="AS193" i="10" s="1"/>
  <c r="AR181" i="10"/>
  <c r="AS181" i="10" s="1"/>
  <c r="AP181" i="10"/>
  <c r="BL181" i="10" s="1"/>
  <c r="AP166" i="10"/>
  <c r="BL166" i="10" s="1"/>
  <c r="AR166" i="10"/>
  <c r="AS166" i="10" s="1"/>
  <c r="AP198" i="10"/>
  <c r="BL198" i="10" s="1"/>
  <c r="AR198" i="10"/>
  <c r="AS198" i="10" s="1"/>
  <c r="AP194" i="10"/>
  <c r="BL194" i="10" s="1"/>
  <c r="AR194" i="10"/>
  <c r="AS194" i="10" s="1"/>
  <c r="AP158" i="10"/>
  <c r="BL158" i="10" s="1"/>
  <c r="AR158" i="10"/>
  <c r="AS158" i="10" s="1"/>
  <c r="AP206" i="10"/>
  <c r="BL206" i="10" s="1"/>
  <c r="BM206" i="10" s="1"/>
  <c r="AR206" i="10"/>
  <c r="AS206" i="10" s="1"/>
  <c r="AP241" i="10"/>
  <c r="BL241" i="10" s="1"/>
  <c r="AR241" i="10"/>
  <c r="AS241" i="10" s="1"/>
  <c r="AR169" i="10"/>
  <c r="AS169" i="10" s="1"/>
  <c r="AP169" i="10"/>
  <c r="BL169" i="10" s="1"/>
  <c r="AR211" i="10"/>
  <c r="AS211" i="10" s="1"/>
  <c r="AP211" i="10"/>
  <c r="BL211" i="10" s="1"/>
  <c r="AP249" i="10"/>
  <c r="BL249" i="10" s="1"/>
  <c r="AR249" i="10"/>
  <c r="AS249" i="10" s="1"/>
  <c r="BR248" i="10"/>
  <c r="BR221" i="10"/>
  <c r="BR162" i="10"/>
  <c r="BR209" i="10"/>
  <c r="BR161" i="10"/>
  <c r="AR186" i="10"/>
  <c r="AS186" i="10" s="1"/>
  <c r="AP186" i="10"/>
  <c r="BL186" i="10" s="1"/>
  <c r="AP175" i="10"/>
  <c r="BL175" i="10" s="1"/>
  <c r="BM175" i="10" s="1"/>
  <c r="AR175" i="10"/>
  <c r="AS175" i="10" s="1"/>
  <c r="AP245" i="10"/>
  <c r="BL245" i="10" s="1"/>
  <c r="AR245" i="10"/>
  <c r="AS245" i="10" s="1"/>
  <c r="AP226" i="10"/>
  <c r="BL226" i="10" s="1"/>
  <c r="AR226" i="10"/>
  <c r="AS226" i="10" s="1"/>
  <c r="AR159" i="10"/>
  <c r="AS159" i="10" s="1"/>
  <c r="AP159" i="10"/>
  <c r="BL159" i="10" s="1"/>
  <c r="AR177" i="10"/>
  <c r="AS177" i="10" s="1"/>
  <c r="AP177" i="10"/>
  <c r="BL177" i="10" s="1"/>
  <c r="AP234" i="10"/>
  <c r="BL234" i="10" s="1"/>
  <c r="AR234" i="10"/>
  <c r="AS234" i="10" s="1"/>
  <c r="AR163" i="10"/>
  <c r="AS163" i="10" s="1"/>
  <c r="AP163" i="10"/>
  <c r="BL163" i="10" s="1"/>
  <c r="AP203" i="10"/>
  <c r="BL203" i="10" s="1"/>
  <c r="BM203" i="10" s="1"/>
  <c r="AR203" i="10"/>
  <c r="AS203" i="10" s="1"/>
  <c r="AP178" i="10"/>
  <c r="BL178" i="10" s="1"/>
  <c r="AR178" i="10"/>
  <c r="AS178" i="10" s="1"/>
  <c r="AR210" i="10"/>
  <c r="AS210" i="10" s="1"/>
  <c r="AP210" i="10"/>
  <c r="BL210" i="10" s="1"/>
  <c r="AP230" i="10"/>
  <c r="BL230" i="10" s="1"/>
  <c r="AR230" i="10"/>
  <c r="AS230" i="10" s="1"/>
  <c r="AP201" i="10"/>
  <c r="BL201" i="10" s="1"/>
  <c r="AR201" i="10"/>
  <c r="AS201" i="10" s="1"/>
  <c r="AP212" i="10"/>
  <c r="BL212" i="10" s="1"/>
  <c r="AR212" i="10"/>
  <c r="AS212" i="10" s="1"/>
  <c r="BR207" i="10"/>
  <c r="BR224" i="10"/>
  <c r="BR237" i="10"/>
  <c r="BR223" i="10"/>
  <c r="BR180" i="10"/>
  <c r="BR204" i="10"/>
  <c r="BR249" i="10"/>
  <c r="BR219" i="10"/>
  <c r="BR213" i="10"/>
  <c r="BM216" i="10"/>
  <c r="BM207" i="10"/>
  <c r="AP200" i="10"/>
  <c r="BL200" i="10" s="1"/>
  <c r="AR200" i="10"/>
  <c r="AS200" i="10" s="1"/>
  <c r="AP229" i="10"/>
  <c r="BL229" i="10" s="1"/>
  <c r="BM229" i="10" s="1"/>
  <c r="AR229" i="10"/>
  <c r="AS229" i="10" s="1"/>
  <c r="AR244" i="10"/>
  <c r="AS244" i="10" s="1"/>
  <c r="AP244" i="10"/>
  <c r="BL244" i="10" s="1"/>
  <c r="AP208" i="10"/>
  <c r="BL208" i="10" s="1"/>
  <c r="AR208" i="10"/>
  <c r="AS208" i="10" s="1"/>
  <c r="AP239" i="10"/>
  <c r="BL239" i="10" s="1"/>
  <c r="AR239" i="10"/>
  <c r="AS239" i="10" s="1"/>
  <c r="AP184" i="10"/>
  <c r="BL184" i="10" s="1"/>
  <c r="AR184" i="10"/>
  <c r="AS184" i="10" s="1"/>
  <c r="AP215" i="10"/>
  <c r="BL215" i="10" s="1"/>
  <c r="AR215" i="10"/>
  <c r="AS215" i="10" s="1"/>
  <c r="AP183" i="10"/>
  <c r="BL183" i="10" s="1"/>
  <c r="AR183" i="10"/>
  <c r="AS183" i="10" s="1"/>
  <c r="AR192" i="10"/>
  <c r="AS192" i="10" s="1"/>
  <c r="AP192" i="10"/>
  <c r="BL192" i="10" s="1"/>
  <c r="AP222" i="10"/>
  <c r="BL222" i="10" s="1"/>
  <c r="AR222" i="10"/>
  <c r="AS222" i="10" s="1"/>
  <c r="AR191" i="10"/>
  <c r="AS191" i="10" s="1"/>
  <c r="AP191" i="10"/>
  <c r="BL191" i="10" s="1"/>
  <c r="AP172" i="10"/>
  <c r="BL172" i="10" s="1"/>
  <c r="BM172" i="10" s="1"/>
  <c r="AR172" i="10"/>
  <c r="AS172" i="10" s="1"/>
  <c r="BR229" i="10"/>
  <c r="BR220" i="10"/>
  <c r="BR175" i="10"/>
  <c r="BR216" i="10"/>
  <c r="AP202" i="10"/>
  <c r="BL202" i="10" s="1"/>
  <c r="AR202" i="10"/>
  <c r="AS202" i="10" s="1"/>
  <c r="AR176" i="10"/>
  <c r="AS176" i="10" s="1"/>
  <c r="AP176" i="10"/>
  <c r="BL176" i="10" s="1"/>
  <c r="AR228" i="10"/>
  <c r="AS228" i="10" s="1"/>
  <c r="AP228" i="10"/>
  <c r="BL228" i="10" s="1"/>
  <c r="AP247" i="10"/>
  <c r="BL247" i="10" s="1"/>
  <c r="AR247" i="10"/>
  <c r="AS247" i="10" s="1"/>
  <c r="AP190" i="10"/>
  <c r="BL190" i="10" s="1"/>
  <c r="AR190" i="10"/>
  <c r="AS190" i="10" s="1"/>
  <c r="AP240" i="10"/>
  <c r="BL240" i="10" s="1"/>
  <c r="AR240" i="10"/>
  <c r="AS240" i="10" s="1"/>
  <c r="AP160" i="10"/>
  <c r="BL160" i="10" s="1"/>
  <c r="AR160" i="10"/>
  <c r="AS160" i="10" s="1"/>
  <c r="AP157" i="10"/>
  <c r="BL157" i="10" s="1"/>
  <c r="AR157" i="10"/>
  <c r="AS157" i="10" s="1"/>
  <c r="AP188" i="10"/>
  <c r="BL188" i="10" s="1"/>
  <c r="AR188" i="10"/>
  <c r="AS188" i="10" s="1"/>
  <c r="AP236" i="10"/>
  <c r="BL236" i="10" s="1"/>
  <c r="AR236" i="10"/>
  <c r="AS236" i="10" s="1"/>
  <c r="AP252" i="10"/>
  <c r="BL252" i="10" s="1"/>
  <c r="AR252" i="10"/>
  <c r="AS252" i="10" s="1"/>
  <c r="AP254" i="10"/>
  <c r="BL254" i="10" s="1"/>
  <c r="AR254" i="10"/>
  <c r="AS254" i="10" s="1"/>
  <c r="AR253" i="10"/>
  <c r="AS253" i="10" s="1"/>
  <c r="AP253" i="10"/>
  <c r="BL253" i="10" s="1"/>
  <c r="AR165" i="10"/>
  <c r="AS165" i="10" s="1"/>
  <c r="AP165" i="10"/>
  <c r="BL165" i="10" s="1"/>
  <c r="AP199" i="10"/>
  <c r="BL199" i="10" s="1"/>
  <c r="AR199" i="10"/>
  <c r="AS199" i="10" s="1"/>
  <c r="AP179" i="10"/>
  <c r="BL179" i="10" s="1"/>
  <c r="AR179" i="10"/>
  <c r="AS179" i="10" s="1"/>
  <c r="BR247" i="10"/>
  <c r="BR194" i="10"/>
  <c r="BR215" i="10"/>
  <c r="BR205" i="10"/>
  <c r="BR159" i="10"/>
  <c r="BR185" i="10"/>
  <c r="BR233" i="10"/>
  <c r="BR246" i="10"/>
  <c r="BR198" i="10"/>
  <c r="BR208" i="10"/>
  <c r="AR238" i="10"/>
  <c r="AS238" i="10" s="1"/>
  <c r="AP238" i="10"/>
  <c r="BL238" i="10" s="1"/>
  <c r="AR217" i="10"/>
  <c r="AS217" i="10" s="1"/>
  <c r="AP217" i="10"/>
  <c r="BL217" i="10" s="1"/>
  <c r="AP189" i="10"/>
  <c r="BL189" i="10" s="1"/>
  <c r="AR189" i="10"/>
  <c r="AS189" i="10" s="1"/>
  <c r="AR243" i="10"/>
  <c r="AS243" i="10" s="1"/>
  <c r="AP243" i="10"/>
  <c r="BL243" i="10" s="1"/>
  <c r="AP251" i="10"/>
  <c r="BL251" i="10" s="1"/>
  <c r="AR251" i="10"/>
  <c r="AS251" i="10" s="1"/>
  <c r="AP168" i="10"/>
  <c r="BL168" i="10" s="1"/>
  <c r="AR168" i="10"/>
  <c r="AS168" i="10" s="1"/>
  <c r="AP227" i="10"/>
  <c r="BL227" i="10" s="1"/>
  <c r="AR227" i="10"/>
  <c r="AS227" i="10" s="1"/>
  <c r="AP171" i="10"/>
  <c r="BL171" i="10" s="1"/>
  <c r="AR171" i="10"/>
  <c r="AS171" i="10" s="1"/>
  <c r="BR240" i="10"/>
  <c r="BR226" i="10"/>
  <c r="BR234" i="10"/>
  <c r="BR242" i="10"/>
  <c r="BR178" i="10"/>
  <c r="BR214" i="10"/>
  <c r="BR252" i="10"/>
  <c r="BR177" i="10"/>
  <c r="BR225" i="10"/>
  <c r="BR243" i="10"/>
  <c r="BR195" i="10"/>
  <c r="BR206" i="10"/>
  <c r="BR166" i="10"/>
  <c r="AP174" i="10"/>
  <c r="BL174" i="10" s="1"/>
  <c r="AR174" i="10"/>
  <c r="AS174" i="10" s="1"/>
  <c r="AR44" i="10"/>
  <c r="AS44" i="10" s="1"/>
  <c r="AP44" i="10"/>
  <c r="AP119" i="10"/>
  <c r="AR119" i="10"/>
  <c r="AS119" i="10" s="1"/>
  <c r="AR45" i="10"/>
  <c r="AS45" i="10" s="1"/>
  <c r="AP45" i="10"/>
  <c r="BR45" i="10"/>
  <c r="AR68" i="10"/>
  <c r="AS68" i="10" s="1"/>
  <c r="AP68" i="10"/>
  <c r="AR131" i="10"/>
  <c r="AS131" i="10" s="1"/>
  <c r="AP131" i="10"/>
  <c r="AR110" i="10"/>
  <c r="AS110" i="10" s="1"/>
  <c r="AP110" i="10"/>
  <c r="AR101" i="10"/>
  <c r="AS101" i="10" s="1"/>
  <c r="AP101" i="10"/>
  <c r="AR57" i="10"/>
  <c r="AS57" i="10" s="1"/>
  <c r="AP57" i="10"/>
  <c r="AR89" i="10"/>
  <c r="AS89" i="10" s="1"/>
  <c r="AP89" i="10"/>
  <c r="AP152" i="10"/>
  <c r="AR152" i="10"/>
  <c r="AS152" i="10" s="1"/>
  <c r="AP133" i="10"/>
  <c r="AR133" i="10"/>
  <c r="AS133" i="10" s="1"/>
  <c r="AR120" i="10"/>
  <c r="AS120" i="10" s="1"/>
  <c r="AP120" i="10"/>
  <c r="AR52" i="10"/>
  <c r="AS52" i="10" s="1"/>
  <c r="AP52" i="10"/>
  <c r="BR57" i="10"/>
  <c r="BR101" i="10"/>
  <c r="AP151" i="10"/>
  <c r="AR151" i="10"/>
  <c r="AS151" i="10" s="1"/>
  <c r="AR64" i="10"/>
  <c r="AS64" i="10" s="1"/>
  <c r="AP64" i="10"/>
  <c r="AR60" i="10"/>
  <c r="AS60" i="10" s="1"/>
  <c r="AP60" i="10"/>
  <c r="AR134" i="10"/>
  <c r="AS134" i="10" s="1"/>
  <c r="AP134" i="10"/>
  <c r="AP127" i="10"/>
  <c r="AR127" i="10"/>
  <c r="AS127" i="10" s="1"/>
  <c r="AR82" i="10"/>
  <c r="AS82" i="10" s="1"/>
  <c r="AP82" i="10"/>
  <c r="AR61" i="10"/>
  <c r="AS61" i="10" s="1"/>
  <c r="AP61" i="10"/>
  <c r="AR37" i="10"/>
  <c r="AS37" i="10" s="1"/>
  <c r="AP37" i="10"/>
  <c r="AR148" i="10"/>
  <c r="AS148" i="10" s="1"/>
  <c r="AP148" i="10"/>
  <c r="AR99" i="10"/>
  <c r="AS99" i="10" s="1"/>
  <c r="AP99" i="10"/>
  <c r="AR55" i="10"/>
  <c r="AS55" i="10" s="1"/>
  <c r="AP55" i="10"/>
  <c r="AR71" i="10"/>
  <c r="AS71" i="10" s="1"/>
  <c r="AP71" i="10"/>
  <c r="AR95" i="10"/>
  <c r="AS95" i="10" s="1"/>
  <c r="AP95" i="10"/>
  <c r="AR31" i="10"/>
  <c r="AS31" i="10" s="1"/>
  <c r="AP31" i="10"/>
  <c r="AP33" i="10"/>
  <c r="AR33" i="10"/>
  <c r="AS33" i="10" s="1"/>
  <c r="AR112" i="10"/>
  <c r="AS112" i="10" s="1"/>
  <c r="AP112" i="10"/>
  <c r="AR153" i="10"/>
  <c r="AS153" i="10" s="1"/>
  <c r="AP153" i="10"/>
  <c r="BR95" i="10"/>
  <c r="BR112" i="10"/>
  <c r="AR86" i="10"/>
  <c r="AS86" i="10" s="1"/>
  <c r="AP86" i="10"/>
  <c r="AR140" i="10"/>
  <c r="AS140" i="10" s="1"/>
  <c r="AP140" i="10"/>
  <c r="AP128" i="10"/>
  <c r="AR128" i="10"/>
  <c r="AS128" i="10" s="1"/>
  <c r="AR116" i="10"/>
  <c r="AS116" i="10" s="1"/>
  <c r="AP116" i="10"/>
  <c r="AR34" i="10"/>
  <c r="AS34" i="10" s="1"/>
  <c r="AP34" i="10"/>
  <c r="AR96" i="10"/>
  <c r="AS96" i="10" s="1"/>
  <c r="AP96" i="10"/>
  <c r="AP123" i="10"/>
  <c r="AR123" i="10"/>
  <c r="AS123" i="10" s="1"/>
  <c r="AP91" i="10"/>
  <c r="AR91" i="10"/>
  <c r="AS91" i="10" s="1"/>
  <c r="AR69" i="10"/>
  <c r="AS69" i="10" s="1"/>
  <c r="AP69" i="10"/>
  <c r="AP56" i="10"/>
  <c r="AR56" i="10"/>
  <c r="AS56" i="10" s="1"/>
  <c r="AR118" i="10"/>
  <c r="AS118" i="10" s="1"/>
  <c r="AP118" i="10"/>
  <c r="AP122" i="10"/>
  <c r="AR122" i="10"/>
  <c r="AS122" i="10" s="1"/>
  <c r="AR42" i="10"/>
  <c r="AS42" i="10" s="1"/>
  <c r="AP42" i="10"/>
  <c r="AR103" i="10"/>
  <c r="AS103" i="10" s="1"/>
  <c r="AP103" i="10"/>
  <c r="AR142" i="10"/>
  <c r="AS142" i="10" s="1"/>
  <c r="AP142" i="10"/>
  <c r="AR114" i="10"/>
  <c r="AS114" i="10" s="1"/>
  <c r="AP114" i="10"/>
  <c r="AR126" i="10"/>
  <c r="AS126" i="10" s="1"/>
  <c r="AP126" i="10"/>
  <c r="AR102" i="10"/>
  <c r="AS102" i="10" s="1"/>
  <c r="AP102" i="10"/>
  <c r="AR62" i="10"/>
  <c r="AS62" i="10" s="1"/>
  <c r="AP62" i="10"/>
  <c r="AR49" i="10"/>
  <c r="AS49" i="10" s="1"/>
  <c r="AP49" i="10"/>
  <c r="AP93" i="10"/>
  <c r="AR93" i="10"/>
  <c r="AS93" i="10" s="1"/>
  <c r="AR36" i="10"/>
  <c r="AS36" i="10" s="1"/>
  <c r="AP36" i="10"/>
  <c r="AR75" i="10"/>
  <c r="AS75" i="10" s="1"/>
  <c r="AP75" i="10"/>
  <c r="AR88" i="10"/>
  <c r="AS88" i="10" s="1"/>
  <c r="AP88" i="10"/>
  <c r="BR33" i="10"/>
  <c r="BR44" i="10"/>
  <c r="BR122" i="10"/>
  <c r="BR126" i="10"/>
  <c r="AR54" i="10"/>
  <c r="AS54" i="10" s="1"/>
  <c r="AP54" i="10"/>
  <c r="AR129" i="10"/>
  <c r="AS129" i="10" s="1"/>
  <c r="AP129" i="10"/>
  <c r="AR108" i="10"/>
  <c r="AS108" i="10" s="1"/>
  <c r="AP108" i="10"/>
  <c r="AP77" i="10"/>
  <c r="AR77" i="10"/>
  <c r="AS77" i="10" s="1"/>
  <c r="AR83" i="10"/>
  <c r="AS83" i="10" s="1"/>
  <c r="AP83" i="10"/>
  <c r="AP121" i="10"/>
  <c r="AR121" i="10"/>
  <c r="AS121" i="10" s="1"/>
  <c r="AR74" i="10"/>
  <c r="AS74" i="10" s="1"/>
  <c r="AP74" i="10"/>
  <c r="AR47" i="10"/>
  <c r="AS47" i="10" s="1"/>
  <c r="AP47" i="10"/>
  <c r="AP38" i="10"/>
  <c r="AR38" i="10"/>
  <c r="AS38" i="10" s="1"/>
  <c r="AR156" i="10"/>
  <c r="AS156" i="10" s="1"/>
  <c r="AP156" i="10"/>
  <c r="BL156" i="10" s="1"/>
  <c r="AP81" i="10"/>
  <c r="AR81" i="10"/>
  <c r="AS81" i="10" s="1"/>
  <c r="AR92" i="10"/>
  <c r="AS92" i="10" s="1"/>
  <c r="AP92" i="10"/>
  <c r="AR58" i="10"/>
  <c r="AS58" i="10" s="1"/>
  <c r="AP58" i="10"/>
  <c r="AR87" i="10"/>
  <c r="AS87" i="10" s="1"/>
  <c r="AP87" i="10"/>
  <c r="AR109" i="10"/>
  <c r="AS109" i="10" s="1"/>
  <c r="AP109" i="10"/>
  <c r="AP107" i="10"/>
  <c r="AR107" i="10"/>
  <c r="AS107" i="10" s="1"/>
  <c r="AP67" i="10"/>
  <c r="AR67" i="10"/>
  <c r="AS67" i="10" s="1"/>
  <c r="AR147" i="10"/>
  <c r="AS147" i="10" s="1"/>
  <c r="AP147" i="10"/>
  <c r="AR98" i="10"/>
  <c r="AS98" i="10" s="1"/>
  <c r="AP98" i="10"/>
  <c r="AP79" i="10"/>
  <c r="AR79" i="10"/>
  <c r="AS79" i="10" s="1"/>
  <c r="AR32" i="10"/>
  <c r="AS32" i="10" s="1"/>
  <c r="AP32" i="10"/>
  <c r="BR56" i="10"/>
  <c r="BR49" i="10"/>
  <c r="BR67" i="10"/>
  <c r="BR36" i="10"/>
  <c r="BR31" i="10"/>
  <c r="BR92" i="10"/>
  <c r="BR107" i="10"/>
  <c r="BR110" i="10"/>
  <c r="BR131" i="10"/>
  <c r="AR104" i="10"/>
  <c r="AS104" i="10" s="1"/>
  <c r="AP104" i="10"/>
  <c r="AR46" i="10"/>
  <c r="AS46" i="10" s="1"/>
  <c r="AP46" i="10"/>
  <c r="AP146" i="10"/>
  <c r="AR146" i="10"/>
  <c r="AS146" i="10" s="1"/>
  <c r="AR115" i="10"/>
  <c r="AS115" i="10" s="1"/>
  <c r="AP115" i="10"/>
  <c r="AP90" i="10"/>
  <c r="AR90" i="10"/>
  <c r="AS90" i="10" s="1"/>
  <c r="AR53" i="10"/>
  <c r="AS53" i="10" s="1"/>
  <c r="AP53" i="10"/>
  <c r="AR106" i="10"/>
  <c r="AS106" i="10" s="1"/>
  <c r="AP106" i="10"/>
  <c r="AR141" i="10"/>
  <c r="AS141" i="10" s="1"/>
  <c r="AP141" i="10"/>
  <c r="AR97" i="10"/>
  <c r="AS97" i="10" s="1"/>
  <c r="AP97" i="10"/>
  <c r="AP80" i="10"/>
  <c r="AR80" i="10"/>
  <c r="AS80" i="10" s="1"/>
  <c r="AR63" i="10"/>
  <c r="AS63" i="10" s="1"/>
  <c r="AP63" i="10"/>
  <c r="AP51" i="10"/>
  <c r="AR51" i="10"/>
  <c r="AS51" i="10" s="1"/>
  <c r="AR137" i="10"/>
  <c r="AS137" i="10" s="1"/>
  <c r="AP137" i="10"/>
  <c r="AR35" i="10"/>
  <c r="AS35" i="10" s="1"/>
  <c r="AP35" i="10"/>
  <c r="BR54" i="10"/>
  <c r="BR77" i="10"/>
  <c r="BR114" i="10"/>
  <c r="BR103" i="10"/>
  <c r="BR109" i="10"/>
  <c r="AR94" i="10"/>
  <c r="AS94" i="10" s="1"/>
  <c r="AP94" i="10"/>
  <c r="AR145" i="10"/>
  <c r="AS145" i="10" s="1"/>
  <c r="AP145" i="10"/>
  <c r="AP124" i="10"/>
  <c r="AR124" i="10"/>
  <c r="AS124" i="10" s="1"/>
  <c r="AR78" i="10"/>
  <c r="AS78" i="10" s="1"/>
  <c r="AP78" i="10"/>
  <c r="AR65" i="10"/>
  <c r="AS65" i="10" s="1"/>
  <c r="AP65" i="10"/>
  <c r="AR139" i="10"/>
  <c r="AS139" i="10" s="1"/>
  <c r="AP139" i="10"/>
  <c r="AR100" i="10"/>
  <c r="AS100" i="10" s="1"/>
  <c r="AP100" i="10"/>
  <c r="AP72" i="10"/>
  <c r="AR72" i="10"/>
  <c r="AS72" i="10" s="1"/>
  <c r="AP39" i="10"/>
  <c r="AR39" i="10"/>
  <c r="AS39" i="10" s="1"/>
  <c r="AR143" i="10"/>
  <c r="AS143" i="10" s="1"/>
  <c r="AP143" i="10"/>
  <c r="AR40" i="10"/>
  <c r="AS40" i="10" s="1"/>
  <c r="AP40" i="10"/>
  <c r="AR73" i="10"/>
  <c r="AS73" i="10" s="1"/>
  <c r="AP73" i="10"/>
  <c r="AR84" i="10"/>
  <c r="AS84" i="10" s="1"/>
  <c r="AP84" i="10"/>
  <c r="AR130" i="10"/>
  <c r="AS130" i="10" s="1"/>
  <c r="AP130" i="10"/>
  <c r="AR125" i="10"/>
  <c r="AS125" i="10" s="1"/>
  <c r="AP125" i="10"/>
  <c r="AR76" i="10"/>
  <c r="AS76" i="10" s="1"/>
  <c r="AP76" i="10"/>
  <c r="AR113" i="10"/>
  <c r="AS113" i="10" s="1"/>
  <c r="AP113" i="10"/>
  <c r="AR117" i="10"/>
  <c r="AS117" i="10" s="1"/>
  <c r="AP117" i="10"/>
  <c r="AR59" i="10"/>
  <c r="AS59" i="10" s="1"/>
  <c r="AP59" i="10"/>
  <c r="AR144" i="10"/>
  <c r="AS144" i="10" s="1"/>
  <c r="AP144" i="10"/>
  <c r="AR50" i="10"/>
  <c r="AS50" i="10" s="1"/>
  <c r="AP50" i="10"/>
  <c r="AR111" i="10"/>
  <c r="AS111" i="10" s="1"/>
  <c r="AP111" i="10"/>
  <c r="AP48" i="10"/>
  <c r="AR48" i="10"/>
  <c r="AS48" i="10" s="1"/>
  <c r="BR35" i="10"/>
  <c r="BR42" i="10"/>
  <c r="BR87" i="10"/>
  <c r="BR119" i="10"/>
  <c r="BR118" i="10"/>
  <c r="AP132" i="10"/>
  <c r="AR132" i="10"/>
  <c r="AS132" i="10" s="1"/>
  <c r="AR105" i="10"/>
  <c r="AS105" i="10" s="1"/>
  <c r="AP105" i="10"/>
  <c r="AP85" i="10"/>
  <c r="AR85" i="10"/>
  <c r="AS85" i="10" s="1"/>
  <c r="AP43" i="10"/>
  <c r="AR43" i="10"/>
  <c r="AS43" i="10" s="1"/>
  <c r="AR135" i="10"/>
  <c r="AS135" i="10" s="1"/>
  <c r="AP135" i="10"/>
  <c r="AR149" i="10"/>
  <c r="AS149" i="10" s="1"/>
  <c r="AP149" i="10"/>
  <c r="AP138" i="10"/>
  <c r="AR138" i="10"/>
  <c r="AS138" i="10" s="1"/>
  <c r="AR70" i="10"/>
  <c r="AS70" i="10" s="1"/>
  <c r="AP70" i="10"/>
  <c r="AR41" i="10"/>
  <c r="AS41" i="10" s="1"/>
  <c r="AP41" i="10"/>
  <c r="AR136" i="10"/>
  <c r="AS136" i="10" s="1"/>
  <c r="AP136" i="10"/>
  <c r="AP66" i="10"/>
  <c r="AR66" i="10"/>
  <c r="AS66" i="10" s="1"/>
  <c r="AP51" i="9"/>
  <c r="BL51" i="9" s="1"/>
  <c r="BM51" i="9" s="1"/>
  <c r="AR51" i="9"/>
  <c r="AS51" i="9" s="1"/>
  <c r="AR123" i="9"/>
  <c r="AS123" i="9" s="1"/>
  <c r="AP123" i="9"/>
  <c r="BL123" i="9" s="1"/>
  <c r="AP150" i="9"/>
  <c r="BL150" i="9" s="1"/>
  <c r="AR150" i="9"/>
  <c r="AS150" i="9" s="1"/>
  <c r="AR41" i="9"/>
  <c r="AS41" i="9" s="1"/>
  <c r="AP41" i="9"/>
  <c r="BL41" i="9" s="1"/>
  <c r="AR202" i="9"/>
  <c r="AS202" i="9" s="1"/>
  <c r="AP202" i="9"/>
  <c r="BL202" i="9" s="1"/>
  <c r="BM202" i="9" s="1"/>
  <c r="AP63" i="9"/>
  <c r="BL63" i="9" s="1"/>
  <c r="AR63" i="9"/>
  <c r="AS63" i="9" s="1"/>
  <c r="BR202" i="9"/>
  <c r="AR185" i="9"/>
  <c r="AS185" i="9" s="1"/>
  <c r="AP185" i="9"/>
  <c r="BL185" i="9" s="1"/>
  <c r="AR156" i="9"/>
  <c r="AS156" i="9" s="1"/>
  <c r="AP156" i="9"/>
  <c r="BL156" i="9" s="1"/>
  <c r="AP118" i="9"/>
  <c r="BL118" i="9" s="1"/>
  <c r="AR118" i="9"/>
  <c r="AS118" i="9" s="1"/>
  <c r="AR79" i="9"/>
  <c r="AS79" i="9" s="1"/>
  <c r="AP79" i="9"/>
  <c r="BL79" i="9" s="1"/>
  <c r="AR49" i="9"/>
  <c r="AS49" i="9" s="1"/>
  <c r="AP49" i="9"/>
  <c r="BL49" i="9" s="1"/>
  <c r="AR193" i="9"/>
  <c r="AS193" i="9" s="1"/>
  <c r="AP193" i="9"/>
  <c r="BL193" i="9" s="1"/>
  <c r="AR62" i="9"/>
  <c r="AS62" i="9" s="1"/>
  <c r="AP62" i="9"/>
  <c r="BL62" i="9" s="1"/>
  <c r="AR213" i="9"/>
  <c r="AS213" i="9" s="1"/>
  <c r="AP213" i="9"/>
  <c r="BL213" i="9" s="1"/>
  <c r="AP112" i="9"/>
  <c r="BL112" i="9" s="1"/>
  <c r="AR112" i="9"/>
  <c r="AS112" i="9" s="1"/>
  <c r="AP205" i="9"/>
  <c r="BL205" i="9" s="1"/>
  <c r="AR205" i="9"/>
  <c r="AS205" i="9" s="1"/>
  <c r="AP235" i="9"/>
  <c r="BL235" i="9" s="1"/>
  <c r="AR235" i="9"/>
  <c r="AS235" i="9" s="1"/>
  <c r="AP96" i="9"/>
  <c r="BL96" i="9" s="1"/>
  <c r="AR96" i="9"/>
  <c r="AS96" i="9" s="1"/>
  <c r="AR169" i="9"/>
  <c r="AS169" i="9" s="1"/>
  <c r="AP169" i="9"/>
  <c r="BL169" i="9" s="1"/>
  <c r="AR197" i="9"/>
  <c r="AS197" i="9" s="1"/>
  <c r="AP197" i="9"/>
  <c r="BL197" i="9" s="1"/>
  <c r="AR65" i="9"/>
  <c r="AS65" i="9" s="1"/>
  <c r="AP65" i="9"/>
  <c r="BL65" i="9" s="1"/>
  <c r="AR108" i="9"/>
  <c r="AS108" i="9" s="1"/>
  <c r="AP108" i="9"/>
  <c r="BL108" i="9" s="1"/>
  <c r="AR107" i="9"/>
  <c r="AS107" i="9" s="1"/>
  <c r="AP107" i="9"/>
  <c r="BL107" i="9" s="1"/>
  <c r="AR208" i="9"/>
  <c r="AS208" i="9" s="1"/>
  <c r="AP208" i="9"/>
  <c r="BL208" i="9" s="1"/>
  <c r="AP141" i="9"/>
  <c r="BL141" i="9" s="1"/>
  <c r="AR141" i="9"/>
  <c r="AS141" i="9" s="1"/>
  <c r="AR198" i="9"/>
  <c r="AS198" i="9" s="1"/>
  <c r="AP198" i="9"/>
  <c r="BL198" i="9" s="1"/>
  <c r="AR142" i="9"/>
  <c r="AS142" i="9" s="1"/>
  <c r="AP142" i="9"/>
  <c r="BL142" i="9" s="1"/>
  <c r="AP201" i="9"/>
  <c r="BL201" i="9" s="1"/>
  <c r="AR201" i="9"/>
  <c r="AS201" i="9" s="1"/>
  <c r="AP215" i="9"/>
  <c r="BL215" i="9" s="1"/>
  <c r="AR215" i="9"/>
  <c r="AS215" i="9" s="1"/>
  <c r="AR61" i="9"/>
  <c r="AS61" i="9" s="1"/>
  <c r="AP61" i="9"/>
  <c r="BL61" i="9" s="1"/>
  <c r="BR62" i="9"/>
  <c r="AP183" i="9"/>
  <c r="BL183" i="9" s="1"/>
  <c r="AR183" i="9"/>
  <c r="AS183" i="9" s="1"/>
  <c r="AR66" i="9"/>
  <c r="AS66" i="9" s="1"/>
  <c r="AP66" i="9"/>
  <c r="BL66" i="9" s="1"/>
  <c r="AP93" i="9"/>
  <c r="BL93" i="9" s="1"/>
  <c r="AR93" i="9"/>
  <c r="AS93" i="9" s="1"/>
  <c r="BR65" i="9"/>
  <c r="AR134" i="9"/>
  <c r="AS134" i="9" s="1"/>
  <c r="AP134" i="9"/>
  <c r="BL134" i="9" s="1"/>
  <c r="AR94" i="9"/>
  <c r="AS94" i="9" s="1"/>
  <c r="AP94" i="9"/>
  <c r="BL94" i="9" s="1"/>
  <c r="AP109" i="9"/>
  <c r="BL109" i="9" s="1"/>
  <c r="AR109" i="9"/>
  <c r="AS109" i="9" s="1"/>
  <c r="AP194" i="9"/>
  <c r="BL194" i="9" s="1"/>
  <c r="AR194" i="9"/>
  <c r="AS194" i="9" s="1"/>
  <c r="AP162" i="9"/>
  <c r="BL162" i="9" s="1"/>
  <c r="AR162" i="9"/>
  <c r="AS162" i="9" s="1"/>
  <c r="AR120" i="9"/>
  <c r="AS120" i="9" s="1"/>
  <c r="AP120" i="9"/>
  <c r="BL120" i="9" s="1"/>
  <c r="AP219" i="9"/>
  <c r="BL219" i="9" s="1"/>
  <c r="AR219" i="9"/>
  <c r="AS219" i="9" s="1"/>
  <c r="AP83" i="9"/>
  <c r="BL83" i="9" s="1"/>
  <c r="AR83" i="9"/>
  <c r="AS83" i="9" s="1"/>
  <c r="AP180" i="9"/>
  <c r="BL180" i="9" s="1"/>
  <c r="AR180" i="9"/>
  <c r="AS180" i="9" s="1"/>
  <c r="AP126" i="9"/>
  <c r="BL126" i="9" s="1"/>
  <c r="AR126" i="9"/>
  <c r="AS126" i="9" s="1"/>
  <c r="AR224" i="9"/>
  <c r="AS224" i="9" s="1"/>
  <c r="AP224" i="9"/>
  <c r="BL224" i="9" s="1"/>
  <c r="AR82" i="9"/>
  <c r="AS82" i="9" s="1"/>
  <c r="AP82" i="9"/>
  <c r="BL82" i="9" s="1"/>
  <c r="AP77" i="9"/>
  <c r="BL77" i="9" s="1"/>
  <c r="AR77" i="9"/>
  <c r="AS77" i="9" s="1"/>
  <c r="BR197" i="9"/>
  <c r="AR181" i="9"/>
  <c r="AS181" i="9" s="1"/>
  <c r="AP181" i="9"/>
  <c r="BL181" i="9" s="1"/>
  <c r="AP50" i="9"/>
  <c r="BL50" i="9" s="1"/>
  <c r="AR50" i="9"/>
  <c r="AS50" i="9" s="1"/>
  <c r="AP117" i="9"/>
  <c r="BL117" i="9" s="1"/>
  <c r="AR117" i="9"/>
  <c r="AS117" i="9" s="1"/>
  <c r="AP151" i="9"/>
  <c r="BL151" i="9" s="1"/>
  <c r="AR151" i="9"/>
  <c r="AS151" i="9" s="1"/>
  <c r="AR238" i="9"/>
  <c r="AS238" i="9" s="1"/>
  <c r="AP238" i="9"/>
  <c r="BL238" i="9" s="1"/>
  <c r="AP200" i="9"/>
  <c r="BL200" i="9" s="1"/>
  <c r="AR200" i="9"/>
  <c r="AS200" i="9" s="1"/>
  <c r="AR58" i="9"/>
  <c r="AS58" i="9" s="1"/>
  <c r="AP58" i="9"/>
  <c r="BL58" i="9" s="1"/>
  <c r="AR70" i="9"/>
  <c r="AS70" i="9" s="1"/>
  <c r="AP70" i="9"/>
  <c r="BL70" i="9" s="1"/>
  <c r="BR82" i="9"/>
  <c r="AR45" i="9"/>
  <c r="AS45" i="9" s="1"/>
  <c r="AP45" i="9"/>
  <c r="BL45" i="9" s="1"/>
  <c r="AR119" i="9"/>
  <c r="AS119" i="9" s="1"/>
  <c r="AP119" i="9"/>
  <c r="BL119" i="9" s="1"/>
  <c r="AP56" i="9"/>
  <c r="BL56" i="9" s="1"/>
  <c r="AR56" i="9"/>
  <c r="AS56" i="9" s="1"/>
  <c r="AR31" i="9"/>
  <c r="AS31" i="9" s="1"/>
  <c r="AP31" i="9"/>
  <c r="BL31" i="9" s="1"/>
  <c r="AP226" i="9"/>
  <c r="BL226" i="9" s="1"/>
  <c r="AR226" i="9"/>
  <c r="AS226" i="9" s="1"/>
  <c r="AP210" i="9"/>
  <c r="BL210" i="9" s="1"/>
  <c r="AR210" i="9"/>
  <c r="AS210" i="9" s="1"/>
  <c r="AR124" i="9"/>
  <c r="AS124" i="9" s="1"/>
  <c r="AP124" i="9"/>
  <c r="BL124" i="9" s="1"/>
  <c r="AP40" i="9"/>
  <c r="BL40" i="9" s="1"/>
  <c r="AR40" i="9"/>
  <c r="AS40" i="9" s="1"/>
  <c r="BR49" i="9"/>
  <c r="BR162" i="9"/>
  <c r="BR205" i="9"/>
  <c r="BR224" i="9"/>
  <c r="BR215" i="9"/>
  <c r="BR210" i="9"/>
  <c r="AP221" i="9"/>
  <c r="BL221" i="9" s="1"/>
  <c r="AR221" i="9"/>
  <c r="AS221" i="9" s="1"/>
  <c r="AP164" i="9"/>
  <c r="BL164" i="9" s="1"/>
  <c r="AR164" i="9"/>
  <c r="AS164" i="9" s="1"/>
  <c r="AP158" i="9"/>
  <c r="BL158" i="9" s="1"/>
  <c r="AR158" i="9"/>
  <c r="AS158" i="9" s="1"/>
  <c r="AP140" i="9"/>
  <c r="BL140" i="9" s="1"/>
  <c r="BM140" i="9" s="1"/>
  <c r="AR140" i="9"/>
  <c r="AS140" i="9" s="1"/>
  <c r="AR68" i="9"/>
  <c r="AS68" i="9" s="1"/>
  <c r="AP68" i="9"/>
  <c r="BL68" i="9" s="1"/>
  <c r="AR172" i="9"/>
  <c r="AS172" i="9" s="1"/>
  <c r="AP172" i="9"/>
  <c r="BL172" i="9" s="1"/>
  <c r="AR90" i="9"/>
  <c r="AS90" i="9" s="1"/>
  <c r="AP90" i="9"/>
  <c r="BL90" i="9" s="1"/>
  <c r="AR217" i="9"/>
  <c r="AS217" i="9" s="1"/>
  <c r="AP217" i="9"/>
  <c r="BL217" i="9" s="1"/>
  <c r="AR182" i="9"/>
  <c r="AS182" i="9" s="1"/>
  <c r="AP182" i="9"/>
  <c r="BL182" i="9" s="1"/>
  <c r="AR129" i="9"/>
  <c r="AS129" i="9" s="1"/>
  <c r="AP129" i="9"/>
  <c r="BL129" i="9" s="1"/>
  <c r="AP166" i="9"/>
  <c r="BL166" i="9" s="1"/>
  <c r="AR166" i="9"/>
  <c r="AS166" i="9" s="1"/>
  <c r="AR98" i="9"/>
  <c r="AS98" i="9" s="1"/>
  <c r="AP98" i="9"/>
  <c r="BL98" i="9" s="1"/>
  <c r="AR46" i="9"/>
  <c r="AS46" i="9" s="1"/>
  <c r="AP46" i="9"/>
  <c r="BL46" i="9" s="1"/>
  <c r="AP67" i="9"/>
  <c r="BL67" i="9" s="1"/>
  <c r="AR67" i="9"/>
  <c r="AS67" i="9" s="1"/>
  <c r="AP39" i="9"/>
  <c r="BL39" i="9" s="1"/>
  <c r="AR39" i="9"/>
  <c r="AS39" i="9" s="1"/>
  <c r="AP239" i="9"/>
  <c r="BL239" i="9" s="1"/>
  <c r="AR239" i="9"/>
  <c r="AS239" i="9" s="1"/>
  <c r="AP191" i="9"/>
  <c r="BL191" i="9" s="1"/>
  <c r="AR191" i="9"/>
  <c r="AS191" i="9" s="1"/>
  <c r="AR170" i="9"/>
  <c r="AS170" i="9" s="1"/>
  <c r="AP170" i="9"/>
  <c r="BL170" i="9" s="1"/>
  <c r="AR121" i="9"/>
  <c r="AS121" i="9" s="1"/>
  <c r="AP121" i="9"/>
  <c r="BL121" i="9" s="1"/>
  <c r="AR233" i="9"/>
  <c r="AS233" i="9" s="1"/>
  <c r="AP233" i="9"/>
  <c r="BL233" i="9" s="1"/>
  <c r="AR196" i="9"/>
  <c r="AS196" i="9" s="1"/>
  <c r="AP196" i="9"/>
  <c r="BL196" i="9" s="1"/>
  <c r="AP157" i="9"/>
  <c r="BL157" i="9" s="1"/>
  <c r="AR157" i="9"/>
  <c r="AS157" i="9" s="1"/>
  <c r="AP147" i="9"/>
  <c r="BL147" i="9" s="1"/>
  <c r="AR147" i="9"/>
  <c r="AS147" i="9" s="1"/>
  <c r="AR115" i="9"/>
  <c r="AS115" i="9" s="1"/>
  <c r="AP115" i="9"/>
  <c r="BL115" i="9" s="1"/>
  <c r="AP103" i="9"/>
  <c r="BL103" i="9" s="1"/>
  <c r="AR103" i="9"/>
  <c r="AS103" i="9" s="1"/>
  <c r="AR37" i="9"/>
  <c r="AS37" i="9" s="1"/>
  <c r="AP37" i="9"/>
  <c r="BL37" i="9" s="1"/>
  <c r="BR41" i="9"/>
  <c r="BR90" i="9"/>
  <c r="BR93" i="9"/>
  <c r="BR108" i="9"/>
  <c r="BR150" i="9"/>
  <c r="BR124" i="9"/>
  <c r="BR219" i="9"/>
  <c r="BR200" i="9"/>
  <c r="BR238" i="9"/>
  <c r="AR229" i="9"/>
  <c r="AS229" i="9" s="1"/>
  <c r="AP229" i="9"/>
  <c r="BL229" i="9" s="1"/>
  <c r="AR192" i="9"/>
  <c r="AS192" i="9" s="1"/>
  <c r="AP192" i="9"/>
  <c r="BL192" i="9" s="1"/>
  <c r="AR153" i="9"/>
  <c r="AS153" i="9" s="1"/>
  <c r="AP153" i="9"/>
  <c r="BL153" i="9" s="1"/>
  <c r="AR128" i="9"/>
  <c r="AS128" i="9" s="1"/>
  <c r="AP128" i="9"/>
  <c r="BL128" i="9" s="1"/>
  <c r="AR97" i="9"/>
  <c r="AS97" i="9" s="1"/>
  <c r="AP97" i="9"/>
  <c r="BL97" i="9" s="1"/>
  <c r="AP86" i="9"/>
  <c r="BL86" i="9" s="1"/>
  <c r="AR86" i="9"/>
  <c r="AS86" i="9" s="1"/>
  <c r="AR52" i="9"/>
  <c r="AS52" i="9" s="1"/>
  <c r="AP52" i="9"/>
  <c r="BL52" i="9" s="1"/>
  <c r="AR232" i="9"/>
  <c r="AS232" i="9" s="1"/>
  <c r="AP232" i="9"/>
  <c r="BL232" i="9" s="1"/>
  <c r="AP144" i="9"/>
  <c r="BL144" i="9" s="1"/>
  <c r="AR144" i="9"/>
  <c r="AS144" i="9" s="1"/>
  <c r="AP163" i="9"/>
  <c r="BL163" i="9" s="1"/>
  <c r="AR163" i="9"/>
  <c r="AS163" i="9" s="1"/>
  <c r="AR55" i="9"/>
  <c r="AS55" i="9" s="1"/>
  <c r="AP55" i="9"/>
  <c r="BL55" i="9" s="1"/>
  <c r="AP92" i="9"/>
  <c r="BL92" i="9" s="1"/>
  <c r="AR92" i="9"/>
  <c r="AS92" i="9" s="1"/>
  <c r="AP110" i="9"/>
  <c r="BL110" i="9" s="1"/>
  <c r="AR110" i="9"/>
  <c r="AS110" i="9" s="1"/>
  <c r="AR111" i="9"/>
  <c r="AS111" i="9" s="1"/>
  <c r="AP111" i="9"/>
  <c r="BL111" i="9" s="1"/>
  <c r="BR51" i="9"/>
  <c r="BR109" i="9"/>
  <c r="AP187" i="9"/>
  <c r="BL187" i="9" s="1"/>
  <c r="AR187" i="9"/>
  <c r="AS187" i="9" s="1"/>
  <c r="AR220" i="9"/>
  <c r="AS220" i="9" s="1"/>
  <c r="AP220" i="9"/>
  <c r="BL220" i="9" s="1"/>
  <c r="AP100" i="9"/>
  <c r="BL100" i="9" s="1"/>
  <c r="AR100" i="9"/>
  <c r="AS100" i="9" s="1"/>
  <c r="AR132" i="9"/>
  <c r="AS132" i="9" s="1"/>
  <c r="AP132" i="9"/>
  <c r="BL132" i="9" s="1"/>
  <c r="AR43" i="9"/>
  <c r="AS43" i="9" s="1"/>
  <c r="AP43" i="9"/>
  <c r="BL43" i="9" s="1"/>
  <c r="BR112" i="9"/>
  <c r="AP159" i="9"/>
  <c r="BL159" i="9" s="1"/>
  <c r="AR159" i="9"/>
  <c r="AS159" i="9" s="1"/>
  <c r="AR57" i="9"/>
  <c r="AS57" i="9" s="1"/>
  <c r="AP57" i="9"/>
  <c r="BL57" i="9" s="1"/>
  <c r="AP48" i="9"/>
  <c r="BL48" i="9" s="1"/>
  <c r="AR48" i="9"/>
  <c r="AS48" i="9" s="1"/>
  <c r="AR133" i="9"/>
  <c r="AS133" i="9" s="1"/>
  <c r="AP133" i="9"/>
  <c r="BL133" i="9" s="1"/>
  <c r="AR105" i="9"/>
  <c r="AS105" i="9" s="1"/>
  <c r="AP105" i="9"/>
  <c r="BL105" i="9" s="1"/>
  <c r="BR110" i="9"/>
  <c r="AR212" i="9"/>
  <c r="AS212" i="9" s="1"/>
  <c r="AP212" i="9"/>
  <c r="BL212" i="9" s="1"/>
  <c r="AR69" i="9"/>
  <c r="AS69" i="9" s="1"/>
  <c r="AP69" i="9"/>
  <c r="BL69" i="9" s="1"/>
  <c r="AP177" i="9"/>
  <c r="BL177" i="9" s="1"/>
  <c r="AR177" i="9"/>
  <c r="AS177" i="9" s="1"/>
  <c r="AR59" i="9"/>
  <c r="AS59" i="9" s="1"/>
  <c r="AP59" i="9"/>
  <c r="BL59" i="9" s="1"/>
  <c r="AR73" i="9"/>
  <c r="AS73" i="9" s="1"/>
  <c r="AP73" i="9"/>
  <c r="BL73" i="9" s="1"/>
  <c r="AR47" i="9"/>
  <c r="AS47" i="9" s="1"/>
  <c r="AP47" i="9"/>
  <c r="BL47" i="9" s="1"/>
  <c r="BR59" i="9"/>
  <c r="BR56" i="9"/>
  <c r="BR94" i="9"/>
  <c r="BR133" i="9"/>
  <c r="BR185" i="9"/>
  <c r="BR169" i="9"/>
  <c r="BR198" i="9"/>
  <c r="BR213" i="9"/>
  <c r="BR239" i="9"/>
  <c r="AR34" i="9"/>
  <c r="AS34" i="9" s="1"/>
  <c r="AP34" i="9"/>
  <c r="BL34" i="9" s="1"/>
  <c r="AP152" i="9"/>
  <c r="BL152" i="9" s="1"/>
  <c r="AR152" i="9"/>
  <c r="AS152" i="9" s="1"/>
  <c r="AP174" i="9"/>
  <c r="BL174" i="9" s="1"/>
  <c r="AR174" i="9"/>
  <c r="AS174" i="9" s="1"/>
  <c r="AP176" i="9"/>
  <c r="BL176" i="9" s="1"/>
  <c r="AR176" i="9"/>
  <c r="AS176" i="9" s="1"/>
  <c r="AR237" i="9"/>
  <c r="AS237" i="9" s="1"/>
  <c r="AP237" i="9"/>
  <c r="BL237" i="9" s="1"/>
  <c r="AP190" i="9"/>
  <c r="BL190" i="9" s="1"/>
  <c r="AR190" i="9"/>
  <c r="AS190" i="9" s="1"/>
  <c r="AP143" i="9"/>
  <c r="BL143" i="9" s="1"/>
  <c r="AR143" i="9"/>
  <c r="AS143" i="9" s="1"/>
  <c r="AR102" i="9"/>
  <c r="AS102" i="9" s="1"/>
  <c r="AP102" i="9"/>
  <c r="BL102" i="9" s="1"/>
  <c r="AP179" i="9"/>
  <c r="BL179" i="9" s="1"/>
  <c r="AR179" i="9"/>
  <c r="AS179" i="9" s="1"/>
  <c r="AR186" i="9"/>
  <c r="AS186" i="9" s="1"/>
  <c r="AP186" i="9"/>
  <c r="BL186" i="9" s="1"/>
  <c r="AR53" i="9"/>
  <c r="AS53" i="9" s="1"/>
  <c r="AP53" i="9"/>
  <c r="BL53" i="9" s="1"/>
  <c r="AR189" i="9"/>
  <c r="AS189" i="9" s="1"/>
  <c r="AP189" i="9"/>
  <c r="BL189" i="9" s="1"/>
  <c r="AP95" i="9"/>
  <c r="BL95" i="9" s="1"/>
  <c r="AR95" i="9"/>
  <c r="AS95" i="9" s="1"/>
  <c r="AR88" i="9"/>
  <c r="AS88" i="9" s="1"/>
  <c r="AP88" i="9"/>
  <c r="BL88" i="9" s="1"/>
  <c r="AR178" i="9"/>
  <c r="AS178" i="9" s="1"/>
  <c r="AP178" i="9"/>
  <c r="BL178" i="9" s="1"/>
  <c r="AR171" i="9"/>
  <c r="AS171" i="9" s="1"/>
  <c r="AP171" i="9"/>
  <c r="BL171" i="9" s="1"/>
  <c r="BR63" i="9"/>
  <c r="BR88" i="9"/>
  <c r="AP207" i="9"/>
  <c r="BL207" i="9" s="1"/>
  <c r="AR207" i="9"/>
  <c r="AS207" i="9" s="1"/>
  <c r="AR168" i="9"/>
  <c r="AS168" i="9" s="1"/>
  <c r="AP168" i="9"/>
  <c r="BL168" i="9" s="1"/>
  <c r="AR76" i="9"/>
  <c r="AS76" i="9" s="1"/>
  <c r="AP76" i="9"/>
  <c r="BL76" i="9" s="1"/>
  <c r="AR222" i="9"/>
  <c r="AS222" i="9" s="1"/>
  <c r="AP222" i="9"/>
  <c r="BL222" i="9" s="1"/>
  <c r="AR167" i="9"/>
  <c r="AS167" i="9" s="1"/>
  <c r="AP167" i="9"/>
  <c r="BL167" i="9" s="1"/>
  <c r="AR87" i="9"/>
  <c r="AS87" i="9" s="1"/>
  <c r="AP87" i="9"/>
  <c r="BL87" i="9" s="1"/>
  <c r="AP80" i="9"/>
  <c r="BL80" i="9" s="1"/>
  <c r="AR80" i="9"/>
  <c r="AS80" i="9" s="1"/>
  <c r="AP206" i="9"/>
  <c r="BL206" i="9" s="1"/>
  <c r="AR206" i="9"/>
  <c r="AS206" i="9" s="1"/>
  <c r="AR230" i="9"/>
  <c r="AS230" i="9" s="1"/>
  <c r="AP230" i="9"/>
  <c r="BL230" i="9" s="1"/>
  <c r="AP209" i="9"/>
  <c r="BL209" i="9" s="1"/>
  <c r="AR209" i="9"/>
  <c r="AS209" i="9" s="1"/>
  <c r="AR155" i="9"/>
  <c r="AS155" i="9" s="1"/>
  <c r="AP155" i="9"/>
  <c r="BL155" i="9" s="1"/>
  <c r="AP42" i="9"/>
  <c r="BL42" i="9" s="1"/>
  <c r="AR42" i="9"/>
  <c r="AS42" i="9" s="1"/>
  <c r="AR234" i="9"/>
  <c r="AS234" i="9" s="1"/>
  <c r="AP234" i="9"/>
  <c r="BL234" i="9" s="1"/>
  <c r="AP216" i="9"/>
  <c r="BL216" i="9" s="1"/>
  <c r="AR216" i="9"/>
  <c r="AS216" i="9" s="1"/>
  <c r="AP148" i="9"/>
  <c r="BL148" i="9" s="1"/>
  <c r="AR148" i="9"/>
  <c r="AS148" i="9" s="1"/>
  <c r="AP113" i="9"/>
  <c r="BL113" i="9" s="1"/>
  <c r="AR113" i="9"/>
  <c r="AS113" i="9" s="1"/>
  <c r="AP36" i="9"/>
  <c r="BL36" i="9" s="1"/>
  <c r="AR36" i="9"/>
  <c r="AS36" i="9" s="1"/>
  <c r="AQ136" i="9"/>
  <c r="AR240" i="9"/>
  <c r="AS240" i="9" s="1"/>
  <c r="AP240" i="9"/>
  <c r="BL240" i="9" s="1"/>
  <c r="AR184" i="9"/>
  <c r="AS184" i="9" s="1"/>
  <c r="AP184" i="9"/>
  <c r="BL184" i="9" s="1"/>
  <c r="AR145" i="9"/>
  <c r="AS145" i="9" s="1"/>
  <c r="AP145" i="9"/>
  <c r="BL145" i="9" s="1"/>
  <c r="AR160" i="9"/>
  <c r="AS160" i="9" s="1"/>
  <c r="AP160" i="9"/>
  <c r="BL160" i="9" s="1"/>
  <c r="AR89" i="9"/>
  <c r="AS89" i="9" s="1"/>
  <c r="AP89" i="9"/>
  <c r="BL89" i="9" s="1"/>
  <c r="AP71" i="9"/>
  <c r="BL71" i="9" s="1"/>
  <c r="AR71" i="9"/>
  <c r="AS71" i="9" s="1"/>
  <c r="AR33" i="9"/>
  <c r="AS33" i="9" s="1"/>
  <c r="AP33" i="9"/>
  <c r="BL33" i="9" s="1"/>
  <c r="AP173" i="9"/>
  <c r="BL173" i="9" s="1"/>
  <c r="AR173" i="9"/>
  <c r="AS173" i="9" s="1"/>
  <c r="AP99" i="9"/>
  <c r="BL99" i="9" s="1"/>
  <c r="AR99" i="9"/>
  <c r="AS99" i="9" s="1"/>
  <c r="AR218" i="9"/>
  <c r="AS218" i="9" s="1"/>
  <c r="AP218" i="9"/>
  <c r="BL218" i="9" s="1"/>
  <c r="AP195" i="9"/>
  <c r="BL195" i="9" s="1"/>
  <c r="AR195" i="9"/>
  <c r="AS195" i="9" s="1"/>
  <c r="AR203" i="9"/>
  <c r="AS203" i="9" s="1"/>
  <c r="AP203" i="9"/>
  <c r="BL203" i="9" s="1"/>
  <c r="AR122" i="9"/>
  <c r="AS122" i="9" s="1"/>
  <c r="AP122" i="9"/>
  <c r="BL122" i="9" s="1"/>
  <c r="AR74" i="9"/>
  <c r="AS74" i="9" s="1"/>
  <c r="AP74" i="9"/>
  <c r="BL74" i="9" s="1"/>
  <c r="AP54" i="9"/>
  <c r="BL54" i="9" s="1"/>
  <c r="AR54" i="9"/>
  <c r="AS54" i="9" s="1"/>
  <c r="AR81" i="9"/>
  <c r="AS81" i="9" s="1"/>
  <c r="AP81" i="9"/>
  <c r="BL81" i="9" s="1"/>
  <c r="AR85" i="9"/>
  <c r="AS85" i="9" s="1"/>
  <c r="AP85" i="9"/>
  <c r="BL85" i="9" s="1"/>
  <c r="AR211" i="9"/>
  <c r="AS211" i="9" s="1"/>
  <c r="AP211" i="9"/>
  <c r="BL211" i="9" s="1"/>
  <c r="AR175" i="9"/>
  <c r="AS175" i="9" s="1"/>
  <c r="AP175" i="9"/>
  <c r="BL175" i="9" s="1"/>
  <c r="AR116" i="9"/>
  <c r="AS116" i="9" s="1"/>
  <c r="AP116" i="9"/>
  <c r="BL116" i="9" s="1"/>
  <c r="AR91" i="9"/>
  <c r="AS91" i="9" s="1"/>
  <c r="AP91" i="9"/>
  <c r="BL91" i="9" s="1"/>
  <c r="AR236" i="9"/>
  <c r="AS236" i="9" s="1"/>
  <c r="AP236" i="9"/>
  <c r="BL236" i="9" s="1"/>
  <c r="AP227" i="9"/>
  <c r="BL227" i="9" s="1"/>
  <c r="AR227" i="9"/>
  <c r="AS227" i="9" s="1"/>
  <c r="AP165" i="9"/>
  <c r="BL165" i="9" s="1"/>
  <c r="AR165" i="9"/>
  <c r="AS165" i="9" s="1"/>
  <c r="AP131" i="9"/>
  <c r="BL131" i="9" s="1"/>
  <c r="AR131" i="9"/>
  <c r="AS131" i="9" s="1"/>
  <c r="AR78" i="9"/>
  <c r="AS78" i="9" s="1"/>
  <c r="AP78" i="9"/>
  <c r="BL78" i="9" s="1"/>
  <c r="AP84" i="9"/>
  <c r="BL84" i="9" s="1"/>
  <c r="AR84" i="9"/>
  <c r="AS84" i="9" s="1"/>
  <c r="AR35" i="9"/>
  <c r="AS35" i="9" s="1"/>
  <c r="AP35" i="9"/>
  <c r="BL35" i="9" s="1"/>
  <c r="BR42" i="9"/>
  <c r="BR46" i="9"/>
  <c r="BR77" i="9"/>
  <c r="BR71" i="9"/>
  <c r="BR119" i="9"/>
  <c r="BR79" i="9"/>
  <c r="BR83" i="9"/>
  <c r="BR142" i="9"/>
  <c r="BR122" i="9"/>
  <c r="BR113" i="9"/>
  <c r="BR160" i="9"/>
  <c r="BR166" i="9"/>
  <c r="BR147" i="9"/>
  <c r="BR170" i="9"/>
  <c r="BR173" i="9"/>
  <c r="BR181" i="9"/>
  <c r="BR182" i="9"/>
  <c r="BR208" i="9"/>
  <c r="BR221" i="9"/>
  <c r="BR235" i="9"/>
  <c r="BR227" i="9"/>
  <c r="AR228" i="9"/>
  <c r="AS228" i="9" s="1"/>
  <c r="AP228" i="9"/>
  <c r="BL228" i="9" s="1"/>
  <c r="AR199" i="9"/>
  <c r="AS199" i="9" s="1"/>
  <c r="AP199" i="9"/>
  <c r="BL199" i="9" s="1"/>
  <c r="AP204" i="9"/>
  <c r="BL204" i="9" s="1"/>
  <c r="AR204" i="9"/>
  <c r="AS204" i="9" s="1"/>
  <c r="AR125" i="9"/>
  <c r="AS125" i="9" s="1"/>
  <c r="AP125" i="9"/>
  <c r="BL125" i="9" s="1"/>
  <c r="AP114" i="9"/>
  <c r="BL114" i="9" s="1"/>
  <c r="AR114" i="9"/>
  <c r="AS114" i="9" s="1"/>
  <c r="AP72" i="9"/>
  <c r="BL72" i="9" s="1"/>
  <c r="AR72" i="9"/>
  <c r="AS72" i="9" s="1"/>
  <c r="AP38" i="9"/>
  <c r="BL38" i="9" s="1"/>
  <c r="AR38" i="9"/>
  <c r="AS38" i="9" s="1"/>
  <c r="AR231" i="9"/>
  <c r="AS231" i="9" s="1"/>
  <c r="AP231" i="9"/>
  <c r="BL231" i="9" s="1"/>
  <c r="AR225" i="9"/>
  <c r="AS225" i="9" s="1"/>
  <c r="AP225" i="9"/>
  <c r="BL225" i="9" s="1"/>
  <c r="AR188" i="9"/>
  <c r="AS188" i="9" s="1"/>
  <c r="AP188" i="9"/>
  <c r="BL188" i="9" s="1"/>
  <c r="AR149" i="9"/>
  <c r="AS149" i="9" s="1"/>
  <c r="AP149" i="9"/>
  <c r="BL149" i="9" s="1"/>
  <c r="AP127" i="9"/>
  <c r="BL127" i="9" s="1"/>
  <c r="AR127" i="9"/>
  <c r="AS127" i="9" s="1"/>
  <c r="AP130" i="9"/>
  <c r="BL130" i="9" s="1"/>
  <c r="AR130" i="9"/>
  <c r="AS130" i="9" s="1"/>
  <c r="AP75" i="9"/>
  <c r="BL75" i="9" s="1"/>
  <c r="AR75" i="9"/>
  <c r="AS75" i="9" s="1"/>
  <c r="AP161" i="9"/>
  <c r="BL161" i="9" s="1"/>
  <c r="AR161" i="9"/>
  <c r="AS161" i="9" s="1"/>
  <c r="AP214" i="9"/>
  <c r="BL214" i="9" s="1"/>
  <c r="AR214" i="9"/>
  <c r="AS214" i="9" s="1"/>
  <c r="AR223" i="9"/>
  <c r="AS223" i="9" s="1"/>
  <c r="AP223" i="9"/>
  <c r="BL223" i="9" s="1"/>
  <c r="AR146" i="9"/>
  <c r="AS146" i="9" s="1"/>
  <c r="AP146" i="9"/>
  <c r="BL146" i="9" s="1"/>
  <c r="AP154" i="9"/>
  <c r="BL154" i="9" s="1"/>
  <c r="AR154" i="9"/>
  <c r="AS154" i="9" s="1"/>
  <c r="AR101" i="9"/>
  <c r="AS101" i="9" s="1"/>
  <c r="AP101" i="9"/>
  <c r="BL101" i="9" s="1"/>
  <c r="AR60" i="9"/>
  <c r="AS60" i="9" s="1"/>
  <c r="AP60" i="9"/>
  <c r="BL60" i="9" s="1"/>
  <c r="AP106" i="9"/>
  <c r="BL106" i="9" s="1"/>
  <c r="AR106" i="9"/>
  <c r="AS106" i="9" s="1"/>
  <c r="AR104" i="9"/>
  <c r="AS104" i="9" s="1"/>
  <c r="AP104" i="9"/>
  <c r="BL104" i="9" s="1"/>
  <c r="BR80" i="9"/>
  <c r="BR48" i="9"/>
  <c r="BR53" i="9"/>
  <c r="BR70" i="9"/>
  <c r="BR92" i="9"/>
  <c r="BR96" i="9"/>
  <c r="BR126" i="9"/>
  <c r="BR123" i="9"/>
  <c r="BR183" i="9"/>
  <c r="BR188" i="9"/>
  <c r="BR151" i="9"/>
  <c r="BR174" i="9"/>
  <c r="BR177" i="9"/>
  <c r="BR201" i="9"/>
  <c r="BR186" i="9"/>
  <c r="BR206" i="9"/>
  <c r="BR214" i="9"/>
  <c r="BR231" i="9"/>
  <c r="AP32" i="9"/>
  <c r="BL32" i="9" s="1"/>
  <c r="AR32" i="9"/>
  <c r="AS32" i="9" s="1"/>
  <c r="AR64" i="9"/>
  <c r="AS64" i="9" s="1"/>
  <c r="AP64" i="9"/>
  <c r="BL64" i="9" s="1"/>
  <c r="BM195" i="10" l="1"/>
  <c r="BM235" i="10"/>
  <c r="BM205" i="9"/>
  <c r="AR44" i="9"/>
  <c r="AS44" i="9" s="1"/>
  <c r="AT44" i="9" s="1"/>
  <c r="BM182" i="10"/>
  <c r="BM204" i="10"/>
  <c r="BM237" i="10"/>
  <c r="BM193" i="10"/>
  <c r="BM221" i="10"/>
  <c r="BM248" i="10"/>
  <c r="AP44" i="9"/>
  <c r="BL44" i="9" s="1"/>
  <c r="BM213" i="10"/>
  <c r="BM226" i="10"/>
  <c r="BM186" i="10"/>
  <c r="BM230" i="10"/>
  <c r="BM212" i="10"/>
  <c r="BM161" i="10"/>
  <c r="BM233" i="10"/>
  <c r="BM215" i="10"/>
  <c r="BM211" i="10"/>
  <c r="BM245" i="10"/>
  <c r="BM250" i="10"/>
  <c r="BM181" i="10"/>
  <c r="BM194" i="10"/>
  <c r="BM164" i="10"/>
  <c r="BM246" i="10"/>
  <c r="BM163" i="10"/>
  <c r="AT165" i="10"/>
  <c r="AT50" i="10"/>
  <c r="AT231" i="10"/>
  <c r="AT243" i="10"/>
  <c r="AT201" i="10"/>
  <c r="BM162" i="9"/>
  <c r="BM185" i="9"/>
  <c r="BM197" i="9"/>
  <c r="BM219" i="9"/>
  <c r="BM170" i="9"/>
  <c r="BM181" i="9"/>
  <c r="AT253" i="10"/>
  <c r="BM167" i="10"/>
  <c r="BM198" i="10"/>
  <c r="BM219" i="10"/>
  <c r="BM218" i="10"/>
  <c r="BM169" i="10"/>
  <c r="AT170" i="10"/>
  <c r="BM220" i="10"/>
  <c r="BM223" i="10"/>
  <c r="BM232" i="10"/>
  <c r="AT250" i="10"/>
  <c r="AT64" i="10"/>
  <c r="AT212" i="10"/>
  <c r="AT173" i="10"/>
  <c r="BM231" i="10"/>
  <c r="AT217" i="10"/>
  <c r="AT176" i="10"/>
  <c r="BM157" i="10"/>
  <c r="BM239" i="10"/>
  <c r="BM187" i="10"/>
  <c r="BM202" i="10"/>
  <c r="BM201" i="10"/>
  <c r="AT245" i="10"/>
  <c r="AT193" i="10"/>
  <c r="AT185" i="10"/>
  <c r="BM200" i="10"/>
  <c r="AT60" i="10"/>
  <c r="BM199" i="10"/>
  <c r="BM183" i="10"/>
  <c r="BM178" i="10"/>
  <c r="BM177" i="10"/>
  <c r="AT194" i="10"/>
  <c r="AT167" i="10"/>
  <c r="AT242" i="10"/>
  <c r="AT251" i="10"/>
  <c r="AT189" i="10"/>
  <c r="AT238" i="10"/>
  <c r="BM159" i="10"/>
  <c r="BM205" i="10"/>
  <c r="BM166" i="10"/>
  <c r="BM234" i="10"/>
  <c r="BM170" i="10"/>
  <c r="AT234" i="10"/>
  <c r="AT206" i="10"/>
  <c r="AT205" i="10"/>
  <c r="AT187" i="10"/>
  <c r="AT164" i="10"/>
  <c r="AT227" i="10"/>
  <c r="AT191" i="10"/>
  <c r="AT192" i="10"/>
  <c r="BM165" i="10"/>
  <c r="AT244" i="10"/>
  <c r="BM189" i="10"/>
  <c r="BM210" i="10"/>
  <c r="AT174" i="10"/>
  <c r="AT199" i="10"/>
  <c r="AT252" i="10"/>
  <c r="AT188" i="10"/>
  <c r="AT160" i="10"/>
  <c r="AT202" i="10"/>
  <c r="AT172" i="10"/>
  <c r="AT222" i="10"/>
  <c r="AT183" i="10"/>
  <c r="AT184" i="10"/>
  <c r="AT208" i="10"/>
  <c r="AT229" i="10"/>
  <c r="BM244" i="10"/>
  <c r="BM240" i="10"/>
  <c r="BM176" i="10"/>
  <c r="AT211" i="10"/>
  <c r="AT181" i="10"/>
  <c r="AT248" i="10"/>
  <c r="AT216" i="10"/>
  <c r="BM236" i="10"/>
  <c r="BM168" i="10"/>
  <c r="AT99" i="10"/>
  <c r="AT168" i="10"/>
  <c r="AT190" i="10"/>
  <c r="AT228" i="10"/>
  <c r="BM254" i="10"/>
  <c r="BM190" i="10"/>
  <c r="BM228" i="10"/>
  <c r="BM160" i="10"/>
  <c r="AT203" i="10"/>
  <c r="AT186" i="10"/>
  <c r="AT207" i="10"/>
  <c r="AT224" i="10"/>
  <c r="AT124" i="10"/>
  <c r="AT63" i="10"/>
  <c r="AT34" i="10"/>
  <c r="AT171" i="10"/>
  <c r="BM247" i="10"/>
  <c r="BM251" i="10"/>
  <c r="BM249" i="10"/>
  <c r="AT210" i="10"/>
  <c r="AT159" i="10"/>
  <c r="AT249" i="10"/>
  <c r="AT166" i="10"/>
  <c r="AT197" i="10"/>
  <c r="AT209" i="10"/>
  <c r="AT161" i="10"/>
  <c r="AT225" i="10"/>
  <c r="AT196" i="10"/>
  <c r="AT180" i="10"/>
  <c r="AT214" i="10"/>
  <c r="AT179" i="10"/>
  <c r="AT254" i="10"/>
  <c r="AT157" i="10"/>
  <c r="AT240" i="10"/>
  <c r="AT247" i="10"/>
  <c r="AT215" i="10"/>
  <c r="AT239" i="10"/>
  <c r="AT200" i="10"/>
  <c r="BM238" i="10"/>
  <c r="BM174" i="10"/>
  <c r="BM243" i="10"/>
  <c r="BM179" i="10"/>
  <c r="BM241" i="10"/>
  <c r="BM208" i="10"/>
  <c r="AT169" i="10"/>
  <c r="AT213" i="10"/>
  <c r="AT195" i="10"/>
  <c r="AT223" i="10"/>
  <c r="AT219" i="10"/>
  <c r="AT237" i="10"/>
  <c r="BM171" i="10"/>
  <c r="AT92" i="10"/>
  <c r="AT236" i="10"/>
  <c r="BM253" i="10"/>
  <c r="BM156" i="10"/>
  <c r="BM191" i="10"/>
  <c r="BM222" i="10"/>
  <c r="BM158" i="10"/>
  <c r="BM196" i="10"/>
  <c r="BM227" i="10"/>
  <c r="BM225" i="10"/>
  <c r="BM192" i="10"/>
  <c r="AT178" i="10"/>
  <c r="AT163" i="10"/>
  <c r="AT226" i="10"/>
  <c r="AT175" i="10"/>
  <c r="AT218" i="10"/>
  <c r="AT232" i="10"/>
  <c r="AT221" i="10"/>
  <c r="AT77" i="10"/>
  <c r="BM252" i="10"/>
  <c r="BM188" i="10"/>
  <c r="BM217" i="10"/>
  <c r="BM184" i="10"/>
  <c r="AT230" i="10"/>
  <c r="AT177" i="10"/>
  <c r="AT241" i="10"/>
  <c r="AT158" i="10"/>
  <c r="AT198" i="10"/>
  <c r="AT162" i="10"/>
  <c r="AT233" i="10"/>
  <c r="AT204" i="10"/>
  <c r="AT182" i="10"/>
  <c r="AT220" i="10"/>
  <c r="AT246" i="10"/>
  <c r="AT235" i="10"/>
  <c r="AT145" i="10"/>
  <c r="AT121" i="10"/>
  <c r="AT43" i="10"/>
  <c r="AT55" i="10"/>
  <c r="AT98" i="10"/>
  <c r="AT87" i="10"/>
  <c r="AT94" i="10"/>
  <c r="AT137" i="10"/>
  <c r="AT65" i="10"/>
  <c r="BM150" i="9"/>
  <c r="BM198" i="9"/>
  <c r="BM201" i="9"/>
  <c r="BM79" i="9"/>
  <c r="BM172" i="9"/>
  <c r="BM168" i="9"/>
  <c r="BM164" i="9"/>
  <c r="BM192" i="9"/>
  <c r="BM189" i="9"/>
  <c r="BM207" i="9"/>
  <c r="BM157" i="9"/>
  <c r="BM156" i="9"/>
  <c r="BM178" i="9"/>
  <c r="BM210" i="9"/>
  <c r="BM230" i="9"/>
  <c r="BM147" i="9"/>
  <c r="BM163" i="9"/>
  <c r="BM173" i="9"/>
  <c r="BM152" i="9"/>
  <c r="AT234" i="9"/>
  <c r="BM200" i="9"/>
  <c r="BM221" i="9"/>
  <c r="BM229" i="9"/>
  <c r="AT219" i="9"/>
  <c r="BM182" i="9"/>
  <c r="BM191" i="9"/>
  <c r="AT239" i="9"/>
  <c r="BM154" i="9"/>
  <c r="AT192" i="9"/>
  <c r="BM234" i="9"/>
  <c r="AT181" i="9"/>
  <c r="AT113" i="10"/>
  <c r="AT100" i="10"/>
  <c r="AT67" i="10"/>
  <c r="AT74" i="10"/>
  <c r="AT83" i="10"/>
  <c r="AT129" i="10"/>
  <c r="AT112" i="10"/>
  <c r="AT37" i="10"/>
  <c r="AT59" i="10"/>
  <c r="AT76" i="10"/>
  <c r="AT106" i="10"/>
  <c r="AT146" i="10"/>
  <c r="AT79" i="10"/>
  <c r="AT109" i="10"/>
  <c r="AT91" i="10"/>
  <c r="AT111" i="10"/>
  <c r="AT45" i="10"/>
  <c r="AT136" i="10"/>
  <c r="AT139" i="10"/>
  <c r="AT78" i="10"/>
  <c r="AT36" i="10"/>
  <c r="AT140" i="10"/>
  <c r="AT95" i="10"/>
  <c r="AT151" i="10"/>
  <c r="AT57" i="10"/>
  <c r="AT144" i="10"/>
  <c r="AT93" i="10"/>
  <c r="AT89" i="10"/>
  <c r="AT73" i="10"/>
  <c r="AT102" i="10"/>
  <c r="AT69" i="10"/>
  <c r="AT52" i="10"/>
  <c r="AT39" i="10"/>
  <c r="AT49" i="10"/>
  <c r="AT126" i="10"/>
  <c r="AT101" i="10"/>
  <c r="AT131" i="10"/>
  <c r="AT119" i="10"/>
  <c r="AT44" i="10"/>
  <c r="BM149" i="9"/>
  <c r="BM160" i="9"/>
  <c r="BM187" i="9"/>
  <c r="AT235" i="9"/>
  <c r="AT211" i="9"/>
  <c r="BM143" i="9"/>
  <c r="BM171" i="9"/>
  <c r="BM209" i="9"/>
  <c r="BM235" i="9"/>
  <c r="AT154" i="9"/>
  <c r="BM166" i="9"/>
  <c r="AT207" i="9"/>
  <c r="BM155" i="9"/>
  <c r="BM167" i="9"/>
  <c r="BM193" i="9"/>
  <c r="BM239" i="9"/>
  <c r="AT176" i="9"/>
  <c r="AT183" i="9"/>
  <c r="BM228" i="9"/>
  <c r="BM233" i="9"/>
  <c r="BM142" i="9"/>
  <c r="BM161" i="9"/>
  <c r="BM203" i="9"/>
  <c r="BM215" i="9"/>
  <c r="AT198" i="9"/>
  <c r="AT213" i="9"/>
  <c r="AT175" i="9"/>
  <c r="AT178" i="9"/>
  <c r="AT232" i="9"/>
  <c r="AT153" i="9"/>
  <c r="AT150" i="9"/>
  <c r="BM169" i="9"/>
  <c r="BM176" i="9"/>
  <c r="BM225" i="9"/>
  <c r="AT189" i="9"/>
  <c r="AT224" i="9"/>
  <c r="BM141" i="9"/>
  <c r="BM144" i="9"/>
  <c r="BM175" i="9"/>
  <c r="BM184" i="9"/>
  <c r="BM211" i="9"/>
  <c r="BM216" i="9"/>
  <c r="AT199" i="9"/>
  <c r="AT160" i="9"/>
  <c r="AT184" i="9"/>
  <c r="AT166" i="9"/>
  <c r="AT205" i="9"/>
  <c r="BM213" i="9"/>
  <c r="AT165" i="9"/>
  <c r="AT222" i="9"/>
  <c r="AT168" i="9"/>
  <c r="AT212" i="9"/>
  <c r="AT229" i="9"/>
  <c r="AT172" i="9"/>
  <c r="BM148" i="9"/>
  <c r="BM194" i="9"/>
  <c r="BM196" i="9"/>
  <c r="BM227" i="9"/>
  <c r="BM240" i="9"/>
  <c r="AT149" i="9"/>
  <c r="AT225" i="9"/>
  <c r="AT143" i="9"/>
  <c r="AT152" i="9"/>
  <c r="AT163" i="9"/>
  <c r="AT147" i="9"/>
  <c r="AT233" i="9"/>
  <c r="AT217" i="9"/>
  <c r="AT210" i="9"/>
  <c r="BM206" i="9"/>
  <c r="BM238" i="9"/>
  <c r="AT158" i="9"/>
  <c r="BM186" i="9"/>
  <c r="BM165" i="9"/>
  <c r="AT146" i="9"/>
  <c r="AT188" i="9"/>
  <c r="AT230" i="9"/>
  <c r="AT157" i="9"/>
  <c r="AT170" i="9"/>
  <c r="AT142" i="9"/>
  <c r="AT197" i="9"/>
  <c r="BM174" i="9"/>
  <c r="BM220" i="9"/>
  <c r="BM180" i="9"/>
  <c r="BM224" i="9"/>
  <c r="AT218" i="9"/>
  <c r="AT145" i="9"/>
  <c r="AT174" i="9"/>
  <c r="AT226" i="9"/>
  <c r="AT180" i="9"/>
  <c r="AT185" i="9"/>
  <c r="BM63" i="9"/>
  <c r="BM82" i="9"/>
  <c r="BM119" i="9"/>
  <c r="AT101" i="9"/>
  <c r="BM66" i="9"/>
  <c r="BM124" i="9"/>
  <c r="BM65" i="9"/>
  <c r="BM61" i="9"/>
  <c r="BM123" i="9"/>
  <c r="BM68" i="9"/>
  <c r="BM102" i="9"/>
  <c r="BM77" i="9"/>
  <c r="AT66" i="9"/>
  <c r="BM115" i="9"/>
  <c r="BM129" i="9"/>
  <c r="AT55" i="9"/>
  <c r="BM80" i="9"/>
  <c r="BM46" i="9"/>
  <c r="BM83" i="9"/>
  <c r="BM107" i="9"/>
  <c r="AT93" i="9"/>
  <c r="AT123" i="9"/>
  <c r="BM132" i="9"/>
  <c r="AT115" i="9"/>
  <c r="BM117" i="9"/>
  <c r="BM36" i="9"/>
  <c r="BM71" i="9"/>
  <c r="AT74" i="9"/>
  <c r="BM59" i="9"/>
  <c r="BM56" i="9"/>
  <c r="BM99" i="9"/>
  <c r="AT87" i="9"/>
  <c r="AT133" i="9"/>
  <c r="AT61" i="9"/>
  <c r="BM49" i="9"/>
  <c r="BM118" i="9"/>
  <c r="BM94" i="9"/>
  <c r="AT36" i="9"/>
  <c r="AT34" i="9"/>
  <c r="AT107" i="9"/>
  <c r="BM42" i="9"/>
  <c r="BM93" i="9"/>
  <c r="AT59" i="9"/>
  <c r="AT118" i="9"/>
  <c r="AT114" i="9"/>
  <c r="AT35" i="9"/>
  <c r="AT64" i="9"/>
  <c r="BM97" i="9"/>
  <c r="AT45" i="9"/>
  <c r="AT77" i="9"/>
  <c r="BM39" i="9"/>
  <c r="BM48" i="9"/>
  <c r="BM112" i="9"/>
  <c r="BM35" i="9"/>
  <c r="BM73" i="9"/>
  <c r="BM96" i="9"/>
  <c r="BM34" i="9"/>
  <c r="BM45" i="9"/>
  <c r="BM110" i="9"/>
  <c r="AT70" i="9"/>
  <c r="AT127" i="9"/>
  <c r="BM37" i="9"/>
  <c r="BM103" i="9"/>
  <c r="AT96" i="9"/>
  <c r="AT122" i="9"/>
  <c r="BM76" i="9"/>
  <c r="BM54" i="9"/>
  <c r="BM106" i="9"/>
  <c r="BM130" i="9"/>
  <c r="BM131" i="9"/>
  <c r="AT88" i="9"/>
  <c r="AT132" i="9"/>
  <c r="BM67" i="9"/>
  <c r="AT90" i="9"/>
  <c r="AT68" i="9"/>
  <c r="AT125" i="9"/>
  <c r="AT91" i="9"/>
  <c r="BM41" i="9"/>
  <c r="BM84" i="9"/>
  <c r="BM120" i="9"/>
  <c r="BM134" i="9"/>
  <c r="AT95" i="9"/>
  <c r="AT128" i="9"/>
  <c r="BM108" i="9"/>
  <c r="BM111" i="9"/>
  <c r="AT71" i="9"/>
  <c r="AT76" i="9"/>
  <c r="AT98" i="9"/>
  <c r="AT106" i="9"/>
  <c r="BM58" i="9"/>
  <c r="AT85" i="9"/>
  <c r="BM62" i="9"/>
  <c r="AT53" i="9"/>
  <c r="AT102" i="9"/>
  <c r="AT97" i="9"/>
  <c r="AT129" i="9"/>
  <c r="AT119" i="9"/>
  <c r="AT49" i="9"/>
  <c r="BM88" i="9"/>
  <c r="BM114" i="9"/>
  <c r="AT73" i="9"/>
  <c r="AT57" i="9"/>
  <c r="AT111" i="9"/>
  <c r="AT52" i="9"/>
  <c r="AT121" i="9"/>
  <c r="AT67" i="9"/>
  <c r="AT94" i="9"/>
  <c r="AT41" i="9"/>
  <c r="BL73" i="10"/>
  <c r="BM73" i="10" s="1"/>
  <c r="BL100" i="10"/>
  <c r="BM100" i="10" s="1"/>
  <c r="BL78" i="10"/>
  <c r="BM78" i="10" s="1"/>
  <c r="BL51" i="10"/>
  <c r="BM51" i="10" s="1"/>
  <c r="BL80" i="10"/>
  <c r="BM80" i="10" s="1"/>
  <c r="BL104" i="10"/>
  <c r="BM104" i="10" s="1"/>
  <c r="BL109" i="10"/>
  <c r="BM109" i="10" s="1"/>
  <c r="BL54" i="10"/>
  <c r="BM54" i="10" s="1"/>
  <c r="BL88" i="10"/>
  <c r="BM88" i="10" s="1"/>
  <c r="BL103" i="10"/>
  <c r="BM103" i="10" s="1"/>
  <c r="BL112" i="10"/>
  <c r="BM112" i="10" s="1"/>
  <c r="BL31" i="10"/>
  <c r="BM31" i="10" s="1"/>
  <c r="BL61" i="10"/>
  <c r="BM61" i="10" s="1"/>
  <c r="BL119" i="10"/>
  <c r="BM119" i="10" s="1"/>
  <c r="BL143" i="10"/>
  <c r="BM143" i="10" s="1"/>
  <c r="BL105" i="10"/>
  <c r="BM105" i="10" s="1"/>
  <c r="AT130" i="10"/>
  <c r="AT143" i="10"/>
  <c r="BL39" i="10"/>
  <c r="BM39" i="10" s="1"/>
  <c r="AT141" i="10"/>
  <c r="BL53" i="10"/>
  <c r="BM53" i="10" s="1"/>
  <c r="BL115" i="10"/>
  <c r="BM115" i="10" s="1"/>
  <c r="AT32" i="10"/>
  <c r="BL67" i="10"/>
  <c r="BM67" i="10" s="1"/>
  <c r="BL47" i="10"/>
  <c r="BM47" i="10" s="1"/>
  <c r="BL62" i="10"/>
  <c r="BM62" i="10" s="1"/>
  <c r="AT122" i="10"/>
  <c r="AT120" i="10"/>
  <c r="AT68" i="10"/>
  <c r="BL149" i="10"/>
  <c r="BM149" i="10" s="1"/>
  <c r="BL144" i="10"/>
  <c r="BM144" i="10" s="1"/>
  <c r="BL117" i="10"/>
  <c r="BM117" i="10" s="1"/>
  <c r="BL65" i="10"/>
  <c r="BM65" i="10" s="1"/>
  <c r="BL137" i="10"/>
  <c r="BM137" i="10" s="1"/>
  <c r="BL63" i="10"/>
  <c r="BM63" i="10" s="1"/>
  <c r="AT97" i="10"/>
  <c r="BL147" i="10"/>
  <c r="BM147" i="10" s="1"/>
  <c r="AT58" i="10"/>
  <c r="BL142" i="10"/>
  <c r="BM142" i="10" s="1"/>
  <c r="BL122" i="10"/>
  <c r="BM122" i="10" s="1"/>
  <c r="BL96" i="10"/>
  <c r="BM96" i="10" s="1"/>
  <c r="BL116" i="10"/>
  <c r="BM116" i="10" s="1"/>
  <c r="BL140" i="10"/>
  <c r="BM140" i="10" s="1"/>
  <c r="BL55" i="10"/>
  <c r="BM55" i="10" s="1"/>
  <c r="BL148" i="10"/>
  <c r="BM148" i="10" s="1"/>
  <c r="BL127" i="10"/>
  <c r="BM127" i="10" s="1"/>
  <c r="BL52" i="10"/>
  <c r="BM52" i="10" s="1"/>
  <c r="BL131" i="10"/>
  <c r="BM131" i="10" s="1"/>
  <c r="BL45" i="10"/>
  <c r="BM45" i="10" s="1"/>
  <c r="BL41" i="10"/>
  <c r="BM41" i="10" s="1"/>
  <c r="BL43" i="10"/>
  <c r="BM43" i="10" s="1"/>
  <c r="BL111" i="10"/>
  <c r="BM111" i="10" s="1"/>
  <c r="BL125" i="10"/>
  <c r="BM125" i="10" s="1"/>
  <c r="AT40" i="10"/>
  <c r="AT35" i="10"/>
  <c r="BL97" i="10"/>
  <c r="BM97" i="10" s="1"/>
  <c r="BL106" i="10"/>
  <c r="BM106" i="10" s="1"/>
  <c r="AT104" i="10"/>
  <c r="BL58" i="10"/>
  <c r="BM58" i="10" s="1"/>
  <c r="AT81" i="10"/>
  <c r="AT38" i="10"/>
  <c r="BL121" i="10"/>
  <c r="BM121" i="10" s="1"/>
  <c r="BL77" i="10"/>
  <c r="BM77" i="10" s="1"/>
  <c r="BL129" i="10"/>
  <c r="BM129" i="10" s="1"/>
  <c r="AT54" i="10"/>
  <c r="BL126" i="10"/>
  <c r="BM126" i="10" s="1"/>
  <c r="AT103" i="10"/>
  <c r="AT31" i="10"/>
  <c r="AT82" i="10"/>
  <c r="BL64" i="10"/>
  <c r="BM64" i="10" s="1"/>
  <c r="AT133" i="10"/>
  <c r="BL57" i="10"/>
  <c r="BM57" i="10" s="1"/>
  <c r="AT110" i="10"/>
  <c r="AT66" i="10"/>
  <c r="BL70" i="10"/>
  <c r="BM70" i="10" s="1"/>
  <c r="AT149" i="10"/>
  <c r="AT105" i="10"/>
  <c r="AT117" i="10"/>
  <c r="AT125" i="10"/>
  <c r="BL84" i="10"/>
  <c r="BM84" i="10" s="1"/>
  <c r="BL40" i="10"/>
  <c r="BM40" i="10" s="1"/>
  <c r="AT72" i="10"/>
  <c r="BL124" i="10"/>
  <c r="BM124" i="10" s="1"/>
  <c r="BL35" i="10"/>
  <c r="BM35" i="10" s="1"/>
  <c r="AT53" i="10"/>
  <c r="AT115" i="10"/>
  <c r="AT46" i="10"/>
  <c r="BL79" i="10"/>
  <c r="BM79" i="10" s="1"/>
  <c r="AT147" i="10"/>
  <c r="AT107" i="10"/>
  <c r="BL81" i="10"/>
  <c r="BM81" i="10" s="1"/>
  <c r="BL38" i="10"/>
  <c r="BM38" i="10" s="1"/>
  <c r="AT47" i="10"/>
  <c r="BL75" i="10"/>
  <c r="BM75" i="10" s="1"/>
  <c r="AT62" i="10"/>
  <c r="AT142" i="10"/>
  <c r="BL42" i="10"/>
  <c r="BM42" i="10" s="1"/>
  <c r="BL118" i="10"/>
  <c r="BM118" i="10" s="1"/>
  <c r="AT56" i="10"/>
  <c r="BL91" i="10"/>
  <c r="BM91" i="10" s="1"/>
  <c r="AT96" i="10"/>
  <c r="AT116" i="10"/>
  <c r="BL86" i="10"/>
  <c r="BM86" i="10" s="1"/>
  <c r="AT153" i="10"/>
  <c r="AT148" i="10"/>
  <c r="BL134" i="10"/>
  <c r="BM134" i="10" s="1"/>
  <c r="BL133" i="10"/>
  <c r="BM133" i="10" s="1"/>
  <c r="BL89" i="10"/>
  <c r="BM89" i="10" s="1"/>
  <c r="BL44" i="10"/>
  <c r="BM44" i="10" s="1"/>
  <c r="BL94" i="10"/>
  <c r="BM94" i="10" s="1"/>
  <c r="BL46" i="10"/>
  <c r="BM46" i="10" s="1"/>
  <c r="BL107" i="10"/>
  <c r="BM107" i="10" s="1"/>
  <c r="BL83" i="10"/>
  <c r="BM83" i="10" s="1"/>
  <c r="AT108" i="10"/>
  <c r="BL93" i="10"/>
  <c r="BM93" i="10" s="1"/>
  <c r="BL49" i="10"/>
  <c r="BM49" i="10" s="1"/>
  <c r="BL102" i="10"/>
  <c r="BM102" i="10" s="1"/>
  <c r="BL114" i="10"/>
  <c r="BM114" i="10" s="1"/>
  <c r="BL56" i="10"/>
  <c r="BM56" i="10" s="1"/>
  <c r="BL34" i="10"/>
  <c r="BM34" i="10" s="1"/>
  <c r="AT33" i="10"/>
  <c r="BL95" i="10"/>
  <c r="BM95" i="10" s="1"/>
  <c r="AT71" i="10"/>
  <c r="BL99" i="10"/>
  <c r="BM99" i="10" s="1"/>
  <c r="BL82" i="10"/>
  <c r="BM82" i="10" s="1"/>
  <c r="AT134" i="10"/>
  <c r="BL110" i="10"/>
  <c r="BM110" i="10" s="1"/>
  <c r="BL135" i="10"/>
  <c r="BM135" i="10" s="1"/>
  <c r="BL59" i="10"/>
  <c r="BM59" i="10" s="1"/>
  <c r="BL113" i="10"/>
  <c r="BM113" i="10" s="1"/>
  <c r="AT41" i="10"/>
  <c r="AT70" i="10"/>
  <c r="AT138" i="10"/>
  <c r="AT135" i="10"/>
  <c r="AT85" i="10"/>
  <c r="AT132" i="10"/>
  <c r="AT48" i="10"/>
  <c r="BL50" i="10"/>
  <c r="BM50" i="10" s="1"/>
  <c r="AT84" i="10"/>
  <c r="BL145" i="10"/>
  <c r="BM145" i="10" s="1"/>
  <c r="BL141" i="10"/>
  <c r="BM141" i="10" s="1"/>
  <c r="AT90" i="10"/>
  <c r="BL146" i="10"/>
  <c r="BM146" i="10" s="1"/>
  <c r="BL32" i="10"/>
  <c r="BM32" i="10" s="1"/>
  <c r="AT156" i="10"/>
  <c r="BL74" i="10"/>
  <c r="BM74" i="10" s="1"/>
  <c r="AT75" i="10"/>
  <c r="BL69" i="10"/>
  <c r="BM69" i="10" s="1"/>
  <c r="AT123" i="10"/>
  <c r="AT128" i="10"/>
  <c r="AT86" i="10"/>
  <c r="BL33" i="10"/>
  <c r="BM33" i="10" s="1"/>
  <c r="BL71" i="10"/>
  <c r="BM71" i="10" s="1"/>
  <c r="BL37" i="10"/>
  <c r="BM37" i="10" s="1"/>
  <c r="BL68" i="10"/>
  <c r="BM68" i="10" s="1"/>
  <c r="BL66" i="10"/>
  <c r="BM66" i="10" s="1"/>
  <c r="BL72" i="10"/>
  <c r="BM72" i="10" s="1"/>
  <c r="BL136" i="10"/>
  <c r="BM136" i="10" s="1"/>
  <c r="BL138" i="10"/>
  <c r="BM138" i="10" s="1"/>
  <c r="BL85" i="10"/>
  <c r="BM85" i="10" s="1"/>
  <c r="BL132" i="10"/>
  <c r="BM132" i="10" s="1"/>
  <c r="BL48" i="10"/>
  <c r="BM48" i="10" s="1"/>
  <c r="BL76" i="10"/>
  <c r="BM76" i="10" s="1"/>
  <c r="BL130" i="10"/>
  <c r="BM130" i="10" s="1"/>
  <c r="BL139" i="10"/>
  <c r="BM139" i="10" s="1"/>
  <c r="AT51" i="10"/>
  <c r="AT80" i="10"/>
  <c r="BL90" i="10"/>
  <c r="BM90" i="10" s="1"/>
  <c r="BL98" i="10"/>
  <c r="BM98" i="10" s="1"/>
  <c r="BL87" i="10"/>
  <c r="BM87" i="10" s="1"/>
  <c r="BL92" i="10"/>
  <c r="BM92" i="10" s="1"/>
  <c r="BL108" i="10"/>
  <c r="BM108" i="10" s="1"/>
  <c r="AT88" i="10"/>
  <c r="BL36" i="10"/>
  <c r="BM36" i="10" s="1"/>
  <c r="AT114" i="10"/>
  <c r="AT42" i="10"/>
  <c r="AT118" i="10"/>
  <c r="BL123" i="10"/>
  <c r="BM123" i="10" s="1"/>
  <c r="BL128" i="10"/>
  <c r="BM128" i="10" s="1"/>
  <c r="AT61" i="10"/>
  <c r="AT127" i="10"/>
  <c r="BL60" i="10"/>
  <c r="BM60" i="10" s="1"/>
  <c r="BL120" i="10"/>
  <c r="BM120" i="10" s="1"/>
  <c r="AT152" i="10"/>
  <c r="BL101" i="10"/>
  <c r="BM101" i="10" s="1"/>
  <c r="AT32" i="9"/>
  <c r="AT104" i="9"/>
  <c r="BM214" i="9"/>
  <c r="BM217" i="9"/>
  <c r="AT84" i="9"/>
  <c r="BM92" i="9"/>
  <c r="BM40" i="9"/>
  <c r="BM70" i="9"/>
  <c r="BM74" i="9"/>
  <c r="BM85" i="9"/>
  <c r="BM126" i="9"/>
  <c r="BM116" i="9"/>
  <c r="AT209" i="9"/>
  <c r="AT179" i="9"/>
  <c r="AT220" i="9"/>
  <c r="AT92" i="9"/>
  <c r="AT50" i="9"/>
  <c r="AT162" i="9"/>
  <c r="AT108" i="9"/>
  <c r="AT63" i="9"/>
  <c r="BM145" i="9"/>
  <c r="BM232" i="9"/>
  <c r="AT72" i="9"/>
  <c r="BM91" i="9"/>
  <c r="BM89" i="9"/>
  <c r="AT99" i="9"/>
  <c r="AT79" i="9"/>
  <c r="AT156" i="9"/>
  <c r="BM153" i="9"/>
  <c r="BM146" i="9"/>
  <c r="BM190" i="9"/>
  <c r="BM177" i="9"/>
  <c r="BM226" i="9"/>
  <c r="BM236" i="9"/>
  <c r="AT214" i="9"/>
  <c r="AT75" i="9"/>
  <c r="AT231" i="9"/>
  <c r="BM60" i="9"/>
  <c r="BM38" i="9"/>
  <c r="BM43" i="9"/>
  <c r="BM57" i="9"/>
  <c r="BM95" i="9"/>
  <c r="BM109" i="9"/>
  <c r="BM78" i="9"/>
  <c r="BM86" i="9"/>
  <c r="BM87" i="9"/>
  <c r="BM121" i="9"/>
  <c r="BM128" i="9"/>
  <c r="AT33" i="9"/>
  <c r="AT89" i="9"/>
  <c r="AT240" i="9"/>
  <c r="AT190" i="9"/>
  <c r="AT177" i="9"/>
  <c r="AT43" i="9"/>
  <c r="AT100" i="9"/>
  <c r="AT86" i="9"/>
  <c r="AT37" i="9"/>
  <c r="AT140" i="9"/>
  <c r="AT56" i="9"/>
  <c r="AT200" i="9"/>
  <c r="AT151" i="9"/>
  <c r="AT109" i="9"/>
  <c r="AT134" i="9"/>
  <c r="BM208" i="9"/>
  <c r="BM218" i="9"/>
  <c r="BM231" i="9"/>
  <c r="AT161" i="9"/>
  <c r="AT131" i="9"/>
  <c r="AT227" i="9"/>
  <c r="AT54" i="9"/>
  <c r="AT195" i="9"/>
  <c r="BM33" i="9"/>
  <c r="BM32" i="9"/>
  <c r="BM90" i="9"/>
  <c r="BM125" i="9"/>
  <c r="AT113" i="9"/>
  <c r="AT216" i="9"/>
  <c r="AT42" i="9"/>
  <c r="AT206" i="9"/>
  <c r="AT144" i="9"/>
  <c r="AT164" i="9"/>
  <c r="AT117" i="9"/>
  <c r="AT201" i="9"/>
  <c r="AT141" i="9"/>
  <c r="BM53" i="9"/>
  <c r="BM183" i="9"/>
  <c r="BM64" i="9"/>
  <c r="BM50" i="9"/>
  <c r="BM98" i="9"/>
  <c r="BM101" i="9"/>
  <c r="BM113" i="9"/>
  <c r="BM133" i="9"/>
  <c r="BM122" i="9"/>
  <c r="AT187" i="9"/>
  <c r="AT196" i="9"/>
  <c r="AT82" i="9"/>
  <c r="AT120" i="9"/>
  <c r="BM104" i="9"/>
  <c r="AT130" i="9"/>
  <c r="AT116" i="9"/>
  <c r="AT203" i="9"/>
  <c r="BM75" i="9"/>
  <c r="BM52" i="9"/>
  <c r="BM72" i="9"/>
  <c r="AT148" i="9"/>
  <c r="AT80" i="9"/>
  <c r="AT171" i="9"/>
  <c r="AT186" i="9"/>
  <c r="AT48" i="9"/>
  <c r="AT110" i="9"/>
  <c r="AT103" i="9"/>
  <c r="AT191" i="9"/>
  <c r="AT39" i="9"/>
  <c r="AT182" i="9"/>
  <c r="AT124" i="9"/>
  <c r="AT83" i="9"/>
  <c r="AT194" i="9"/>
  <c r="AT65" i="9"/>
  <c r="AT169" i="9"/>
  <c r="AT112" i="9"/>
  <c r="AT62" i="9"/>
  <c r="AT202" i="9"/>
  <c r="BM237" i="9"/>
  <c r="AT78" i="9"/>
  <c r="BM158" i="9"/>
  <c r="BM204" i="9"/>
  <c r="BM195" i="9"/>
  <c r="BM151" i="9"/>
  <c r="BM159" i="9"/>
  <c r="BM199" i="9"/>
  <c r="BM179" i="9"/>
  <c r="BM222" i="9"/>
  <c r="BM188" i="9"/>
  <c r="BM212" i="9"/>
  <c r="BM223" i="9"/>
  <c r="AT60" i="9"/>
  <c r="AT223" i="9"/>
  <c r="AT38" i="9"/>
  <c r="AT204" i="9"/>
  <c r="AT228" i="9"/>
  <c r="AT236" i="9"/>
  <c r="AT81" i="9"/>
  <c r="BM47" i="9"/>
  <c r="BM55" i="9"/>
  <c r="BM69" i="9"/>
  <c r="BM105" i="9"/>
  <c r="BM81" i="9"/>
  <c r="BM100" i="9"/>
  <c r="BM127" i="9"/>
  <c r="AT173" i="9"/>
  <c r="AT155" i="9"/>
  <c r="AT167" i="9"/>
  <c r="AT237" i="9"/>
  <c r="AT47" i="9"/>
  <c r="AT69" i="9"/>
  <c r="AT105" i="9"/>
  <c r="AT159" i="9"/>
  <c r="AT46" i="9"/>
  <c r="AT221" i="9"/>
  <c r="AT40" i="9"/>
  <c r="AT31" i="9"/>
  <c r="AT58" i="9"/>
  <c r="AT238" i="9"/>
  <c r="AT126" i="9"/>
  <c r="AT215" i="9"/>
  <c r="AT208" i="9"/>
  <c r="AT193" i="9"/>
  <c r="AT51" i="9"/>
  <c r="BM44" i="9" l="1"/>
  <c r="D14" i="3" l="1"/>
  <c r="AY31" i="10" l="1"/>
  <c r="U10" i="9"/>
  <c r="U10" i="10"/>
  <c r="AY31" i="9"/>
  <c r="AY140" i="9"/>
  <c r="AY156" i="10"/>
  <c r="BN248" i="10" l="1"/>
  <c r="BN220" i="10"/>
  <c r="BN197" i="10"/>
  <c r="BN198" i="10"/>
  <c r="BN175" i="10"/>
  <c r="BN178" i="10"/>
  <c r="BN229" i="10"/>
  <c r="BN222" i="10"/>
  <c r="BN176" i="10"/>
  <c r="BN236" i="10"/>
  <c r="BN238" i="10"/>
  <c r="BN219" i="10"/>
  <c r="BN214" i="10"/>
  <c r="BN225" i="10"/>
  <c r="BN173" i="10"/>
  <c r="BN232" i="10"/>
  <c r="BN206" i="10"/>
  <c r="BN159" i="10"/>
  <c r="BN201" i="10"/>
  <c r="BN239" i="10"/>
  <c r="BN190" i="10"/>
  <c r="BN253" i="10"/>
  <c r="BN243" i="10"/>
  <c r="BN165" i="10"/>
  <c r="BN251" i="10"/>
  <c r="BN224" i="10"/>
  <c r="BN246" i="10"/>
  <c r="BN233" i="10"/>
  <c r="BN185" i="10"/>
  <c r="BN205" i="10"/>
  <c r="BN181" i="10"/>
  <c r="BN211" i="10"/>
  <c r="BN163" i="10"/>
  <c r="BN183" i="10"/>
  <c r="BN157" i="10"/>
  <c r="BN179" i="10"/>
  <c r="BN227" i="10"/>
  <c r="BN167" i="10"/>
  <c r="BN162" i="10"/>
  <c r="BN241" i="10"/>
  <c r="BN177" i="10"/>
  <c r="BN212" i="10"/>
  <c r="BN184" i="10"/>
  <c r="BN237" i="10"/>
  <c r="BN164" i="10"/>
  <c r="BN196" i="10"/>
  <c r="BN250" i="10"/>
  <c r="BN194" i="10"/>
  <c r="BN245" i="10"/>
  <c r="BN210" i="10"/>
  <c r="BN244" i="10"/>
  <c r="BN191" i="10"/>
  <c r="BN228" i="10"/>
  <c r="BN252" i="10"/>
  <c r="BN217" i="10"/>
  <c r="BN204" i="10"/>
  <c r="BN207" i="10"/>
  <c r="BN170" i="10"/>
  <c r="BN240" i="10"/>
  <c r="BN242" i="10"/>
  <c r="BN195" i="10"/>
  <c r="BN180" i="10"/>
  <c r="BN209" i="10"/>
  <c r="BN221" i="10"/>
  <c r="BN166" i="10"/>
  <c r="BN249" i="10"/>
  <c r="BN186" i="10"/>
  <c r="BN203" i="10"/>
  <c r="BN200" i="10"/>
  <c r="BN192" i="10"/>
  <c r="BN202" i="10"/>
  <c r="BN188" i="10"/>
  <c r="BN171" i="10"/>
  <c r="BN174" i="10"/>
  <c r="BN216" i="10"/>
  <c r="BN235" i="10"/>
  <c r="BN182" i="10"/>
  <c r="BN231" i="10"/>
  <c r="BN158" i="10"/>
  <c r="BN226" i="10"/>
  <c r="BN230" i="10"/>
  <c r="BN208" i="10"/>
  <c r="BN172" i="10"/>
  <c r="BN247" i="10"/>
  <c r="BN254" i="10"/>
  <c r="BN189" i="10"/>
  <c r="BN223" i="10"/>
  <c r="BN213" i="10"/>
  <c r="BN161" i="10"/>
  <c r="BN187" i="10"/>
  <c r="BN218" i="10"/>
  <c r="BN193" i="10"/>
  <c r="BN169" i="10"/>
  <c r="BN234" i="10"/>
  <c r="BN215" i="10"/>
  <c r="BN160" i="10"/>
  <c r="BN199" i="10"/>
  <c r="BN156" i="10"/>
  <c r="BN168" i="10"/>
  <c r="BN150" i="9"/>
  <c r="BN205" i="9"/>
  <c r="BN208" i="9"/>
  <c r="BN157" i="9"/>
  <c r="BN153" i="9"/>
  <c r="BN144" i="9"/>
  <c r="BN169" i="9"/>
  <c r="BN183" i="9"/>
  <c r="BN200" i="9"/>
  <c r="BN221" i="9"/>
  <c r="BN158" i="9"/>
  <c r="BN191" i="9"/>
  <c r="BN229" i="9"/>
  <c r="BN220" i="9"/>
  <c r="BN176" i="9"/>
  <c r="BN143" i="9"/>
  <c r="BN179" i="9"/>
  <c r="BN155" i="9"/>
  <c r="BN216" i="9"/>
  <c r="BN184" i="9"/>
  <c r="BN218" i="9"/>
  <c r="BN227" i="9"/>
  <c r="BN199" i="9"/>
  <c r="BN185" i="9"/>
  <c r="BN151" i="9"/>
  <c r="BN235" i="9"/>
  <c r="BN142" i="9"/>
  <c r="BN215" i="9"/>
  <c r="BN180" i="9"/>
  <c r="BN224" i="9"/>
  <c r="BN210" i="9"/>
  <c r="BN172" i="9"/>
  <c r="BN152" i="9"/>
  <c r="BN189" i="9"/>
  <c r="BN178" i="9"/>
  <c r="BN207" i="9"/>
  <c r="BN222" i="9"/>
  <c r="BN230" i="9"/>
  <c r="BN211" i="9"/>
  <c r="BN165" i="9"/>
  <c r="BN188" i="9"/>
  <c r="BN213" i="9"/>
  <c r="BN141" i="9"/>
  <c r="BN194" i="9"/>
  <c r="BN181" i="9"/>
  <c r="BN140" i="9"/>
  <c r="BN182" i="9"/>
  <c r="BN233" i="9"/>
  <c r="BN177" i="9"/>
  <c r="BN148" i="9"/>
  <c r="BN173" i="9"/>
  <c r="BN195" i="9"/>
  <c r="BN146" i="9"/>
  <c r="BN197" i="9"/>
  <c r="BN193" i="9"/>
  <c r="BN164" i="9"/>
  <c r="BN170" i="9"/>
  <c r="BN232" i="9"/>
  <c r="BN163" i="9"/>
  <c r="BN187" i="9"/>
  <c r="BN174" i="9"/>
  <c r="BN168" i="9"/>
  <c r="BN167" i="9"/>
  <c r="BN209" i="9"/>
  <c r="BN154" i="9"/>
  <c r="BN198" i="9"/>
  <c r="BN201" i="9"/>
  <c r="BN238" i="9"/>
  <c r="BN239" i="9"/>
  <c r="BN196" i="9"/>
  <c r="BN159" i="9"/>
  <c r="BN212" i="9"/>
  <c r="BN190" i="9"/>
  <c r="BN171" i="9"/>
  <c r="BN160" i="9"/>
  <c r="BN149" i="9"/>
  <c r="BN223" i="9"/>
  <c r="BN161" i="9"/>
  <c r="BN202" i="9"/>
  <c r="BN156" i="9"/>
  <c r="BN162" i="9"/>
  <c r="BN226" i="9"/>
  <c r="BN217" i="9"/>
  <c r="BN166" i="9"/>
  <c r="BN206" i="9"/>
  <c r="BN234" i="9"/>
  <c r="BN240" i="9"/>
  <c r="BN203" i="9"/>
  <c r="BN228" i="9"/>
  <c r="BN225" i="9"/>
  <c r="BN214" i="9"/>
  <c r="BN145" i="9"/>
  <c r="BN147" i="9"/>
  <c r="BN186" i="9"/>
  <c r="BN236" i="9"/>
  <c r="BN204" i="9"/>
  <c r="BN219" i="9"/>
  <c r="BN175" i="9"/>
  <c r="BN192" i="9"/>
  <c r="BN237" i="9"/>
  <c r="BN231" i="9"/>
  <c r="BN63" i="9"/>
  <c r="BN109" i="9"/>
  <c r="BN67" i="9"/>
  <c r="BN43" i="9"/>
  <c r="BN57" i="9"/>
  <c r="BN105" i="9"/>
  <c r="BN88" i="9"/>
  <c r="BN54" i="9"/>
  <c r="BN49" i="9"/>
  <c r="BN117" i="9"/>
  <c r="BN70" i="9"/>
  <c r="BN56" i="9"/>
  <c r="BN103" i="9"/>
  <c r="BN128" i="9"/>
  <c r="BN92" i="9"/>
  <c r="BN111" i="9"/>
  <c r="BN69" i="9"/>
  <c r="BN76" i="9"/>
  <c r="BN87" i="9"/>
  <c r="BN36" i="9"/>
  <c r="BN122" i="9"/>
  <c r="BN78" i="9"/>
  <c r="BN101" i="9"/>
  <c r="BN51" i="9"/>
  <c r="BN118" i="9"/>
  <c r="BN108" i="9"/>
  <c r="BN120" i="9"/>
  <c r="BN40" i="9"/>
  <c r="BN48" i="9"/>
  <c r="BN73" i="9"/>
  <c r="BN89" i="9"/>
  <c r="BN91" i="9"/>
  <c r="BN38" i="9"/>
  <c r="BN82" i="9"/>
  <c r="BN41" i="9"/>
  <c r="BN44" i="9"/>
  <c r="BN134" i="9"/>
  <c r="BN98" i="9"/>
  <c r="BN39" i="9"/>
  <c r="BN52" i="9"/>
  <c r="BN100" i="9"/>
  <c r="BN95" i="9"/>
  <c r="BN80" i="9"/>
  <c r="BN42" i="9"/>
  <c r="BN84" i="9"/>
  <c r="BN114" i="9"/>
  <c r="BN60" i="9"/>
  <c r="BN64" i="9"/>
  <c r="BN107" i="9"/>
  <c r="BN123" i="9"/>
  <c r="BN79" i="9"/>
  <c r="BN112" i="9"/>
  <c r="BN96" i="9"/>
  <c r="BN61" i="9"/>
  <c r="BN66" i="9"/>
  <c r="BN50" i="9"/>
  <c r="BN129" i="9"/>
  <c r="BN37" i="9"/>
  <c r="BN97" i="9"/>
  <c r="BN110" i="9"/>
  <c r="BN47" i="9"/>
  <c r="BN102" i="9"/>
  <c r="BN74" i="9"/>
  <c r="BN72" i="9"/>
  <c r="BN93" i="9"/>
  <c r="BN94" i="9"/>
  <c r="BN126" i="9"/>
  <c r="BN77" i="9"/>
  <c r="BN31" i="9"/>
  <c r="BN132" i="9"/>
  <c r="BN59" i="9"/>
  <c r="BN113" i="9"/>
  <c r="BN99" i="9"/>
  <c r="BN85" i="9"/>
  <c r="BN131" i="9"/>
  <c r="BN75" i="9"/>
  <c r="BN62" i="9"/>
  <c r="BN65" i="9"/>
  <c r="BN83" i="9"/>
  <c r="BN119" i="9"/>
  <c r="BN124" i="9"/>
  <c r="BN68" i="9"/>
  <c r="BN46" i="9"/>
  <c r="BN121" i="9"/>
  <c r="BN115" i="9"/>
  <c r="BN86" i="9"/>
  <c r="BN55" i="9"/>
  <c r="BN133" i="9"/>
  <c r="BN34" i="9"/>
  <c r="BN53" i="9"/>
  <c r="BN116" i="9"/>
  <c r="BN35" i="9"/>
  <c r="BN125" i="9"/>
  <c r="BN127" i="9"/>
  <c r="BN106" i="9"/>
  <c r="BN32" i="9"/>
  <c r="BN33" i="9"/>
  <c r="BN90" i="9"/>
  <c r="BN130" i="9"/>
  <c r="BN104" i="9"/>
  <c r="BN45" i="9"/>
  <c r="BN81" i="9"/>
  <c r="BN58" i="9"/>
  <c r="BN71" i="9"/>
  <c r="AU224" i="10"/>
  <c r="AU104" i="10"/>
  <c r="AU171" i="10"/>
  <c r="AU180" i="10"/>
  <c r="AU108" i="10"/>
  <c r="AU57" i="10"/>
  <c r="AU241" i="10"/>
  <c r="AU72" i="10"/>
  <c r="AU152" i="10"/>
  <c r="AU194" i="10"/>
  <c r="AU138" i="10"/>
  <c r="AU205" i="10"/>
  <c r="AU32" i="10"/>
  <c r="AU91" i="10"/>
  <c r="AU201" i="10"/>
  <c r="BO201" i="10" s="1"/>
  <c r="BP201" i="10" s="1"/>
  <c r="BQ201" i="10" s="1"/>
  <c r="BS201" i="10" s="1"/>
  <c r="BT201" i="10" s="1"/>
  <c r="BU201" i="10" s="1"/>
  <c r="AU214" i="10"/>
  <c r="AU157" i="10"/>
  <c r="AU65" i="10"/>
  <c r="AU62" i="10"/>
  <c r="AU243" i="10"/>
  <c r="BO243" i="10" s="1"/>
  <c r="BP243" i="10" s="1"/>
  <c r="BQ243" i="10" s="1"/>
  <c r="BS243" i="10" s="1"/>
  <c r="BT243" i="10" s="1"/>
  <c r="BU243" i="10" s="1"/>
  <c r="AU198" i="10"/>
  <c r="AU117" i="10"/>
  <c r="AU56" i="10"/>
  <c r="AU176" i="10"/>
  <c r="AU41" i="10"/>
  <c r="AU123" i="10"/>
  <c r="AU247" i="10"/>
  <c r="AU231" i="10"/>
  <c r="AU149" i="10"/>
  <c r="AU81" i="10"/>
  <c r="AU188" i="10"/>
  <c r="AU75" i="10"/>
  <c r="AU45" i="10"/>
  <c r="AU170" i="10"/>
  <c r="AU139" i="10"/>
  <c r="AU131" i="10"/>
  <c r="AU162" i="10"/>
  <c r="BO162" i="10" s="1"/>
  <c r="BP162" i="10" s="1"/>
  <c r="BQ162" i="10" s="1"/>
  <c r="BS162" i="10" s="1"/>
  <c r="BT162" i="10" s="1"/>
  <c r="BU162" i="10" s="1"/>
  <c r="AU59" i="10"/>
  <c r="AU185" i="10"/>
  <c r="AU147" i="10"/>
  <c r="AU96" i="10"/>
  <c r="AU163" i="10"/>
  <c r="AU40" i="10"/>
  <c r="AU228" i="10"/>
  <c r="AU145" i="10"/>
  <c r="AU114" i="10"/>
  <c r="AU253" i="10"/>
  <c r="BO253" i="10" s="1"/>
  <c r="BP253" i="10" s="1"/>
  <c r="BQ253" i="10" s="1"/>
  <c r="BS253" i="10" s="1"/>
  <c r="BT253" i="10" s="1"/>
  <c r="BU253" i="10" s="1"/>
  <c r="AU232" i="10"/>
  <c r="AU143" i="10"/>
  <c r="AU134" i="10"/>
  <c r="AU215" i="10"/>
  <c r="BO215" i="10" s="1"/>
  <c r="BP215" i="10" s="1"/>
  <c r="BQ215" i="10" s="1"/>
  <c r="BS215" i="10" s="1"/>
  <c r="BT215" i="10" s="1"/>
  <c r="BU215" i="10" s="1"/>
  <c r="AU85" i="10"/>
  <c r="AU34" i="10"/>
  <c r="AU172" i="10"/>
  <c r="AU161" i="10"/>
  <c r="AU144" i="10"/>
  <c r="AU102" i="10"/>
  <c r="AU202" i="10"/>
  <c r="AU124" i="10"/>
  <c r="AU49" i="10"/>
  <c r="AU251" i="10"/>
  <c r="BO251" i="10" s="1"/>
  <c r="BP251" i="10" s="1"/>
  <c r="BQ251" i="10" s="1"/>
  <c r="BS251" i="10" s="1"/>
  <c r="BT251" i="10" s="1"/>
  <c r="BU251" i="10" s="1"/>
  <c r="AU221" i="10"/>
  <c r="AU63" i="10"/>
  <c r="AU119" i="10"/>
  <c r="AU250" i="10"/>
  <c r="BO250" i="10" s="1"/>
  <c r="BP250" i="10" s="1"/>
  <c r="BQ250" i="10" s="1"/>
  <c r="BS250" i="10" s="1"/>
  <c r="BT250" i="10" s="1"/>
  <c r="BU250" i="10" s="1"/>
  <c r="AU141" i="10"/>
  <c r="AU58" i="10"/>
  <c r="AU99" i="10"/>
  <c r="AU211" i="10"/>
  <c r="BO211" i="10" s="1"/>
  <c r="BP211" i="10" s="1"/>
  <c r="BQ211" i="10" s="1"/>
  <c r="BS211" i="10" s="1"/>
  <c r="BT211" i="10" s="1"/>
  <c r="BU211" i="10" s="1"/>
  <c r="AU80" i="10"/>
  <c r="AU183" i="10"/>
  <c r="AU51" i="10"/>
  <c r="AU118" i="10"/>
  <c r="AU236" i="10"/>
  <c r="AU220" i="10"/>
  <c r="AU106" i="10"/>
  <c r="AU120" i="10"/>
  <c r="AU125" i="10"/>
  <c r="AU153" i="10"/>
  <c r="AU208" i="10"/>
  <c r="AU182" i="10"/>
  <c r="AU113" i="10"/>
  <c r="AU122" i="10"/>
  <c r="AU200" i="10"/>
  <c r="AU94" i="10"/>
  <c r="AU142" i="10"/>
  <c r="AU240" i="10"/>
  <c r="BO240" i="10" s="1"/>
  <c r="BP240" i="10" s="1"/>
  <c r="BQ240" i="10" s="1"/>
  <c r="BS240" i="10" s="1"/>
  <c r="BT240" i="10" s="1"/>
  <c r="BU240" i="10" s="1"/>
  <c r="AU204" i="10"/>
  <c r="AU90" i="10"/>
  <c r="AU165" i="10"/>
  <c r="AU207" i="10"/>
  <c r="AU126" i="10"/>
  <c r="AU136" i="10"/>
  <c r="AU156" i="10"/>
  <c r="BO156" i="10" s="1"/>
  <c r="BP156" i="10" s="1"/>
  <c r="BQ156" i="10" s="1"/>
  <c r="BS156" i="10" s="1"/>
  <c r="BT156" i="10" s="1"/>
  <c r="BU156" i="10" s="1"/>
  <c r="AU64" i="10"/>
  <c r="AU206" i="10"/>
  <c r="AU83" i="10"/>
  <c r="AU233" i="10"/>
  <c r="AU46" i="10"/>
  <c r="AU71" i="10"/>
  <c r="AU222" i="10"/>
  <c r="BO222" i="10" s="1"/>
  <c r="BP222" i="10" s="1"/>
  <c r="BQ222" i="10" s="1"/>
  <c r="BS222" i="10" s="1"/>
  <c r="BT222" i="10" s="1"/>
  <c r="BU222" i="10" s="1"/>
  <c r="AU248" i="10"/>
  <c r="AU115" i="10"/>
  <c r="AU44" i="10"/>
  <c r="AU234" i="10"/>
  <c r="AU39" i="10"/>
  <c r="AU148" i="10"/>
  <c r="AU230" i="10"/>
  <c r="AU213" i="10"/>
  <c r="BO213" i="10" s="1"/>
  <c r="BP213" i="10" s="1"/>
  <c r="BQ213" i="10" s="1"/>
  <c r="BS213" i="10" s="1"/>
  <c r="BT213" i="10" s="1"/>
  <c r="BU213" i="10" s="1"/>
  <c r="AU128" i="10"/>
  <c r="AU73" i="10"/>
  <c r="AU140" i="10"/>
  <c r="AU203" i="10"/>
  <c r="AU35" i="10"/>
  <c r="AU112" i="10"/>
  <c r="AU192" i="10"/>
  <c r="AU167" i="10"/>
  <c r="AU98" i="10"/>
  <c r="AU252" i="10"/>
  <c r="BO252" i="10" s="1"/>
  <c r="BP252" i="10" s="1"/>
  <c r="BQ252" i="10" s="1"/>
  <c r="BS252" i="10" s="1"/>
  <c r="BT252" i="10" s="1"/>
  <c r="BU252" i="10" s="1"/>
  <c r="AU196" i="10"/>
  <c r="BO196" i="10" s="1"/>
  <c r="BP196" i="10" s="1"/>
  <c r="BQ196" i="10" s="1"/>
  <c r="BS196" i="10" s="1"/>
  <c r="BT196" i="10" s="1"/>
  <c r="BU196" i="10" s="1"/>
  <c r="AU33" i="10"/>
  <c r="AU43" i="10"/>
  <c r="AU77" i="10"/>
  <c r="AU101" i="10"/>
  <c r="AU181" i="10"/>
  <c r="BO181" i="10" s="1"/>
  <c r="BP181" i="10" s="1"/>
  <c r="BQ181" i="10" s="1"/>
  <c r="BS181" i="10" s="1"/>
  <c r="BT181" i="10" s="1"/>
  <c r="BU181" i="10" s="1"/>
  <c r="AU69" i="10"/>
  <c r="AU132" i="10"/>
  <c r="AU79" i="10"/>
  <c r="AU61" i="10"/>
  <c r="AU229" i="10"/>
  <c r="BO229" i="10" s="1"/>
  <c r="BP229" i="10" s="1"/>
  <c r="BQ229" i="10" s="1"/>
  <c r="BS229" i="10" s="1"/>
  <c r="BT229" i="10" s="1"/>
  <c r="BU229" i="10" s="1"/>
  <c r="AU219" i="10"/>
  <c r="AU67" i="10"/>
  <c r="AU168" i="10"/>
  <c r="BO168" i="10" s="1"/>
  <c r="BP168" i="10" s="1"/>
  <c r="BQ168" i="10" s="1"/>
  <c r="BS168" i="10" s="1"/>
  <c r="BT168" i="10" s="1"/>
  <c r="BU168" i="10" s="1"/>
  <c r="AU193" i="10"/>
  <c r="AU100" i="10"/>
  <c r="AU133" i="10"/>
  <c r="AU226" i="10"/>
  <c r="AU235" i="10"/>
  <c r="AU78" i="10"/>
  <c r="AU31" i="10"/>
  <c r="AU249" i="10"/>
  <c r="BO249" i="10" s="1"/>
  <c r="BP249" i="10" s="1"/>
  <c r="BQ249" i="10" s="1"/>
  <c r="BS249" i="10" s="1"/>
  <c r="BT249" i="10" s="1"/>
  <c r="BU249" i="10" s="1"/>
  <c r="AU53" i="10"/>
  <c r="AU55" i="10"/>
  <c r="AU184" i="10"/>
  <c r="AU195" i="10"/>
  <c r="AU70" i="10"/>
  <c r="AU47" i="10"/>
  <c r="AU164" i="10"/>
  <c r="AU52" i="10"/>
  <c r="AU97" i="10"/>
  <c r="AU82" i="10"/>
  <c r="AU166" i="10"/>
  <c r="AU107" i="10"/>
  <c r="AU127" i="10"/>
  <c r="AU212" i="10"/>
  <c r="AU111" i="10"/>
  <c r="AU116" i="10"/>
  <c r="AU177" i="10"/>
  <c r="AU242" i="10"/>
  <c r="AU244" i="10"/>
  <c r="AU76" i="10"/>
  <c r="AU36" i="10"/>
  <c r="AU239" i="10"/>
  <c r="AU225" i="10"/>
  <c r="AU227" i="10"/>
  <c r="AU50" i="10"/>
  <c r="AU74" i="10"/>
  <c r="AU89" i="10"/>
  <c r="AU159" i="10"/>
  <c r="AU95" i="10"/>
  <c r="AU121" i="10"/>
  <c r="AU199" i="10"/>
  <c r="AU187" i="10"/>
  <c r="AU54" i="10"/>
  <c r="AU189" i="10"/>
  <c r="AU158" i="10"/>
  <c r="BO158" i="10" s="1"/>
  <c r="BP158" i="10" s="1"/>
  <c r="BQ158" i="10" s="1"/>
  <c r="BS158" i="10" s="1"/>
  <c r="BT158" i="10" s="1"/>
  <c r="BU158" i="10" s="1"/>
  <c r="AU146" i="10"/>
  <c r="AU174" i="10"/>
  <c r="AU209" i="10"/>
  <c r="BO209" i="10" s="1"/>
  <c r="BP209" i="10" s="1"/>
  <c r="BQ209" i="10" s="1"/>
  <c r="BS209" i="10" s="1"/>
  <c r="BT209" i="10" s="1"/>
  <c r="BU209" i="10" s="1"/>
  <c r="AU87" i="10"/>
  <c r="AU60" i="10"/>
  <c r="AU186" i="10"/>
  <c r="AU130" i="10"/>
  <c r="AU37" i="10"/>
  <c r="AU245" i="10"/>
  <c r="AU237" i="10"/>
  <c r="AU210" i="10"/>
  <c r="AU137" i="10"/>
  <c r="AU103" i="10"/>
  <c r="AU246" i="10"/>
  <c r="AU179" i="10"/>
  <c r="AU84" i="10"/>
  <c r="AU93" i="10"/>
  <c r="AU68" i="10"/>
  <c r="AU175" i="10"/>
  <c r="AU191" i="10"/>
  <c r="AU88" i="10"/>
  <c r="AU160" i="10"/>
  <c r="AU223" i="10"/>
  <c r="BO223" i="10" s="1"/>
  <c r="BP223" i="10" s="1"/>
  <c r="BQ223" i="10" s="1"/>
  <c r="BS223" i="10" s="1"/>
  <c r="BT223" i="10" s="1"/>
  <c r="BU223" i="10" s="1"/>
  <c r="AU66" i="10"/>
  <c r="AU42" i="10"/>
  <c r="AU254" i="10"/>
  <c r="AU218" i="10"/>
  <c r="AU38" i="10"/>
  <c r="AU151" i="10"/>
  <c r="AU197" i="10"/>
  <c r="AU92" i="10"/>
  <c r="AU105" i="10"/>
  <c r="AU178" i="10"/>
  <c r="BO178" i="10" s="1"/>
  <c r="BP178" i="10" s="1"/>
  <c r="BQ178" i="10" s="1"/>
  <c r="BS178" i="10" s="1"/>
  <c r="BT178" i="10" s="1"/>
  <c r="BU178" i="10" s="1"/>
  <c r="AU135" i="10"/>
  <c r="AU110" i="10"/>
  <c r="AU129" i="10"/>
  <c r="AU86" i="10"/>
  <c r="AU169" i="10"/>
  <c r="AU190" i="10"/>
  <c r="AU216" i="10"/>
  <c r="AU217" i="10"/>
  <c r="BO217" i="10" s="1"/>
  <c r="BP217" i="10" s="1"/>
  <c r="BQ217" i="10" s="1"/>
  <c r="BS217" i="10" s="1"/>
  <c r="BT217" i="10" s="1"/>
  <c r="BU217" i="10" s="1"/>
  <c r="AU173" i="10"/>
  <c r="BO173" i="10" s="1"/>
  <c r="BP173" i="10" s="1"/>
  <c r="BQ173" i="10" s="1"/>
  <c r="BS173" i="10" s="1"/>
  <c r="BT173" i="10" s="1"/>
  <c r="BU173" i="10" s="1"/>
  <c r="AU109" i="10"/>
  <c r="AU48" i="10"/>
  <c r="AU238" i="10"/>
  <c r="BO238" i="10" s="1"/>
  <c r="BP238" i="10" s="1"/>
  <c r="BQ238" i="10" s="1"/>
  <c r="BS238" i="10" s="1"/>
  <c r="BT238" i="10" s="1"/>
  <c r="BU238" i="10" s="1"/>
  <c r="AU149" i="9"/>
  <c r="AU173" i="9"/>
  <c r="AU37" i="9"/>
  <c r="AU57" i="9"/>
  <c r="AU96" i="9"/>
  <c r="AU179" i="9"/>
  <c r="BO179" i="9" s="1"/>
  <c r="BP179" i="9" s="1"/>
  <c r="BQ179" i="9" s="1"/>
  <c r="BS179" i="9" s="1"/>
  <c r="BT179" i="9" s="1"/>
  <c r="BU179" i="9" s="1"/>
  <c r="AU71" i="9"/>
  <c r="AU153" i="9"/>
  <c r="AU62" i="9"/>
  <c r="AU214" i="9"/>
  <c r="AU80" i="9"/>
  <c r="AU196" i="9"/>
  <c r="AU94" i="9"/>
  <c r="AU207" i="9"/>
  <c r="BO207" i="9" s="1"/>
  <c r="BP207" i="9" s="1"/>
  <c r="BQ207" i="9" s="1"/>
  <c r="BS207" i="9" s="1"/>
  <c r="BT207" i="9" s="1"/>
  <c r="BU207" i="9" s="1"/>
  <c r="AU90" i="9"/>
  <c r="AU197" i="9"/>
  <c r="BO197" i="9" s="1"/>
  <c r="BP197" i="9" s="1"/>
  <c r="BQ197" i="9" s="1"/>
  <c r="BS197" i="9" s="1"/>
  <c r="BT197" i="9" s="1"/>
  <c r="BU197" i="9" s="1"/>
  <c r="AU123" i="9"/>
  <c r="AU199" i="9"/>
  <c r="AU32" i="9"/>
  <c r="AU89" i="9"/>
  <c r="AU40" i="9"/>
  <c r="BO40" i="9" s="1"/>
  <c r="BP40" i="9" s="1"/>
  <c r="BQ40" i="9" s="1"/>
  <c r="BS40" i="9" s="1"/>
  <c r="BT40" i="9" s="1"/>
  <c r="BU40" i="9" s="1"/>
  <c r="AU73" i="9"/>
  <c r="BO73" i="9" s="1"/>
  <c r="BP73" i="9" s="1"/>
  <c r="BQ73" i="9" s="1"/>
  <c r="BS73" i="9" s="1"/>
  <c r="BT73" i="9" s="1"/>
  <c r="BU73" i="9" s="1"/>
  <c r="AU162" i="9"/>
  <c r="AU102" i="9"/>
  <c r="BO102" i="9" s="1"/>
  <c r="BP102" i="9" s="1"/>
  <c r="BQ102" i="9" s="1"/>
  <c r="BS102" i="9" s="1"/>
  <c r="BT102" i="9" s="1"/>
  <c r="BU102" i="9" s="1"/>
  <c r="AU171" i="9"/>
  <c r="AU210" i="9"/>
  <c r="AU78" i="9"/>
  <c r="AU99" i="9"/>
  <c r="AU220" i="9"/>
  <c r="AU154" i="9"/>
  <c r="AU209" i="9"/>
  <c r="AU115" i="9"/>
  <c r="BO115" i="9" s="1"/>
  <c r="BP115" i="9" s="1"/>
  <c r="BQ115" i="9" s="1"/>
  <c r="BS115" i="9" s="1"/>
  <c r="BT115" i="9" s="1"/>
  <c r="BU115" i="9" s="1"/>
  <c r="AU79" i="9"/>
  <c r="AU227" i="9"/>
  <c r="AU84" i="9"/>
  <c r="AU95" i="9"/>
  <c r="AU39" i="9"/>
  <c r="AU198" i="9"/>
  <c r="AU143" i="9"/>
  <c r="AU221" i="9"/>
  <c r="AU193" i="9"/>
  <c r="AU81" i="9"/>
  <c r="AU157" i="9"/>
  <c r="AU183" i="9"/>
  <c r="BO183" i="9" s="1"/>
  <c r="BP183" i="9" s="1"/>
  <c r="BQ183" i="9" s="1"/>
  <c r="BS183" i="9" s="1"/>
  <c r="BT183" i="9" s="1"/>
  <c r="BU183" i="9" s="1"/>
  <c r="AU106" i="9"/>
  <c r="AU230" i="9"/>
  <c r="BO230" i="9" s="1"/>
  <c r="BP230" i="9" s="1"/>
  <c r="BQ230" i="9" s="1"/>
  <c r="BS230" i="9" s="1"/>
  <c r="BT230" i="9" s="1"/>
  <c r="BU230" i="9" s="1"/>
  <c r="AU226" i="9"/>
  <c r="AU229" i="9"/>
  <c r="AU93" i="9"/>
  <c r="AU100" i="9"/>
  <c r="AU97" i="9"/>
  <c r="AU114" i="9"/>
  <c r="BO114" i="9" s="1"/>
  <c r="BP114" i="9" s="1"/>
  <c r="BQ114" i="9" s="1"/>
  <c r="BS114" i="9" s="1"/>
  <c r="BT114" i="9" s="1"/>
  <c r="BU114" i="9" s="1"/>
  <c r="AU211" i="9"/>
  <c r="AU33" i="9"/>
  <c r="AU111" i="9"/>
  <c r="AU225" i="9"/>
  <c r="AU167" i="9"/>
  <c r="AU217" i="9"/>
  <c r="AU218" i="9"/>
  <c r="AU236" i="9"/>
  <c r="AU53" i="9"/>
  <c r="AU46" i="9"/>
  <c r="AU107" i="9"/>
  <c r="AU237" i="9"/>
  <c r="AU56" i="9"/>
  <c r="AU51" i="9"/>
  <c r="AU122" i="9"/>
  <c r="BO122" i="9" s="1"/>
  <c r="BP122" i="9" s="1"/>
  <c r="BQ122" i="9" s="1"/>
  <c r="BS122" i="9" s="1"/>
  <c r="BT122" i="9" s="1"/>
  <c r="BU122" i="9" s="1"/>
  <c r="AU233" i="9"/>
  <c r="BO233" i="9" s="1"/>
  <c r="BP233" i="9" s="1"/>
  <c r="BQ233" i="9" s="1"/>
  <c r="BS233" i="9" s="1"/>
  <c r="BT233" i="9" s="1"/>
  <c r="BU233" i="9" s="1"/>
  <c r="AU63" i="9"/>
  <c r="AU146" i="9"/>
  <c r="AU178" i="9"/>
  <c r="AU83" i="9"/>
  <c r="BO83" i="9" s="1"/>
  <c r="BP83" i="9" s="1"/>
  <c r="BQ83" i="9" s="1"/>
  <c r="BS83" i="9" s="1"/>
  <c r="BT83" i="9" s="1"/>
  <c r="BU83" i="9" s="1"/>
  <c r="AU121" i="9"/>
  <c r="AU201" i="9"/>
  <c r="AU163" i="9"/>
  <c r="BO163" i="9" s="1"/>
  <c r="BP163" i="9" s="1"/>
  <c r="BQ163" i="9" s="1"/>
  <c r="BS163" i="9" s="1"/>
  <c r="BT163" i="9" s="1"/>
  <c r="BU163" i="9" s="1"/>
  <c r="AU31" i="9"/>
  <c r="AU165" i="9"/>
  <c r="BO165" i="9" s="1"/>
  <c r="BP165" i="9" s="1"/>
  <c r="BQ165" i="9" s="1"/>
  <c r="BS165" i="9" s="1"/>
  <c r="BT165" i="9" s="1"/>
  <c r="BU165" i="9" s="1"/>
  <c r="AU87" i="9"/>
  <c r="AU160" i="9"/>
  <c r="AU70" i="9"/>
  <c r="AU204" i="9"/>
  <c r="AU88" i="9"/>
  <c r="AU164" i="9"/>
  <c r="BO164" i="9" s="1"/>
  <c r="BP164" i="9" s="1"/>
  <c r="BQ164" i="9" s="1"/>
  <c r="BS164" i="9" s="1"/>
  <c r="BT164" i="9" s="1"/>
  <c r="BU164" i="9" s="1"/>
  <c r="AU189" i="9"/>
  <c r="AU85" i="9"/>
  <c r="AU59" i="9"/>
  <c r="AU68" i="9"/>
  <c r="AU185" i="9"/>
  <c r="AU231" i="9"/>
  <c r="AU47" i="9"/>
  <c r="AU45" i="9"/>
  <c r="BO45" i="9" s="1"/>
  <c r="BP45" i="9" s="1"/>
  <c r="BQ45" i="9" s="1"/>
  <c r="BS45" i="9" s="1"/>
  <c r="BT45" i="9" s="1"/>
  <c r="BU45" i="9" s="1"/>
  <c r="AU216" i="9"/>
  <c r="AU67" i="9"/>
  <c r="AU41" i="9"/>
  <c r="BO127" i="9"/>
  <c r="BP127" i="9" s="1"/>
  <c r="BQ127" i="9" s="1"/>
  <c r="BS127" i="9" s="1"/>
  <c r="BT127" i="9" s="1"/>
  <c r="BU127" i="9" s="1"/>
  <c r="AU105" i="9"/>
  <c r="AU120" i="9"/>
  <c r="AU184" i="9"/>
  <c r="AU239" i="9"/>
  <c r="AU142" i="9"/>
  <c r="AU170" i="9"/>
  <c r="AU74" i="9"/>
  <c r="AU101" i="9"/>
  <c r="AU155" i="9"/>
  <c r="AU238" i="9"/>
  <c r="AU228" i="9"/>
  <c r="AU187" i="9"/>
  <c r="AU119" i="9"/>
  <c r="AU195" i="9"/>
  <c r="AU124" i="9"/>
  <c r="AU202" i="9"/>
  <c r="AU175" i="9"/>
  <c r="BO175" i="9" s="1"/>
  <c r="BP175" i="9" s="1"/>
  <c r="BQ175" i="9" s="1"/>
  <c r="BS175" i="9" s="1"/>
  <c r="BT175" i="9" s="1"/>
  <c r="BU175" i="9" s="1"/>
  <c r="AU92" i="9"/>
  <c r="AU200" i="9"/>
  <c r="BO200" i="9" s="1"/>
  <c r="BP200" i="9" s="1"/>
  <c r="BQ200" i="9" s="1"/>
  <c r="BS200" i="9" s="1"/>
  <c r="BT200" i="9" s="1"/>
  <c r="BU200" i="9" s="1"/>
  <c r="AU64" i="9"/>
  <c r="AU186" i="9"/>
  <c r="BO186" i="9" s="1"/>
  <c r="BP186" i="9" s="1"/>
  <c r="BQ186" i="9" s="1"/>
  <c r="BS186" i="9" s="1"/>
  <c r="BT186" i="9" s="1"/>
  <c r="BU186" i="9" s="1"/>
  <c r="AU98" i="9"/>
  <c r="BO98" i="9" s="1"/>
  <c r="BP98" i="9" s="1"/>
  <c r="BQ98" i="9" s="1"/>
  <c r="BS98" i="9" s="1"/>
  <c r="BT98" i="9" s="1"/>
  <c r="BU98" i="9" s="1"/>
  <c r="AU141" i="9"/>
  <c r="AU188" i="9"/>
  <c r="BO188" i="9" s="1"/>
  <c r="BP188" i="9" s="1"/>
  <c r="BQ188" i="9" s="1"/>
  <c r="BS188" i="9" s="1"/>
  <c r="BT188" i="9" s="1"/>
  <c r="BU188" i="9" s="1"/>
  <c r="AU43" i="9"/>
  <c r="AU108" i="9"/>
  <c r="AU113" i="9"/>
  <c r="AU172" i="9"/>
  <c r="BO172" i="9" s="1"/>
  <c r="BP172" i="9" s="1"/>
  <c r="BQ172" i="9" s="1"/>
  <c r="BS172" i="9" s="1"/>
  <c r="BT172" i="9" s="1"/>
  <c r="BU172" i="9" s="1"/>
  <c r="AU169" i="9"/>
  <c r="BO129" i="9"/>
  <c r="BP129" i="9" s="1"/>
  <c r="BQ129" i="9" s="1"/>
  <c r="BS129" i="9" s="1"/>
  <c r="BT129" i="9" s="1"/>
  <c r="BU129" i="9" s="1"/>
  <c r="AU168" i="9"/>
  <c r="AU42" i="9"/>
  <c r="AU223" i="9"/>
  <c r="AU76" i="9"/>
  <c r="AU50" i="9"/>
  <c r="AU35" i="9"/>
  <c r="BO35" i="9" s="1"/>
  <c r="BP35" i="9" s="1"/>
  <c r="BQ35" i="9" s="1"/>
  <c r="BS35" i="9" s="1"/>
  <c r="BT35" i="9" s="1"/>
  <c r="BU35" i="9" s="1"/>
  <c r="AU110" i="9"/>
  <c r="BO110" i="9" s="1"/>
  <c r="BP110" i="9" s="1"/>
  <c r="BQ110" i="9" s="1"/>
  <c r="BS110" i="9" s="1"/>
  <c r="BT110" i="9" s="1"/>
  <c r="BU110" i="9" s="1"/>
  <c r="AU219" i="9"/>
  <c r="AU240" i="9"/>
  <c r="AU159" i="9"/>
  <c r="AU58" i="9"/>
  <c r="BO58" i="9" s="1"/>
  <c r="BP58" i="9" s="1"/>
  <c r="BQ58" i="9" s="1"/>
  <c r="BS58" i="9" s="1"/>
  <c r="BT58" i="9" s="1"/>
  <c r="BU58" i="9" s="1"/>
  <c r="AU140" i="9"/>
  <c r="AU152" i="9"/>
  <c r="BO152" i="9" s="1"/>
  <c r="BP152" i="9" s="1"/>
  <c r="BQ152" i="9" s="1"/>
  <c r="BS152" i="9" s="1"/>
  <c r="BT152" i="9" s="1"/>
  <c r="BU152" i="9" s="1"/>
  <c r="AU75" i="9"/>
  <c r="BO75" i="9" s="1"/>
  <c r="BP75" i="9" s="1"/>
  <c r="BQ75" i="9" s="1"/>
  <c r="BS75" i="9" s="1"/>
  <c r="BT75" i="9" s="1"/>
  <c r="BU75" i="9" s="1"/>
  <c r="AU174" i="9"/>
  <c r="AU126" i="9"/>
  <c r="AU116" i="9"/>
  <c r="AU55" i="9"/>
  <c r="BO55" i="9" s="1"/>
  <c r="BP55" i="9" s="1"/>
  <c r="BQ55" i="9" s="1"/>
  <c r="BS55" i="9" s="1"/>
  <c r="BT55" i="9" s="1"/>
  <c r="BU55" i="9" s="1"/>
  <c r="AU65" i="9"/>
  <c r="AU148" i="9"/>
  <c r="BO132" i="9"/>
  <c r="BP132" i="9" s="1"/>
  <c r="BQ132" i="9" s="1"/>
  <c r="BS132" i="9" s="1"/>
  <c r="BT132" i="9" s="1"/>
  <c r="BU132" i="9" s="1"/>
  <c r="AU151" i="9"/>
  <c r="BO151" i="9" s="1"/>
  <c r="BP151" i="9" s="1"/>
  <c r="BQ151" i="9" s="1"/>
  <c r="BS151" i="9" s="1"/>
  <c r="BT151" i="9" s="1"/>
  <c r="BU151" i="9" s="1"/>
  <c r="AU180" i="9"/>
  <c r="AU36" i="9"/>
  <c r="BO36" i="9" s="1"/>
  <c r="BP36" i="9" s="1"/>
  <c r="BQ36" i="9" s="1"/>
  <c r="BS36" i="9" s="1"/>
  <c r="BT36" i="9" s="1"/>
  <c r="BU36" i="9" s="1"/>
  <c r="AU103" i="9"/>
  <c r="BO103" i="9" s="1"/>
  <c r="BP103" i="9" s="1"/>
  <c r="BQ103" i="9" s="1"/>
  <c r="BS103" i="9" s="1"/>
  <c r="BT103" i="9" s="1"/>
  <c r="BU103" i="9" s="1"/>
  <c r="AU66" i="9"/>
  <c r="BO66" i="9" s="1"/>
  <c r="BP66" i="9" s="1"/>
  <c r="BQ66" i="9" s="1"/>
  <c r="BS66" i="9" s="1"/>
  <c r="BT66" i="9" s="1"/>
  <c r="BU66" i="9" s="1"/>
  <c r="AU235" i="9"/>
  <c r="BO235" i="9" s="1"/>
  <c r="BP235" i="9" s="1"/>
  <c r="BQ235" i="9" s="1"/>
  <c r="BS235" i="9" s="1"/>
  <c r="BT235" i="9" s="1"/>
  <c r="BU235" i="9" s="1"/>
  <c r="AU60" i="9"/>
  <c r="AU144" i="9"/>
  <c r="BO144" i="9" s="1"/>
  <c r="BP144" i="9" s="1"/>
  <c r="BQ144" i="9" s="1"/>
  <c r="BS144" i="9" s="1"/>
  <c r="BT144" i="9" s="1"/>
  <c r="BU144" i="9" s="1"/>
  <c r="AU181" i="9"/>
  <c r="AU91" i="9"/>
  <c r="AU166" i="9"/>
  <c r="AU213" i="9"/>
  <c r="AU190" i="9"/>
  <c r="BO190" i="9" s="1"/>
  <c r="BP190" i="9" s="1"/>
  <c r="BQ190" i="9" s="1"/>
  <c r="BS190" i="9" s="1"/>
  <c r="BT190" i="9" s="1"/>
  <c r="BU190" i="9" s="1"/>
  <c r="AU77" i="9"/>
  <c r="AU156" i="9"/>
  <c r="AU177" i="9"/>
  <c r="BO177" i="9" s="1"/>
  <c r="BP177" i="9" s="1"/>
  <c r="BQ177" i="9" s="1"/>
  <c r="BS177" i="9" s="1"/>
  <c r="BT177" i="9" s="1"/>
  <c r="BU177" i="9" s="1"/>
  <c r="AU48" i="9"/>
  <c r="BO48" i="9" s="1"/>
  <c r="BP48" i="9" s="1"/>
  <c r="BQ48" i="9" s="1"/>
  <c r="BS48" i="9" s="1"/>
  <c r="BT48" i="9" s="1"/>
  <c r="BU48" i="9" s="1"/>
  <c r="AU212" i="9"/>
  <c r="BO212" i="9" s="1"/>
  <c r="BP212" i="9" s="1"/>
  <c r="BQ212" i="9" s="1"/>
  <c r="BS212" i="9" s="1"/>
  <c r="BT212" i="9" s="1"/>
  <c r="BU212" i="9" s="1"/>
  <c r="AU72" i="9"/>
  <c r="AU69" i="9"/>
  <c r="BO69" i="9" s="1"/>
  <c r="BP69" i="9" s="1"/>
  <c r="BQ69" i="9" s="1"/>
  <c r="BS69" i="9" s="1"/>
  <c r="BT69" i="9" s="1"/>
  <c r="BU69" i="9" s="1"/>
  <c r="AU208" i="9"/>
  <c r="AU125" i="9"/>
  <c r="AU203" i="9"/>
  <c r="AU232" i="9"/>
  <c r="AU112" i="9"/>
  <c r="BO112" i="9" s="1"/>
  <c r="BP112" i="9" s="1"/>
  <c r="BQ112" i="9" s="1"/>
  <c r="BS112" i="9" s="1"/>
  <c r="BT112" i="9" s="1"/>
  <c r="BU112" i="9" s="1"/>
  <c r="AU234" i="9"/>
  <c r="BO234" i="9" s="1"/>
  <c r="BP234" i="9" s="1"/>
  <c r="BQ234" i="9" s="1"/>
  <c r="BS234" i="9" s="1"/>
  <c r="BT234" i="9" s="1"/>
  <c r="BU234" i="9" s="1"/>
  <c r="AU147" i="9"/>
  <c r="AU194" i="9"/>
  <c r="AU44" i="9"/>
  <c r="AU222" i="9"/>
  <c r="AU191" i="9"/>
  <c r="AU215" i="9"/>
  <c r="BO215" i="9" s="1"/>
  <c r="BP215" i="9" s="1"/>
  <c r="BQ215" i="9" s="1"/>
  <c r="BS215" i="9" s="1"/>
  <c r="BT215" i="9" s="1"/>
  <c r="BU215" i="9" s="1"/>
  <c r="AU118" i="9"/>
  <c r="BO118" i="9" s="1"/>
  <c r="BP118" i="9" s="1"/>
  <c r="BQ118" i="9" s="1"/>
  <c r="BS118" i="9" s="1"/>
  <c r="BT118" i="9" s="1"/>
  <c r="BU118" i="9" s="1"/>
  <c r="AU161" i="9"/>
  <c r="BO161" i="9" s="1"/>
  <c r="BP161" i="9" s="1"/>
  <c r="BQ161" i="9" s="1"/>
  <c r="BS161" i="9" s="1"/>
  <c r="BT161" i="9" s="1"/>
  <c r="BU161" i="9" s="1"/>
  <c r="AU52" i="9"/>
  <c r="AU109" i="9"/>
  <c r="AU54" i="9"/>
  <c r="AU182" i="9"/>
  <c r="BO182" i="9" s="1"/>
  <c r="BP182" i="9" s="1"/>
  <c r="BQ182" i="9" s="1"/>
  <c r="BS182" i="9" s="1"/>
  <c r="BT182" i="9" s="1"/>
  <c r="BU182" i="9" s="1"/>
  <c r="AU150" i="9"/>
  <c r="AU34" i="9"/>
  <c r="BO34" i="9" s="1"/>
  <c r="BP34" i="9" s="1"/>
  <c r="BQ34" i="9" s="1"/>
  <c r="BS34" i="9" s="1"/>
  <c r="BT34" i="9" s="1"/>
  <c r="BU34" i="9" s="1"/>
  <c r="AU224" i="9"/>
  <c r="BO224" i="9" s="1"/>
  <c r="BP224" i="9" s="1"/>
  <c r="BQ224" i="9" s="1"/>
  <c r="BS224" i="9" s="1"/>
  <c r="BT224" i="9" s="1"/>
  <c r="BU224" i="9" s="1"/>
  <c r="AU192" i="9"/>
  <c r="AU49" i="9"/>
  <c r="AU82" i="9"/>
  <c r="AU61" i="9"/>
  <c r="AU176" i="9"/>
  <c r="AU38" i="9"/>
  <c r="BO38" i="9" s="1"/>
  <c r="BP38" i="9" s="1"/>
  <c r="BQ38" i="9" s="1"/>
  <c r="BS38" i="9" s="1"/>
  <c r="BT38" i="9" s="1"/>
  <c r="BU38" i="9" s="1"/>
  <c r="AU104" i="9"/>
  <c r="BO104" i="9" s="1"/>
  <c r="BP104" i="9" s="1"/>
  <c r="BQ104" i="9" s="1"/>
  <c r="BS104" i="9" s="1"/>
  <c r="BT104" i="9" s="1"/>
  <c r="BU104" i="9" s="1"/>
  <c r="AU86" i="9"/>
  <c r="BO86" i="9" s="1"/>
  <c r="BP86" i="9" s="1"/>
  <c r="BQ86" i="9" s="1"/>
  <c r="BS86" i="9" s="1"/>
  <c r="BT86" i="9" s="1"/>
  <c r="BU86" i="9" s="1"/>
  <c r="AU205" i="9"/>
  <c r="AU117" i="9"/>
  <c r="AU206" i="9"/>
  <c r="AU145" i="9"/>
  <c r="AU158" i="9"/>
  <c r="BN150" i="10"/>
  <c r="BO150" i="10" s="1"/>
  <c r="BP150" i="10" s="1"/>
  <c r="BQ150" i="10" s="1"/>
  <c r="BS150" i="10" s="1"/>
  <c r="BT150" i="10" s="1"/>
  <c r="BU150" i="10" s="1"/>
  <c r="BN44" i="10"/>
  <c r="BN31" i="10"/>
  <c r="BN140" i="10"/>
  <c r="BN142" i="10"/>
  <c r="BN102" i="10"/>
  <c r="BN93" i="10"/>
  <c r="BN75" i="10"/>
  <c r="BN108" i="10"/>
  <c r="BN38" i="10"/>
  <c r="BN104" i="10"/>
  <c r="BN115" i="10"/>
  <c r="BN97" i="10"/>
  <c r="BN51" i="10"/>
  <c r="BN48" i="10"/>
  <c r="BN132" i="10"/>
  <c r="BN89" i="10"/>
  <c r="BN82" i="10"/>
  <c r="BN71" i="10"/>
  <c r="BN34" i="10"/>
  <c r="BN42" i="10"/>
  <c r="BN114" i="10"/>
  <c r="BN54" i="10"/>
  <c r="BN77" i="10"/>
  <c r="BN92" i="10"/>
  <c r="BN79" i="10"/>
  <c r="BN145" i="10"/>
  <c r="BN78" i="10"/>
  <c r="BN73" i="10"/>
  <c r="BN125" i="10"/>
  <c r="BN144" i="10"/>
  <c r="BN43" i="10"/>
  <c r="BN149" i="10"/>
  <c r="BN41" i="10"/>
  <c r="BN119" i="10"/>
  <c r="BN64" i="10"/>
  <c r="BN36" i="10"/>
  <c r="BN74" i="10"/>
  <c r="BN58" i="10"/>
  <c r="BN137" i="10"/>
  <c r="BN84" i="10"/>
  <c r="BN110" i="10"/>
  <c r="BN148" i="10"/>
  <c r="BN33" i="10"/>
  <c r="BN128" i="10"/>
  <c r="BN91" i="10"/>
  <c r="BN88" i="10"/>
  <c r="BN147" i="10"/>
  <c r="BN80" i="10"/>
  <c r="BN100" i="10"/>
  <c r="BN138" i="10"/>
  <c r="BN101" i="10"/>
  <c r="BN107" i="10"/>
  <c r="BN32" i="10"/>
  <c r="BN105" i="10"/>
  <c r="BN136" i="10"/>
  <c r="BN68" i="10"/>
  <c r="BN120" i="10"/>
  <c r="BN134" i="10"/>
  <c r="BN61" i="10"/>
  <c r="BN118" i="10"/>
  <c r="BN62" i="10"/>
  <c r="BN109" i="10"/>
  <c r="BN46" i="10"/>
  <c r="BN90" i="10"/>
  <c r="BN106" i="10"/>
  <c r="BN65" i="10"/>
  <c r="BN72" i="10"/>
  <c r="BN143" i="10"/>
  <c r="BN117" i="10"/>
  <c r="BN50" i="10"/>
  <c r="BN99" i="10"/>
  <c r="BN103" i="10"/>
  <c r="BN76" i="10"/>
  <c r="BN52" i="10"/>
  <c r="BN127" i="10"/>
  <c r="BN95" i="10"/>
  <c r="BN112" i="10"/>
  <c r="BN96" i="10"/>
  <c r="BN122" i="10"/>
  <c r="BN49" i="10"/>
  <c r="BN129" i="10"/>
  <c r="BN83" i="10"/>
  <c r="BN81" i="10"/>
  <c r="BN146" i="10"/>
  <c r="BN141" i="10"/>
  <c r="BN124" i="10"/>
  <c r="BN40" i="10"/>
  <c r="BN59" i="10"/>
  <c r="BN135" i="10"/>
  <c r="BN131" i="10"/>
  <c r="BN133" i="10"/>
  <c r="BN86" i="10"/>
  <c r="BN123" i="10"/>
  <c r="BN69" i="10"/>
  <c r="BN126" i="10"/>
  <c r="BN47" i="10"/>
  <c r="BN98" i="10"/>
  <c r="BN63" i="10"/>
  <c r="BN139" i="10"/>
  <c r="BN39" i="10"/>
  <c r="BN130" i="10"/>
  <c r="BN113" i="10"/>
  <c r="BN85" i="10"/>
  <c r="BN66" i="10"/>
  <c r="BN45" i="10"/>
  <c r="BN57" i="10"/>
  <c r="BN60" i="10"/>
  <c r="BN37" i="10"/>
  <c r="BN55" i="10"/>
  <c r="BN116" i="10"/>
  <c r="BN56" i="10"/>
  <c r="BN121" i="10"/>
  <c r="BN87" i="10"/>
  <c r="BN67" i="10"/>
  <c r="BN53" i="10"/>
  <c r="BN35" i="10"/>
  <c r="BN94" i="10"/>
  <c r="BN111" i="10"/>
  <c r="BN70" i="10"/>
  <c r="BO107" i="9" l="1"/>
  <c r="BP107" i="9" s="1"/>
  <c r="BQ107" i="9" s="1"/>
  <c r="BS107" i="9" s="1"/>
  <c r="BT107" i="9" s="1"/>
  <c r="BU107" i="9" s="1"/>
  <c r="BV107" i="9" s="1"/>
  <c r="BO62" i="9"/>
  <c r="BP62" i="9" s="1"/>
  <c r="BQ62" i="9" s="1"/>
  <c r="BS62" i="9" s="1"/>
  <c r="BT62" i="9" s="1"/>
  <c r="BU62" i="9" s="1"/>
  <c r="BO180" i="9"/>
  <c r="BP180" i="9" s="1"/>
  <c r="BQ180" i="9" s="1"/>
  <c r="BS180" i="9" s="1"/>
  <c r="BT180" i="9" s="1"/>
  <c r="BU180" i="9" s="1"/>
  <c r="BO174" i="9"/>
  <c r="BP174" i="9" s="1"/>
  <c r="BQ174" i="9" s="1"/>
  <c r="BS174" i="9" s="1"/>
  <c r="BT174" i="9" s="1"/>
  <c r="BU174" i="9" s="1"/>
  <c r="BO169" i="9"/>
  <c r="BP169" i="9" s="1"/>
  <c r="BQ169" i="9" s="1"/>
  <c r="BS169" i="9" s="1"/>
  <c r="BT169" i="9" s="1"/>
  <c r="BU169" i="9" s="1"/>
  <c r="BV169" i="9" s="1"/>
  <c r="BO181" i="9"/>
  <c r="BP181" i="9" s="1"/>
  <c r="BQ181" i="9" s="1"/>
  <c r="BS181" i="9" s="1"/>
  <c r="BT181" i="9" s="1"/>
  <c r="BU181" i="9" s="1"/>
  <c r="BX181" i="9" s="1"/>
  <c r="BO239" i="9"/>
  <c r="BP239" i="9" s="1"/>
  <c r="BQ239" i="9" s="1"/>
  <c r="BS239" i="9" s="1"/>
  <c r="BT239" i="9" s="1"/>
  <c r="BU239" i="9" s="1"/>
  <c r="BO95" i="9"/>
  <c r="BP95" i="9" s="1"/>
  <c r="BQ95" i="9" s="1"/>
  <c r="BS95" i="9" s="1"/>
  <c r="BT95" i="9" s="1"/>
  <c r="BU95" i="9" s="1"/>
  <c r="BW95" i="9" s="1"/>
  <c r="BO99" i="9"/>
  <c r="BP99" i="9" s="1"/>
  <c r="BQ99" i="9" s="1"/>
  <c r="BS99" i="9" s="1"/>
  <c r="BT99" i="9" s="1"/>
  <c r="BU99" i="9" s="1"/>
  <c r="BW99" i="9" s="1"/>
  <c r="BO187" i="10"/>
  <c r="BP187" i="10" s="1"/>
  <c r="BQ187" i="10" s="1"/>
  <c r="BS187" i="10" s="1"/>
  <c r="BT187" i="10" s="1"/>
  <c r="BU187" i="10" s="1"/>
  <c r="BO189" i="10"/>
  <c r="BP189" i="10" s="1"/>
  <c r="BQ189" i="10" s="1"/>
  <c r="BS189" i="10" s="1"/>
  <c r="BT189" i="10" s="1"/>
  <c r="BU189" i="10" s="1"/>
  <c r="BO174" i="10"/>
  <c r="BP174" i="10" s="1"/>
  <c r="BQ174" i="10" s="1"/>
  <c r="BS174" i="10" s="1"/>
  <c r="BT174" i="10" s="1"/>
  <c r="BU174" i="10" s="1"/>
  <c r="BO236" i="10"/>
  <c r="BP236" i="10" s="1"/>
  <c r="BQ236" i="10" s="1"/>
  <c r="BS236" i="10" s="1"/>
  <c r="BT236" i="10" s="1"/>
  <c r="BU236" i="10" s="1"/>
  <c r="BO183" i="10"/>
  <c r="BP183" i="10" s="1"/>
  <c r="BQ183" i="10" s="1"/>
  <c r="BS183" i="10" s="1"/>
  <c r="BT183" i="10" s="1"/>
  <c r="BU183" i="10" s="1"/>
  <c r="BO216" i="10"/>
  <c r="BP216" i="10" s="1"/>
  <c r="BQ216" i="10" s="1"/>
  <c r="BS216" i="10" s="1"/>
  <c r="BT216" i="10" s="1"/>
  <c r="BU216" i="10" s="1"/>
  <c r="BW216" i="10" s="1"/>
  <c r="BO244" i="10"/>
  <c r="BP244" i="10" s="1"/>
  <c r="BQ244" i="10" s="1"/>
  <c r="BS244" i="10" s="1"/>
  <c r="BT244" i="10" s="1"/>
  <c r="BU244" i="10" s="1"/>
  <c r="BV244" i="10" s="1"/>
  <c r="BO184" i="10"/>
  <c r="BP184" i="10" s="1"/>
  <c r="BQ184" i="10" s="1"/>
  <c r="BS184" i="10" s="1"/>
  <c r="BT184" i="10" s="1"/>
  <c r="BU184" i="10" s="1"/>
  <c r="BW184" i="10" s="1"/>
  <c r="H178" i="12" s="1"/>
  <c r="J178" i="12" s="1"/>
  <c r="N178" i="12" s="1"/>
  <c r="T178" i="12" s="1"/>
  <c r="BO197" i="10"/>
  <c r="BP197" i="10" s="1"/>
  <c r="BQ197" i="10" s="1"/>
  <c r="BS197" i="10" s="1"/>
  <c r="BT197" i="10" s="1"/>
  <c r="BU197" i="10" s="1"/>
  <c r="BV197" i="10" s="1"/>
  <c r="BO202" i="10"/>
  <c r="BP202" i="10" s="1"/>
  <c r="BQ202" i="10" s="1"/>
  <c r="BS202" i="10" s="1"/>
  <c r="BT202" i="10" s="1"/>
  <c r="BU202" i="10" s="1"/>
  <c r="BW202" i="10" s="1"/>
  <c r="H196" i="12" s="1"/>
  <c r="J196" i="12" s="1"/>
  <c r="N196" i="12" s="1"/>
  <c r="T196" i="12" s="1"/>
  <c r="BO176" i="9"/>
  <c r="BP176" i="9" s="1"/>
  <c r="BQ176" i="9" s="1"/>
  <c r="BS176" i="9" s="1"/>
  <c r="BT176" i="9" s="1"/>
  <c r="BU176" i="9" s="1"/>
  <c r="BO204" i="9"/>
  <c r="BP204" i="9" s="1"/>
  <c r="BQ204" i="9" s="1"/>
  <c r="BS204" i="9" s="1"/>
  <c r="BT204" i="9" s="1"/>
  <c r="BU204" i="9" s="1"/>
  <c r="BW204" i="9" s="1"/>
  <c r="BO159" i="9"/>
  <c r="BP159" i="9" s="1"/>
  <c r="BQ159" i="9" s="1"/>
  <c r="BS159" i="9" s="1"/>
  <c r="BT159" i="9" s="1"/>
  <c r="BU159" i="9" s="1"/>
  <c r="BV159" i="9" s="1"/>
  <c r="BO202" i="9"/>
  <c r="BP202" i="9" s="1"/>
  <c r="BQ202" i="9" s="1"/>
  <c r="BS202" i="9" s="1"/>
  <c r="BT202" i="9" s="1"/>
  <c r="BU202" i="9" s="1"/>
  <c r="BO31" i="9"/>
  <c r="BP31" i="9" s="1"/>
  <c r="BQ31" i="9" s="1"/>
  <c r="BS31" i="9" s="1"/>
  <c r="BT31" i="9" s="1"/>
  <c r="BU31" i="9" s="1"/>
  <c r="BX31" i="9" s="1"/>
  <c r="BO134" i="9"/>
  <c r="BP134" i="9" s="1"/>
  <c r="BQ134" i="9" s="1"/>
  <c r="BS134" i="9" s="1"/>
  <c r="BT134" i="9" s="1"/>
  <c r="BU134" i="9" s="1"/>
  <c r="BW134" i="9" s="1"/>
  <c r="BO61" i="9"/>
  <c r="BP61" i="9" s="1"/>
  <c r="BQ61" i="9" s="1"/>
  <c r="BS61" i="9" s="1"/>
  <c r="BT61" i="9" s="1"/>
  <c r="BU61" i="9" s="1"/>
  <c r="BO105" i="9"/>
  <c r="BP105" i="9" s="1"/>
  <c r="BQ105" i="9" s="1"/>
  <c r="BS105" i="9" s="1"/>
  <c r="BT105" i="9" s="1"/>
  <c r="BU105" i="9" s="1"/>
  <c r="BO219" i="9"/>
  <c r="BP219" i="9" s="1"/>
  <c r="BQ219" i="9" s="1"/>
  <c r="BS219" i="9" s="1"/>
  <c r="BT219" i="9" s="1"/>
  <c r="BU219" i="9" s="1"/>
  <c r="BO162" i="9"/>
  <c r="BP162" i="9" s="1"/>
  <c r="BQ162" i="9" s="1"/>
  <c r="BS162" i="9" s="1"/>
  <c r="BT162" i="9" s="1"/>
  <c r="BU162" i="9" s="1"/>
  <c r="BW162" i="9" s="1"/>
  <c r="BO170" i="9"/>
  <c r="BP170" i="9" s="1"/>
  <c r="BQ170" i="9" s="1"/>
  <c r="BS170" i="9" s="1"/>
  <c r="BT170" i="9" s="1"/>
  <c r="BU170" i="9" s="1"/>
  <c r="BW170" i="9" s="1"/>
  <c r="BO154" i="9"/>
  <c r="BP154" i="9" s="1"/>
  <c r="BQ154" i="9" s="1"/>
  <c r="BS154" i="9" s="1"/>
  <c r="BT154" i="9" s="1"/>
  <c r="BU154" i="9" s="1"/>
  <c r="CA154" i="9" s="1"/>
  <c r="H148" i="11" s="1"/>
  <c r="J148" i="11" s="1"/>
  <c r="N148" i="11" s="1"/>
  <c r="T148" i="11" s="1"/>
  <c r="BO153" i="9"/>
  <c r="BP153" i="9" s="1"/>
  <c r="BQ153" i="9" s="1"/>
  <c r="BS153" i="9" s="1"/>
  <c r="BT153" i="9" s="1"/>
  <c r="BU153" i="9" s="1"/>
  <c r="CA153" i="9" s="1"/>
  <c r="H147" i="11" s="1"/>
  <c r="J147" i="11" s="1"/>
  <c r="N147" i="11" s="1"/>
  <c r="T147" i="11" s="1"/>
  <c r="BO187" i="9"/>
  <c r="BP187" i="9" s="1"/>
  <c r="BQ187" i="9" s="1"/>
  <c r="BS187" i="9" s="1"/>
  <c r="BT187" i="9" s="1"/>
  <c r="BU187" i="9" s="1"/>
  <c r="CA187" i="9" s="1"/>
  <c r="H181" i="11" s="1"/>
  <c r="J181" i="11" s="1"/>
  <c r="N181" i="11" s="1"/>
  <c r="T181" i="11" s="1"/>
  <c r="BO203" i="9"/>
  <c r="BP203" i="9" s="1"/>
  <c r="BQ203" i="9" s="1"/>
  <c r="BS203" i="9" s="1"/>
  <c r="BT203" i="9" s="1"/>
  <c r="BU203" i="9" s="1"/>
  <c r="BO156" i="9"/>
  <c r="BP156" i="9" s="1"/>
  <c r="BQ156" i="9" s="1"/>
  <c r="BS156" i="9" s="1"/>
  <c r="BT156" i="9" s="1"/>
  <c r="BU156" i="9" s="1"/>
  <c r="BX156" i="9" s="1"/>
  <c r="BO185" i="9"/>
  <c r="BP185" i="9" s="1"/>
  <c r="BQ185" i="9" s="1"/>
  <c r="BS185" i="9" s="1"/>
  <c r="BT185" i="9" s="1"/>
  <c r="BU185" i="9" s="1"/>
  <c r="BO143" i="9"/>
  <c r="BP143" i="9" s="1"/>
  <c r="BQ143" i="9" s="1"/>
  <c r="BS143" i="9" s="1"/>
  <c r="BT143" i="9" s="1"/>
  <c r="BU143" i="9" s="1"/>
  <c r="BV143" i="9" s="1"/>
  <c r="BO209" i="9"/>
  <c r="BP209" i="9" s="1"/>
  <c r="BQ209" i="9" s="1"/>
  <c r="BS209" i="9" s="1"/>
  <c r="BT209" i="9" s="1"/>
  <c r="BU209" i="9" s="1"/>
  <c r="BX209" i="9" s="1"/>
  <c r="BO39" i="9"/>
  <c r="BP39" i="9" s="1"/>
  <c r="BQ39" i="9" s="1"/>
  <c r="BS39" i="9" s="1"/>
  <c r="BT39" i="9" s="1"/>
  <c r="BU39" i="9" s="1"/>
  <c r="CA39" i="9" s="1"/>
  <c r="BO232" i="9"/>
  <c r="BP232" i="9" s="1"/>
  <c r="BQ232" i="9" s="1"/>
  <c r="BS232" i="9" s="1"/>
  <c r="BT232" i="9" s="1"/>
  <c r="BU232" i="9" s="1"/>
  <c r="BX232" i="9" s="1"/>
  <c r="BO205" i="9"/>
  <c r="BP205" i="9" s="1"/>
  <c r="BQ205" i="9" s="1"/>
  <c r="BS205" i="9" s="1"/>
  <c r="BT205" i="9" s="1"/>
  <c r="BU205" i="9" s="1"/>
  <c r="CA205" i="9" s="1"/>
  <c r="BO158" i="9"/>
  <c r="BP158" i="9" s="1"/>
  <c r="BQ158" i="9" s="1"/>
  <c r="BS158" i="9" s="1"/>
  <c r="BT158" i="9" s="1"/>
  <c r="BU158" i="9" s="1"/>
  <c r="BO217" i="9"/>
  <c r="BP217" i="9" s="1"/>
  <c r="BQ217" i="9" s="1"/>
  <c r="BS217" i="9" s="1"/>
  <c r="BT217" i="9" s="1"/>
  <c r="BU217" i="9" s="1"/>
  <c r="BW217" i="9" s="1"/>
  <c r="BO208" i="9"/>
  <c r="BP208" i="9" s="1"/>
  <c r="BQ208" i="9" s="1"/>
  <c r="BS208" i="9" s="1"/>
  <c r="BT208" i="9" s="1"/>
  <c r="BU208" i="9" s="1"/>
  <c r="BO141" i="9"/>
  <c r="BP141" i="9" s="1"/>
  <c r="BQ141" i="9" s="1"/>
  <c r="BS141" i="9" s="1"/>
  <c r="BT141" i="9" s="1"/>
  <c r="BU141" i="9" s="1"/>
  <c r="BV141" i="9" s="1"/>
  <c r="BO173" i="9"/>
  <c r="BP173" i="9" s="1"/>
  <c r="BQ173" i="9" s="1"/>
  <c r="BS173" i="9" s="1"/>
  <c r="BT173" i="9" s="1"/>
  <c r="BU173" i="9" s="1"/>
  <c r="CA173" i="9" s="1"/>
  <c r="H167" i="11" s="1"/>
  <c r="J167" i="11" s="1"/>
  <c r="N167" i="11" s="1"/>
  <c r="T167" i="11" s="1"/>
  <c r="BO192" i="9"/>
  <c r="BP192" i="9" s="1"/>
  <c r="BQ192" i="9" s="1"/>
  <c r="BS192" i="9" s="1"/>
  <c r="BT192" i="9" s="1"/>
  <c r="BU192" i="9" s="1"/>
  <c r="BV192" i="9" s="1"/>
  <c r="BO142" i="9"/>
  <c r="BP142" i="9" s="1"/>
  <c r="BQ142" i="9" s="1"/>
  <c r="BS142" i="9" s="1"/>
  <c r="BT142" i="9" s="1"/>
  <c r="BU142" i="9" s="1"/>
  <c r="BX142" i="9" s="1"/>
  <c r="BO216" i="9"/>
  <c r="BP216" i="9" s="1"/>
  <c r="BQ216" i="9" s="1"/>
  <c r="BS216" i="9" s="1"/>
  <c r="BT216" i="9" s="1"/>
  <c r="BU216" i="9" s="1"/>
  <c r="BV216" i="9" s="1"/>
  <c r="BO148" i="9"/>
  <c r="BP148" i="9" s="1"/>
  <c r="BQ148" i="9" s="1"/>
  <c r="BS148" i="9" s="1"/>
  <c r="BT148" i="9" s="1"/>
  <c r="BU148" i="9" s="1"/>
  <c r="BO155" i="9"/>
  <c r="BP155" i="9" s="1"/>
  <c r="BQ155" i="9" s="1"/>
  <c r="BS155" i="9" s="1"/>
  <c r="BT155" i="9" s="1"/>
  <c r="BU155" i="9" s="1"/>
  <c r="BV155" i="9" s="1"/>
  <c r="BO213" i="9"/>
  <c r="BP213" i="9" s="1"/>
  <c r="BQ213" i="9" s="1"/>
  <c r="BS213" i="9" s="1"/>
  <c r="BT213" i="9" s="1"/>
  <c r="BU213" i="9" s="1"/>
  <c r="BO147" i="9"/>
  <c r="BP147" i="9" s="1"/>
  <c r="BQ147" i="9" s="1"/>
  <c r="BS147" i="9" s="1"/>
  <c r="BT147" i="9" s="1"/>
  <c r="BU147" i="9" s="1"/>
  <c r="CA147" i="9" s="1"/>
  <c r="H141" i="11" s="1"/>
  <c r="J141" i="11" s="1"/>
  <c r="N141" i="11" s="1"/>
  <c r="T141" i="11" s="1"/>
  <c r="BO146" i="9"/>
  <c r="BP146" i="9" s="1"/>
  <c r="BQ146" i="9" s="1"/>
  <c r="BS146" i="9" s="1"/>
  <c r="BT146" i="9" s="1"/>
  <c r="BU146" i="9" s="1"/>
  <c r="BX146" i="9" s="1"/>
  <c r="BO226" i="9"/>
  <c r="BP226" i="9" s="1"/>
  <c r="BQ226" i="9" s="1"/>
  <c r="BS226" i="9" s="1"/>
  <c r="BT226" i="9" s="1"/>
  <c r="BU226" i="9" s="1"/>
  <c r="BX226" i="9" s="1"/>
  <c r="BO198" i="9"/>
  <c r="BP198" i="9" s="1"/>
  <c r="BQ198" i="9" s="1"/>
  <c r="BS198" i="9" s="1"/>
  <c r="BT198" i="9" s="1"/>
  <c r="BU198" i="9" s="1"/>
  <c r="CA198" i="9" s="1"/>
  <c r="H192" i="11" s="1"/>
  <c r="J192" i="11" s="1"/>
  <c r="N192" i="11" s="1"/>
  <c r="T192" i="11" s="1"/>
  <c r="BO189" i="9"/>
  <c r="BP189" i="9" s="1"/>
  <c r="BQ189" i="9" s="1"/>
  <c r="BS189" i="9" s="1"/>
  <c r="BT189" i="9" s="1"/>
  <c r="BU189" i="9" s="1"/>
  <c r="BV189" i="9" s="1"/>
  <c r="BO84" i="9"/>
  <c r="BP84" i="9" s="1"/>
  <c r="BQ84" i="9" s="1"/>
  <c r="BS84" i="9" s="1"/>
  <c r="BT84" i="9" s="1"/>
  <c r="BU84" i="9" s="1"/>
  <c r="BO78" i="9"/>
  <c r="BP78" i="9" s="1"/>
  <c r="BQ78" i="9" s="1"/>
  <c r="BS78" i="9" s="1"/>
  <c r="BT78" i="9" s="1"/>
  <c r="BU78" i="9" s="1"/>
  <c r="BO96" i="9"/>
  <c r="BP96" i="9" s="1"/>
  <c r="BQ96" i="9" s="1"/>
  <c r="BS96" i="9" s="1"/>
  <c r="BT96" i="9" s="1"/>
  <c r="BU96" i="9" s="1"/>
  <c r="BV96" i="9" s="1"/>
  <c r="BO125" i="9"/>
  <c r="BP125" i="9" s="1"/>
  <c r="BQ125" i="9" s="1"/>
  <c r="BS125" i="9" s="1"/>
  <c r="BT125" i="9" s="1"/>
  <c r="BU125" i="9" s="1"/>
  <c r="BW125" i="9" s="1"/>
  <c r="BO77" i="9"/>
  <c r="BP77" i="9" s="1"/>
  <c r="BQ77" i="9" s="1"/>
  <c r="BS77" i="9" s="1"/>
  <c r="BT77" i="9" s="1"/>
  <c r="BU77" i="9" s="1"/>
  <c r="BX77" i="9" s="1"/>
  <c r="BO65" i="9"/>
  <c r="BP65" i="9" s="1"/>
  <c r="BQ65" i="9" s="1"/>
  <c r="BS65" i="9" s="1"/>
  <c r="BT65" i="9" s="1"/>
  <c r="BU65" i="9" s="1"/>
  <c r="BX65" i="9" s="1"/>
  <c r="BO43" i="9"/>
  <c r="BP43" i="9" s="1"/>
  <c r="BQ43" i="9" s="1"/>
  <c r="BS43" i="9" s="1"/>
  <c r="BT43" i="9" s="1"/>
  <c r="BU43" i="9" s="1"/>
  <c r="BW43" i="9" s="1"/>
  <c r="BO121" i="9"/>
  <c r="BP121" i="9" s="1"/>
  <c r="BQ121" i="9" s="1"/>
  <c r="BS121" i="9" s="1"/>
  <c r="BT121" i="9" s="1"/>
  <c r="BU121" i="9" s="1"/>
  <c r="BW121" i="9" s="1"/>
  <c r="BO56" i="9"/>
  <c r="BP56" i="9" s="1"/>
  <c r="BQ56" i="9" s="1"/>
  <c r="BS56" i="9" s="1"/>
  <c r="BT56" i="9" s="1"/>
  <c r="BU56" i="9" s="1"/>
  <c r="BO81" i="9"/>
  <c r="BP81" i="9" s="1"/>
  <c r="BQ81" i="9" s="1"/>
  <c r="BS81" i="9" s="1"/>
  <c r="BT81" i="9" s="1"/>
  <c r="BU81" i="9" s="1"/>
  <c r="BO57" i="9"/>
  <c r="BP57" i="9" s="1"/>
  <c r="BQ57" i="9" s="1"/>
  <c r="BS57" i="9" s="1"/>
  <c r="BT57" i="9" s="1"/>
  <c r="BU57" i="9" s="1"/>
  <c r="CA57" i="9" s="1"/>
  <c r="H56" i="11" s="1"/>
  <c r="J56" i="11" s="1"/>
  <c r="N56" i="11" s="1"/>
  <c r="T56" i="11" s="1"/>
  <c r="BO128" i="9"/>
  <c r="BP128" i="9" s="1"/>
  <c r="BQ128" i="9" s="1"/>
  <c r="BS128" i="9" s="1"/>
  <c r="BT128" i="9" s="1"/>
  <c r="BU128" i="9" s="1"/>
  <c r="BW128" i="9" s="1"/>
  <c r="BO236" i="9"/>
  <c r="BP236" i="9" s="1"/>
  <c r="BQ236" i="9" s="1"/>
  <c r="BS236" i="9" s="1"/>
  <c r="BT236" i="9" s="1"/>
  <c r="BU236" i="9" s="1"/>
  <c r="BX236" i="9" s="1"/>
  <c r="BO167" i="9"/>
  <c r="BP167" i="9" s="1"/>
  <c r="BQ167" i="9" s="1"/>
  <c r="BS167" i="9" s="1"/>
  <c r="BT167" i="9" s="1"/>
  <c r="BU167" i="9" s="1"/>
  <c r="CA167" i="9" s="1"/>
  <c r="H161" i="11" s="1"/>
  <c r="J161" i="11" s="1"/>
  <c r="N161" i="11" s="1"/>
  <c r="T161" i="11" s="1"/>
  <c r="BO193" i="9"/>
  <c r="BP193" i="9" s="1"/>
  <c r="BQ193" i="9" s="1"/>
  <c r="BS193" i="9" s="1"/>
  <c r="BT193" i="9" s="1"/>
  <c r="BU193" i="9" s="1"/>
  <c r="BX193" i="9" s="1"/>
  <c r="BO171" i="9"/>
  <c r="BP171" i="9" s="1"/>
  <c r="BQ171" i="9" s="1"/>
  <c r="BS171" i="9" s="1"/>
  <c r="BT171" i="9" s="1"/>
  <c r="BU171" i="9" s="1"/>
  <c r="CA171" i="9" s="1"/>
  <c r="H165" i="11" s="1"/>
  <c r="J165" i="11" s="1"/>
  <c r="N165" i="11" s="1"/>
  <c r="T165" i="11" s="1"/>
  <c r="BO240" i="9"/>
  <c r="BP240" i="9" s="1"/>
  <c r="BQ240" i="9" s="1"/>
  <c r="BS240" i="9" s="1"/>
  <c r="BT240" i="9" s="1"/>
  <c r="BU240" i="9" s="1"/>
  <c r="BO168" i="9"/>
  <c r="BP168" i="9" s="1"/>
  <c r="BQ168" i="9" s="1"/>
  <c r="BS168" i="9" s="1"/>
  <c r="BT168" i="9" s="1"/>
  <c r="BU168" i="9" s="1"/>
  <c r="BV168" i="9" s="1"/>
  <c r="BO225" i="9"/>
  <c r="BP225" i="9" s="1"/>
  <c r="BQ225" i="9" s="1"/>
  <c r="BS225" i="9" s="1"/>
  <c r="BT225" i="9" s="1"/>
  <c r="BU225" i="9" s="1"/>
  <c r="BV225" i="9" s="1"/>
  <c r="BO221" i="9"/>
  <c r="BP221" i="9" s="1"/>
  <c r="BQ221" i="9" s="1"/>
  <c r="BS221" i="9" s="1"/>
  <c r="BT221" i="9" s="1"/>
  <c r="BU221" i="9" s="1"/>
  <c r="CA221" i="9" s="1"/>
  <c r="H215" i="11" s="1"/>
  <c r="J215" i="11" s="1"/>
  <c r="N215" i="11" s="1"/>
  <c r="T215" i="11" s="1"/>
  <c r="BO211" i="9"/>
  <c r="BP211" i="9" s="1"/>
  <c r="BQ211" i="9" s="1"/>
  <c r="BS211" i="9" s="1"/>
  <c r="BT211" i="9" s="1"/>
  <c r="BU211" i="9" s="1"/>
  <c r="BX211" i="9" s="1"/>
  <c r="BO220" i="9"/>
  <c r="BP220" i="9" s="1"/>
  <c r="BQ220" i="9" s="1"/>
  <c r="BS220" i="9" s="1"/>
  <c r="BT220" i="9" s="1"/>
  <c r="BU220" i="9" s="1"/>
  <c r="BV220" i="9" s="1"/>
  <c r="BO100" i="9"/>
  <c r="BP100" i="9" s="1"/>
  <c r="BQ100" i="9" s="1"/>
  <c r="BS100" i="9" s="1"/>
  <c r="BT100" i="9" s="1"/>
  <c r="BU100" i="9" s="1"/>
  <c r="BX100" i="9" s="1"/>
  <c r="BO93" i="9"/>
  <c r="BP93" i="9" s="1"/>
  <c r="BQ93" i="9" s="1"/>
  <c r="BS93" i="9" s="1"/>
  <c r="BT93" i="9" s="1"/>
  <c r="BU93" i="9" s="1"/>
  <c r="BX93" i="9" s="1"/>
  <c r="BO124" i="9"/>
  <c r="BP124" i="9" s="1"/>
  <c r="BQ124" i="9" s="1"/>
  <c r="BS124" i="9" s="1"/>
  <c r="BT124" i="9" s="1"/>
  <c r="BU124" i="9" s="1"/>
  <c r="BO63" i="9"/>
  <c r="BP63" i="9" s="1"/>
  <c r="BQ63" i="9" s="1"/>
  <c r="BS63" i="9" s="1"/>
  <c r="BT63" i="9" s="1"/>
  <c r="BU63" i="9" s="1"/>
  <c r="BW63" i="9" s="1"/>
  <c r="BO33" i="9"/>
  <c r="BP33" i="9" s="1"/>
  <c r="BQ33" i="9" s="1"/>
  <c r="BS33" i="9" s="1"/>
  <c r="BT33" i="9" s="1"/>
  <c r="BU33" i="9" s="1"/>
  <c r="BW33" i="9" s="1"/>
  <c r="BO225" i="10"/>
  <c r="BP225" i="10" s="1"/>
  <c r="BQ225" i="10" s="1"/>
  <c r="BS225" i="10" s="1"/>
  <c r="BT225" i="10" s="1"/>
  <c r="BU225" i="10" s="1"/>
  <c r="BW225" i="10" s="1"/>
  <c r="H219" i="12" s="1"/>
  <c r="J219" i="12" s="1"/>
  <c r="N219" i="12" s="1"/>
  <c r="T219" i="12" s="1"/>
  <c r="BO192" i="10"/>
  <c r="BP192" i="10" s="1"/>
  <c r="BQ192" i="10" s="1"/>
  <c r="BS192" i="10" s="1"/>
  <c r="BT192" i="10" s="1"/>
  <c r="BU192" i="10" s="1"/>
  <c r="BW192" i="10" s="1"/>
  <c r="H186" i="12" s="1"/>
  <c r="J186" i="12" s="1"/>
  <c r="N186" i="12" s="1"/>
  <c r="T186" i="12" s="1"/>
  <c r="BO231" i="10"/>
  <c r="BP231" i="10" s="1"/>
  <c r="BQ231" i="10" s="1"/>
  <c r="BS231" i="10" s="1"/>
  <c r="BT231" i="10" s="1"/>
  <c r="BU231" i="10" s="1"/>
  <c r="BW231" i="10" s="1"/>
  <c r="BO205" i="10"/>
  <c r="BP205" i="10" s="1"/>
  <c r="BQ205" i="10" s="1"/>
  <c r="BS205" i="10" s="1"/>
  <c r="BT205" i="10" s="1"/>
  <c r="BU205" i="10" s="1"/>
  <c r="BW205" i="10" s="1"/>
  <c r="H199" i="12" s="1"/>
  <c r="J199" i="12" s="1"/>
  <c r="N199" i="12" s="1"/>
  <c r="T199" i="12" s="1"/>
  <c r="BO180" i="10"/>
  <c r="BP180" i="10" s="1"/>
  <c r="BQ180" i="10" s="1"/>
  <c r="BS180" i="10" s="1"/>
  <c r="BT180" i="10" s="1"/>
  <c r="BU180" i="10" s="1"/>
  <c r="BV180" i="10" s="1"/>
  <c r="BO218" i="10"/>
  <c r="BP218" i="10" s="1"/>
  <c r="BQ218" i="10" s="1"/>
  <c r="BS218" i="10" s="1"/>
  <c r="BT218" i="10" s="1"/>
  <c r="BU218" i="10" s="1"/>
  <c r="BV218" i="10" s="1"/>
  <c r="BO210" i="10"/>
  <c r="BP210" i="10" s="1"/>
  <c r="BQ210" i="10" s="1"/>
  <c r="BS210" i="10" s="1"/>
  <c r="BT210" i="10" s="1"/>
  <c r="BU210" i="10" s="1"/>
  <c r="BW210" i="10" s="1"/>
  <c r="H204" i="12" s="1"/>
  <c r="J204" i="12" s="1"/>
  <c r="N204" i="12" s="1"/>
  <c r="T204" i="12" s="1"/>
  <c r="BO212" i="10"/>
  <c r="BP212" i="10" s="1"/>
  <c r="BQ212" i="10" s="1"/>
  <c r="BS212" i="10" s="1"/>
  <c r="BT212" i="10" s="1"/>
  <c r="BU212" i="10" s="1"/>
  <c r="BW212" i="10" s="1"/>
  <c r="H206" i="12" s="1"/>
  <c r="J206" i="12" s="1"/>
  <c r="N206" i="12" s="1"/>
  <c r="T206" i="12" s="1"/>
  <c r="BO220" i="10"/>
  <c r="BP220" i="10" s="1"/>
  <c r="BQ220" i="10" s="1"/>
  <c r="BS220" i="10" s="1"/>
  <c r="BT220" i="10" s="1"/>
  <c r="BU220" i="10" s="1"/>
  <c r="BW220" i="10" s="1"/>
  <c r="H214" i="12" s="1"/>
  <c r="J214" i="12" s="1"/>
  <c r="N214" i="12" s="1"/>
  <c r="T214" i="12" s="1"/>
  <c r="BO159" i="10"/>
  <c r="BP159" i="10" s="1"/>
  <c r="BQ159" i="10" s="1"/>
  <c r="BS159" i="10" s="1"/>
  <c r="BT159" i="10" s="1"/>
  <c r="BU159" i="10" s="1"/>
  <c r="BV159" i="10" s="1"/>
  <c r="BO203" i="10"/>
  <c r="BP203" i="10" s="1"/>
  <c r="BQ203" i="10" s="1"/>
  <c r="BS203" i="10" s="1"/>
  <c r="BT203" i="10" s="1"/>
  <c r="BU203" i="10" s="1"/>
  <c r="BW203" i="10" s="1"/>
  <c r="H197" i="12" s="1"/>
  <c r="J197" i="12" s="1"/>
  <c r="N197" i="12" s="1"/>
  <c r="T197" i="12" s="1"/>
  <c r="BO234" i="10"/>
  <c r="BP234" i="10" s="1"/>
  <c r="BQ234" i="10" s="1"/>
  <c r="BS234" i="10" s="1"/>
  <c r="BT234" i="10" s="1"/>
  <c r="BU234" i="10" s="1"/>
  <c r="BV234" i="10" s="1"/>
  <c r="BO246" i="10"/>
  <c r="BP246" i="10" s="1"/>
  <c r="BQ246" i="10" s="1"/>
  <c r="BS246" i="10" s="1"/>
  <c r="BT246" i="10" s="1"/>
  <c r="BU246" i="10" s="1"/>
  <c r="BW246" i="10" s="1"/>
  <c r="BO186" i="10"/>
  <c r="BP186" i="10" s="1"/>
  <c r="BQ186" i="10" s="1"/>
  <c r="BS186" i="10" s="1"/>
  <c r="BT186" i="10" s="1"/>
  <c r="BU186" i="10" s="1"/>
  <c r="BV186" i="10" s="1"/>
  <c r="BO172" i="10"/>
  <c r="BP172" i="10" s="1"/>
  <c r="BQ172" i="10" s="1"/>
  <c r="BS172" i="10" s="1"/>
  <c r="BT172" i="10" s="1"/>
  <c r="BU172" i="10" s="1"/>
  <c r="BV172" i="10" s="1"/>
  <c r="BO198" i="10"/>
  <c r="BP198" i="10" s="1"/>
  <c r="BQ198" i="10" s="1"/>
  <c r="BS198" i="10" s="1"/>
  <c r="BT198" i="10" s="1"/>
  <c r="BU198" i="10" s="1"/>
  <c r="BW198" i="10" s="1"/>
  <c r="H192" i="12" s="1"/>
  <c r="J192" i="12" s="1"/>
  <c r="N192" i="12" s="1"/>
  <c r="T192" i="12" s="1"/>
  <c r="BO191" i="10"/>
  <c r="BP191" i="10" s="1"/>
  <c r="BQ191" i="10" s="1"/>
  <c r="BS191" i="10" s="1"/>
  <c r="BT191" i="10" s="1"/>
  <c r="BU191" i="10" s="1"/>
  <c r="BV191" i="10" s="1"/>
  <c r="BO239" i="10"/>
  <c r="BP239" i="10" s="1"/>
  <c r="BQ239" i="10" s="1"/>
  <c r="BS239" i="10" s="1"/>
  <c r="BT239" i="10" s="1"/>
  <c r="BU239" i="10" s="1"/>
  <c r="BW239" i="10" s="1"/>
  <c r="H233" i="12" s="1"/>
  <c r="J233" i="12" s="1"/>
  <c r="N233" i="12" s="1"/>
  <c r="T233" i="12" s="1"/>
  <c r="BO219" i="10"/>
  <c r="BP219" i="10" s="1"/>
  <c r="BQ219" i="10" s="1"/>
  <c r="BS219" i="10" s="1"/>
  <c r="BT219" i="10" s="1"/>
  <c r="BU219" i="10" s="1"/>
  <c r="BW219" i="10" s="1"/>
  <c r="H213" i="12" s="1"/>
  <c r="J213" i="12" s="1"/>
  <c r="N213" i="12" s="1"/>
  <c r="T213" i="12" s="1"/>
  <c r="BO247" i="10"/>
  <c r="BP247" i="10" s="1"/>
  <c r="BQ247" i="10" s="1"/>
  <c r="BS247" i="10" s="1"/>
  <c r="BT247" i="10" s="1"/>
  <c r="BU247" i="10" s="1"/>
  <c r="BW247" i="10" s="1"/>
  <c r="H241" i="12" s="1"/>
  <c r="J241" i="12" s="1"/>
  <c r="N241" i="12" s="1"/>
  <c r="T241" i="12" s="1"/>
  <c r="BO254" i="10"/>
  <c r="BP254" i="10" s="1"/>
  <c r="BQ254" i="10" s="1"/>
  <c r="BS254" i="10" s="1"/>
  <c r="BT254" i="10" s="1"/>
  <c r="BU254" i="10" s="1"/>
  <c r="BW254" i="10" s="1"/>
  <c r="BO237" i="10"/>
  <c r="BP237" i="10" s="1"/>
  <c r="BQ237" i="10" s="1"/>
  <c r="BS237" i="10" s="1"/>
  <c r="BT237" i="10" s="1"/>
  <c r="BU237" i="10" s="1"/>
  <c r="BW237" i="10" s="1"/>
  <c r="H231" i="12" s="1"/>
  <c r="J231" i="12" s="1"/>
  <c r="N231" i="12" s="1"/>
  <c r="T231" i="12" s="1"/>
  <c r="BO235" i="10"/>
  <c r="BP235" i="10" s="1"/>
  <c r="BQ235" i="10" s="1"/>
  <c r="BS235" i="10" s="1"/>
  <c r="BT235" i="10" s="1"/>
  <c r="BU235" i="10" s="1"/>
  <c r="BV235" i="10" s="1"/>
  <c r="BO233" i="10"/>
  <c r="BP233" i="10" s="1"/>
  <c r="BQ233" i="10" s="1"/>
  <c r="BS233" i="10" s="1"/>
  <c r="BT233" i="10" s="1"/>
  <c r="BU233" i="10" s="1"/>
  <c r="BW233" i="10" s="1"/>
  <c r="H227" i="12" s="1"/>
  <c r="J227" i="12" s="1"/>
  <c r="N227" i="12" s="1"/>
  <c r="T227" i="12" s="1"/>
  <c r="BO179" i="10"/>
  <c r="BP179" i="10" s="1"/>
  <c r="BQ179" i="10" s="1"/>
  <c r="BS179" i="10" s="1"/>
  <c r="BT179" i="10" s="1"/>
  <c r="BU179" i="10" s="1"/>
  <c r="BV179" i="10" s="1"/>
  <c r="BO242" i="10"/>
  <c r="BP242" i="10" s="1"/>
  <c r="BQ242" i="10" s="1"/>
  <c r="BS242" i="10" s="1"/>
  <c r="BT242" i="10" s="1"/>
  <c r="BU242" i="10" s="1"/>
  <c r="BW242" i="10" s="1"/>
  <c r="H236" i="12" s="1"/>
  <c r="J236" i="12" s="1"/>
  <c r="N236" i="12" s="1"/>
  <c r="T236" i="12" s="1"/>
  <c r="BO193" i="10"/>
  <c r="BP193" i="10" s="1"/>
  <c r="BQ193" i="10" s="1"/>
  <c r="BS193" i="10" s="1"/>
  <c r="BT193" i="10" s="1"/>
  <c r="BU193" i="10" s="1"/>
  <c r="BV193" i="10" s="1"/>
  <c r="BO165" i="10"/>
  <c r="BP165" i="10" s="1"/>
  <c r="BQ165" i="10" s="1"/>
  <c r="BS165" i="10" s="1"/>
  <c r="BT165" i="10" s="1"/>
  <c r="BU165" i="10" s="1"/>
  <c r="BV165" i="10" s="1"/>
  <c r="BO194" i="10"/>
  <c r="BP194" i="10" s="1"/>
  <c r="BQ194" i="10" s="1"/>
  <c r="BS194" i="10" s="1"/>
  <c r="BT194" i="10" s="1"/>
  <c r="BU194" i="10" s="1"/>
  <c r="BW194" i="10" s="1"/>
  <c r="H188" i="12" s="1"/>
  <c r="J188" i="12" s="1"/>
  <c r="N188" i="12" s="1"/>
  <c r="T188" i="12" s="1"/>
  <c r="BO226" i="10"/>
  <c r="BP226" i="10" s="1"/>
  <c r="BQ226" i="10" s="1"/>
  <c r="BS226" i="10" s="1"/>
  <c r="BT226" i="10" s="1"/>
  <c r="BU226" i="10" s="1"/>
  <c r="BW226" i="10" s="1"/>
  <c r="BO204" i="10"/>
  <c r="BP204" i="10" s="1"/>
  <c r="BQ204" i="10" s="1"/>
  <c r="BS204" i="10" s="1"/>
  <c r="BT204" i="10" s="1"/>
  <c r="BU204" i="10" s="1"/>
  <c r="BV204" i="10" s="1"/>
  <c r="BO232" i="10"/>
  <c r="BP232" i="10" s="1"/>
  <c r="BQ232" i="10" s="1"/>
  <c r="BS232" i="10" s="1"/>
  <c r="BT232" i="10" s="1"/>
  <c r="BU232" i="10" s="1"/>
  <c r="BV232" i="10" s="1"/>
  <c r="BO188" i="10"/>
  <c r="BP188" i="10" s="1"/>
  <c r="BQ188" i="10" s="1"/>
  <c r="BS188" i="10" s="1"/>
  <c r="BT188" i="10" s="1"/>
  <c r="BU188" i="10" s="1"/>
  <c r="BW188" i="10" s="1"/>
  <c r="H182" i="12" s="1"/>
  <c r="J182" i="12" s="1"/>
  <c r="N182" i="12" s="1"/>
  <c r="T182" i="12" s="1"/>
  <c r="BO241" i="10"/>
  <c r="BP241" i="10" s="1"/>
  <c r="BQ241" i="10" s="1"/>
  <c r="BS241" i="10" s="1"/>
  <c r="BT241" i="10" s="1"/>
  <c r="BU241" i="10" s="1"/>
  <c r="BW241" i="10" s="1"/>
  <c r="BO160" i="10"/>
  <c r="BP160" i="10" s="1"/>
  <c r="BQ160" i="10" s="1"/>
  <c r="BS160" i="10" s="1"/>
  <c r="BT160" i="10" s="1"/>
  <c r="BU160" i="10" s="1"/>
  <c r="BV160" i="10" s="1"/>
  <c r="BO221" i="10"/>
  <c r="BP221" i="10" s="1"/>
  <c r="BQ221" i="10" s="1"/>
  <c r="BS221" i="10" s="1"/>
  <c r="BT221" i="10" s="1"/>
  <c r="BU221" i="10" s="1"/>
  <c r="BV221" i="10" s="1"/>
  <c r="BO97" i="9"/>
  <c r="BP97" i="9" s="1"/>
  <c r="BQ97" i="9" s="1"/>
  <c r="BS97" i="9" s="1"/>
  <c r="BT97" i="9" s="1"/>
  <c r="BU97" i="9" s="1"/>
  <c r="BV97" i="9" s="1"/>
  <c r="BO120" i="9"/>
  <c r="BP120" i="9" s="1"/>
  <c r="BQ120" i="9" s="1"/>
  <c r="BS120" i="9" s="1"/>
  <c r="BT120" i="9" s="1"/>
  <c r="BU120" i="9" s="1"/>
  <c r="BO70" i="9"/>
  <c r="BP70" i="9" s="1"/>
  <c r="BQ70" i="9" s="1"/>
  <c r="BS70" i="9" s="1"/>
  <c r="BT70" i="9" s="1"/>
  <c r="BU70" i="9" s="1"/>
  <c r="BO79" i="9"/>
  <c r="BP79" i="9" s="1"/>
  <c r="BQ79" i="9" s="1"/>
  <c r="BS79" i="9" s="1"/>
  <c r="BT79" i="9" s="1"/>
  <c r="BU79" i="9" s="1"/>
  <c r="CA79" i="9" s="1"/>
  <c r="BO80" i="9"/>
  <c r="BP80" i="9" s="1"/>
  <c r="BQ80" i="9" s="1"/>
  <c r="BS80" i="9" s="1"/>
  <c r="BT80" i="9" s="1"/>
  <c r="BU80" i="9" s="1"/>
  <c r="BX80" i="9" s="1"/>
  <c r="BO131" i="9"/>
  <c r="BP131" i="9" s="1"/>
  <c r="BQ131" i="9" s="1"/>
  <c r="BS131" i="9" s="1"/>
  <c r="BT131" i="9" s="1"/>
  <c r="BU131" i="9" s="1"/>
  <c r="BW131" i="9" s="1"/>
  <c r="BO116" i="9"/>
  <c r="BP116" i="9" s="1"/>
  <c r="BQ116" i="9" s="1"/>
  <c r="BS116" i="9" s="1"/>
  <c r="BT116" i="9" s="1"/>
  <c r="BU116" i="9" s="1"/>
  <c r="BX116" i="9" s="1"/>
  <c r="BO130" i="9"/>
  <c r="BP130" i="9" s="1"/>
  <c r="BQ130" i="9" s="1"/>
  <c r="BS130" i="9" s="1"/>
  <c r="BT130" i="9" s="1"/>
  <c r="BU130" i="9" s="1"/>
  <c r="CA130" i="9" s="1"/>
  <c r="BO126" i="9"/>
  <c r="BP126" i="9" s="1"/>
  <c r="BQ126" i="9" s="1"/>
  <c r="BS126" i="9" s="1"/>
  <c r="BT126" i="9" s="1"/>
  <c r="BU126" i="9" s="1"/>
  <c r="BV126" i="9" s="1"/>
  <c r="BO87" i="9"/>
  <c r="BP87" i="9" s="1"/>
  <c r="BQ87" i="9" s="1"/>
  <c r="BS87" i="9" s="1"/>
  <c r="BT87" i="9" s="1"/>
  <c r="BU87" i="9" s="1"/>
  <c r="BO67" i="9"/>
  <c r="BP67" i="9" s="1"/>
  <c r="BQ67" i="9" s="1"/>
  <c r="BS67" i="9" s="1"/>
  <c r="BT67" i="9" s="1"/>
  <c r="BU67" i="9" s="1"/>
  <c r="BW67" i="9" s="1"/>
  <c r="BO46" i="9"/>
  <c r="BP46" i="9" s="1"/>
  <c r="BQ46" i="9" s="1"/>
  <c r="BS46" i="9" s="1"/>
  <c r="BT46" i="9" s="1"/>
  <c r="BU46" i="9" s="1"/>
  <c r="CA46" i="9" s="1"/>
  <c r="H45" i="11" s="1"/>
  <c r="J45" i="11" s="1"/>
  <c r="N45" i="11" s="1"/>
  <c r="T45" i="11" s="1"/>
  <c r="BO50" i="9"/>
  <c r="BP50" i="9" s="1"/>
  <c r="BQ50" i="9" s="1"/>
  <c r="BS50" i="9" s="1"/>
  <c r="BT50" i="9" s="1"/>
  <c r="BU50" i="9" s="1"/>
  <c r="CA50" i="9" s="1"/>
  <c r="H49" i="11" s="1"/>
  <c r="J49" i="11" s="1"/>
  <c r="N49" i="11" s="1"/>
  <c r="T49" i="11" s="1"/>
  <c r="BO113" i="9"/>
  <c r="BP113" i="9" s="1"/>
  <c r="BQ113" i="9" s="1"/>
  <c r="BS113" i="9" s="1"/>
  <c r="BT113" i="9" s="1"/>
  <c r="BU113" i="9" s="1"/>
  <c r="BW113" i="9" s="1"/>
  <c r="BO89" i="9"/>
  <c r="BP89" i="9" s="1"/>
  <c r="BQ89" i="9" s="1"/>
  <c r="BS89" i="9" s="1"/>
  <c r="BT89" i="9" s="1"/>
  <c r="BU89" i="9" s="1"/>
  <c r="BX89" i="9" s="1"/>
  <c r="BO60" i="9"/>
  <c r="BP60" i="9" s="1"/>
  <c r="BQ60" i="9" s="1"/>
  <c r="BS60" i="9" s="1"/>
  <c r="BT60" i="9" s="1"/>
  <c r="BU60" i="9" s="1"/>
  <c r="BV60" i="9" s="1"/>
  <c r="BO92" i="9"/>
  <c r="BP92" i="9" s="1"/>
  <c r="BQ92" i="9" s="1"/>
  <c r="BS92" i="9" s="1"/>
  <c r="BT92" i="9" s="1"/>
  <c r="BU92" i="9" s="1"/>
  <c r="BW92" i="9" s="1"/>
  <c r="BO88" i="9"/>
  <c r="BP88" i="9" s="1"/>
  <c r="BQ88" i="9" s="1"/>
  <c r="BS88" i="9" s="1"/>
  <c r="BT88" i="9" s="1"/>
  <c r="BU88" i="9" s="1"/>
  <c r="BV88" i="9" s="1"/>
  <c r="BO101" i="9"/>
  <c r="BP101" i="9" s="1"/>
  <c r="BQ101" i="9" s="1"/>
  <c r="BS101" i="9" s="1"/>
  <c r="BT101" i="9" s="1"/>
  <c r="BU101" i="9" s="1"/>
  <c r="BO74" i="9"/>
  <c r="BP74" i="9" s="1"/>
  <c r="BQ74" i="9" s="1"/>
  <c r="BS74" i="9" s="1"/>
  <c r="BT74" i="9" s="1"/>
  <c r="BU74" i="9" s="1"/>
  <c r="BV74" i="9" s="1"/>
  <c r="BO59" i="9"/>
  <c r="BP59" i="9" s="1"/>
  <c r="BQ59" i="9" s="1"/>
  <c r="BS59" i="9" s="1"/>
  <c r="BT59" i="9" s="1"/>
  <c r="BU59" i="9" s="1"/>
  <c r="BW59" i="9" s="1"/>
  <c r="BO106" i="9"/>
  <c r="BP106" i="9" s="1"/>
  <c r="BQ106" i="9" s="1"/>
  <c r="BS106" i="9" s="1"/>
  <c r="BT106" i="9" s="1"/>
  <c r="BU106" i="9" s="1"/>
  <c r="BX106" i="9" s="1"/>
  <c r="BO145" i="9"/>
  <c r="BP145" i="9" s="1"/>
  <c r="BQ145" i="9" s="1"/>
  <c r="BS145" i="9" s="1"/>
  <c r="BT145" i="9" s="1"/>
  <c r="BU145" i="9" s="1"/>
  <c r="CA145" i="9" s="1"/>
  <c r="BO150" i="9"/>
  <c r="BP150" i="9" s="1"/>
  <c r="BQ150" i="9" s="1"/>
  <c r="BS150" i="9" s="1"/>
  <c r="BT150" i="9" s="1"/>
  <c r="BU150" i="9" s="1"/>
  <c r="BW150" i="9" s="1"/>
  <c r="BO191" i="9"/>
  <c r="BP191" i="9" s="1"/>
  <c r="BQ191" i="9" s="1"/>
  <c r="BS191" i="9" s="1"/>
  <c r="BT191" i="9" s="1"/>
  <c r="BU191" i="9" s="1"/>
  <c r="BV191" i="9" s="1"/>
  <c r="BO228" i="9"/>
  <c r="BP228" i="9" s="1"/>
  <c r="BQ228" i="9" s="1"/>
  <c r="BS228" i="9" s="1"/>
  <c r="BT228" i="9" s="1"/>
  <c r="BU228" i="9" s="1"/>
  <c r="BW228" i="9" s="1"/>
  <c r="BO184" i="9"/>
  <c r="BP184" i="9" s="1"/>
  <c r="BQ184" i="9" s="1"/>
  <c r="BS184" i="9" s="1"/>
  <c r="BT184" i="9" s="1"/>
  <c r="BU184" i="9" s="1"/>
  <c r="CA184" i="9" s="1"/>
  <c r="H178" i="11" s="1"/>
  <c r="J178" i="11" s="1"/>
  <c r="N178" i="11" s="1"/>
  <c r="T178" i="11" s="1"/>
  <c r="BO218" i="9"/>
  <c r="BP218" i="9" s="1"/>
  <c r="BQ218" i="9" s="1"/>
  <c r="BS218" i="9" s="1"/>
  <c r="BT218" i="9" s="1"/>
  <c r="BU218" i="9" s="1"/>
  <c r="BV218" i="9" s="1"/>
  <c r="BO157" i="9"/>
  <c r="BP157" i="9" s="1"/>
  <c r="BQ157" i="9" s="1"/>
  <c r="BS157" i="9" s="1"/>
  <c r="BT157" i="9" s="1"/>
  <c r="BU157" i="9" s="1"/>
  <c r="BX157" i="9" s="1"/>
  <c r="BO222" i="9"/>
  <c r="BP222" i="9" s="1"/>
  <c r="BQ222" i="9" s="1"/>
  <c r="BS222" i="9" s="1"/>
  <c r="BT222" i="9" s="1"/>
  <c r="BU222" i="9" s="1"/>
  <c r="CA222" i="9" s="1"/>
  <c r="H216" i="11" s="1"/>
  <c r="J216" i="11" s="1"/>
  <c r="N216" i="11" s="1"/>
  <c r="T216" i="11" s="1"/>
  <c r="BO223" i="9"/>
  <c r="BP223" i="9" s="1"/>
  <c r="BQ223" i="9" s="1"/>
  <c r="BS223" i="9" s="1"/>
  <c r="BT223" i="9" s="1"/>
  <c r="BU223" i="9" s="1"/>
  <c r="BW223" i="9" s="1"/>
  <c r="BO238" i="9"/>
  <c r="BP238" i="9" s="1"/>
  <c r="BQ238" i="9" s="1"/>
  <c r="BS238" i="9" s="1"/>
  <c r="BT238" i="9" s="1"/>
  <c r="BU238" i="9" s="1"/>
  <c r="CA238" i="9" s="1"/>
  <c r="H232" i="11" s="1"/>
  <c r="J232" i="11" s="1"/>
  <c r="N232" i="11" s="1"/>
  <c r="T232" i="11" s="1"/>
  <c r="BO231" i="9"/>
  <c r="BP231" i="9" s="1"/>
  <c r="BQ231" i="9" s="1"/>
  <c r="BS231" i="9" s="1"/>
  <c r="BT231" i="9" s="1"/>
  <c r="BU231" i="9" s="1"/>
  <c r="BX231" i="9" s="1"/>
  <c r="BO227" i="9"/>
  <c r="BP227" i="9" s="1"/>
  <c r="BQ227" i="9" s="1"/>
  <c r="BS227" i="9" s="1"/>
  <c r="BT227" i="9" s="1"/>
  <c r="BU227" i="9" s="1"/>
  <c r="BW227" i="9" s="1"/>
  <c r="BO210" i="9"/>
  <c r="BP210" i="9" s="1"/>
  <c r="BQ210" i="9" s="1"/>
  <c r="BS210" i="9" s="1"/>
  <c r="BT210" i="9" s="1"/>
  <c r="BU210" i="9" s="1"/>
  <c r="CA210" i="9" s="1"/>
  <c r="BO196" i="9"/>
  <c r="BP196" i="9" s="1"/>
  <c r="BQ196" i="9" s="1"/>
  <c r="BS196" i="9" s="1"/>
  <c r="BT196" i="9" s="1"/>
  <c r="BU196" i="9" s="1"/>
  <c r="BV196" i="9" s="1"/>
  <c r="BO237" i="9"/>
  <c r="BP237" i="9" s="1"/>
  <c r="BQ237" i="9" s="1"/>
  <c r="BS237" i="9" s="1"/>
  <c r="BT237" i="9" s="1"/>
  <c r="BU237" i="9" s="1"/>
  <c r="BW237" i="9" s="1"/>
  <c r="BO206" i="9"/>
  <c r="BP206" i="9" s="1"/>
  <c r="BQ206" i="9" s="1"/>
  <c r="BS206" i="9" s="1"/>
  <c r="BT206" i="9" s="1"/>
  <c r="BU206" i="9" s="1"/>
  <c r="BV206" i="9" s="1"/>
  <c r="BO194" i="9"/>
  <c r="BP194" i="9" s="1"/>
  <c r="BQ194" i="9" s="1"/>
  <c r="BS194" i="9" s="1"/>
  <c r="BT194" i="9" s="1"/>
  <c r="BU194" i="9" s="1"/>
  <c r="BW194" i="9" s="1"/>
  <c r="BO229" i="9"/>
  <c r="BP229" i="9" s="1"/>
  <c r="BQ229" i="9" s="1"/>
  <c r="BS229" i="9" s="1"/>
  <c r="BT229" i="9" s="1"/>
  <c r="BU229" i="9" s="1"/>
  <c r="BX229" i="9" s="1"/>
  <c r="BO199" i="9"/>
  <c r="BP199" i="9" s="1"/>
  <c r="BQ199" i="9" s="1"/>
  <c r="BS199" i="9" s="1"/>
  <c r="BT199" i="9" s="1"/>
  <c r="BU199" i="9" s="1"/>
  <c r="BX199" i="9" s="1"/>
  <c r="BO166" i="9"/>
  <c r="BP166" i="9" s="1"/>
  <c r="BQ166" i="9" s="1"/>
  <c r="BS166" i="9" s="1"/>
  <c r="BT166" i="9" s="1"/>
  <c r="BU166" i="9" s="1"/>
  <c r="BO195" i="9"/>
  <c r="BP195" i="9" s="1"/>
  <c r="BQ195" i="9" s="1"/>
  <c r="BS195" i="9" s="1"/>
  <c r="BT195" i="9" s="1"/>
  <c r="BU195" i="9" s="1"/>
  <c r="BV195" i="9" s="1"/>
  <c r="BO149" i="9"/>
  <c r="BP149" i="9" s="1"/>
  <c r="BQ149" i="9" s="1"/>
  <c r="BS149" i="9" s="1"/>
  <c r="BT149" i="9" s="1"/>
  <c r="BU149" i="9" s="1"/>
  <c r="BV149" i="9" s="1"/>
  <c r="BO140" i="9"/>
  <c r="BP140" i="9" s="1"/>
  <c r="BQ140" i="9" s="1"/>
  <c r="BS140" i="9" s="1"/>
  <c r="BT140" i="9" s="1"/>
  <c r="BU140" i="9" s="1"/>
  <c r="CA140" i="9" s="1"/>
  <c r="BO49" i="9"/>
  <c r="BP49" i="9" s="1"/>
  <c r="BQ49" i="9" s="1"/>
  <c r="BS49" i="9" s="1"/>
  <c r="BT49" i="9" s="1"/>
  <c r="BU49" i="9" s="1"/>
  <c r="BV49" i="9" s="1"/>
  <c r="BO41" i="9"/>
  <c r="BP41" i="9" s="1"/>
  <c r="BQ41" i="9" s="1"/>
  <c r="BS41" i="9" s="1"/>
  <c r="BT41" i="9" s="1"/>
  <c r="BU41" i="9" s="1"/>
  <c r="BX41" i="9" s="1"/>
  <c r="BO47" i="9"/>
  <c r="BP47" i="9" s="1"/>
  <c r="BQ47" i="9" s="1"/>
  <c r="BS47" i="9" s="1"/>
  <c r="BT47" i="9" s="1"/>
  <c r="BU47" i="9" s="1"/>
  <c r="CA47" i="9" s="1"/>
  <c r="H46" i="11" s="1"/>
  <c r="J46" i="11" s="1"/>
  <c r="N46" i="11" s="1"/>
  <c r="T46" i="11" s="1"/>
  <c r="BO44" i="9"/>
  <c r="BP44" i="9" s="1"/>
  <c r="BQ44" i="9" s="1"/>
  <c r="BS44" i="9" s="1"/>
  <c r="BT44" i="9" s="1"/>
  <c r="BU44" i="9" s="1"/>
  <c r="BW44" i="9" s="1"/>
  <c r="BO42" i="9"/>
  <c r="BP42" i="9" s="1"/>
  <c r="BQ42" i="9" s="1"/>
  <c r="BS42" i="9" s="1"/>
  <c r="BT42" i="9" s="1"/>
  <c r="BU42" i="9" s="1"/>
  <c r="BV42" i="9" s="1"/>
  <c r="BO76" i="9"/>
  <c r="BP76" i="9" s="1"/>
  <c r="BQ76" i="9" s="1"/>
  <c r="BS76" i="9" s="1"/>
  <c r="BT76" i="9" s="1"/>
  <c r="BU76" i="9" s="1"/>
  <c r="BO108" i="9"/>
  <c r="BP108" i="9" s="1"/>
  <c r="BQ108" i="9" s="1"/>
  <c r="BS108" i="9" s="1"/>
  <c r="BT108" i="9" s="1"/>
  <c r="BU108" i="9" s="1"/>
  <c r="BV108" i="9" s="1"/>
  <c r="BO94" i="9"/>
  <c r="BP94" i="9" s="1"/>
  <c r="BQ94" i="9" s="1"/>
  <c r="BS94" i="9" s="1"/>
  <c r="BT94" i="9" s="1"/>
  <c r="BU94" i="9" s="1"/>
  <c r="BW94" i="9" s="1"/>
  <c r="BO54" i="9"/>
  <c r="BP54" i="9" s="1"/>
  <c r="BQ54" i="9" s="1"/>
  <c r="BS54" i="9" s="1"/>
  <c r="BT54" i="9" s="1"/>
  <c r="BU54" i="9" s="1"/>
  <c r="CA54" i="9" s="1"/>
  <c r="BO82" i="9"/>
  <c r="BP82" i="9" s="1"/>
  <c r="BQ82" i="9" s="1"/>
  <c r="BS82" i="9" s="1"/>
  <c r="BT82" i="9" s="1"/>
  <c r="BU82" i="9" s="1"/>
  <c r="BW82" i="9" s="1"/>
  <c r="BO109" i="9"/>
  <c r="BP109" i="9" s="1"/>
  <c r="BQ109" i="9" s="1"/>
  <c r="BS109" i="9" s="1"/>
  <c r="BT109" i="9" s="1"/>
  <c r="BU109" i="9" s="1"/>
  <c r="CA109" i="9" s="1"/>
  <c r="BO68" i="9"/>
  <c r="BP68" i="9" s="1"/>
  <c r="BQ68" i="9" s="1"/>
  <c r="BS68" i="9" s="1"/>
  <c r="BT68" i="9" s="1"/>
  <c r="BU68" i="9" s="1"/>
  <c r="CA68" i="9" s="1"/>
  <c r="H67" i="11" s="1"/>
  <c r="J67" i="11" s="1"/>
  <c r="N67" i="11" s="1"/>
  <c r="T67" i="11" s="1"/>
  <c r="BO37" i="9"/>
  <c r="BP37" i="9" s="1"/>
  <c r="BQ37" i="9" s="1"/>
  <c r="BS37" i="9" s="1"/>
  <c r="BT37" i="9" s="1"/>
  <c r="BU37" i="9" s="1"/>
  <c r="CA37" i="9" s="1"/>
  <c r="H36" i="11" s="1"/>
  <c r="J36" i="11" s="1"/>
  <c r="N36" i="11" s="1"/>
  <c r="T36" i="11" s="1"/>
  <c r="BO117" i="9"/>
  <c r="BP117" i="9" s="1"/>
  <c r="BQ117" i="9" s="1"/>
  <c r="BS117" i="9" s="1"/>
  <c r="BT117" i="9" s="1"/>
  <c r="BU117" i="9" s="1"/>
  <c r="BO52" i="9"/>
  <c r="BP52" i="9" s="1"/>
  <c r="BQ52" i="9" s="1"/>
  <c r="BS52" i="9" s="1"/>
  <c r="BT52" i="9" s="1"/>
  <c r="BU52" i="9" s="1"/>
  <c r="BV52" i="9" s="1"/>
  <c r="BO72" i="9"/>
  <c r="BP72" i="9" s="1"/>
  <c r="BQ72" i="9" s="1"/>
  <c r="BS72" i="9" s="1"/>
  <c r="BT72" i="9" s="1"/>
  <c r="BU72" i="9" s="1"/>
  <c r="BX72" i="9" s="1"/>
  <c r="BO133" i="9"/>
  <c r="BP133" i="9" s="1"/>
  <c r="BQ133" i="9" s="1"/>
  <c r="BS133" i="9" s="1"/>
  <c r="BT133" i="9" s="1"/>
  <c r="BU133" i="9" s="1"/>
  <c r="BV133" i="9" s="1"/>
  <c r="BO111" i="9"/>
  <c r="BP111" i="9" s="1"/>
  <c r="BQ111" i="9" s="1"/>
  <c r="BS111" i="9" s="1"/>
  <c r="BT111" i="9" s="1"/>
  <c r="BU111" i="9" s="1"/>
  <c r="BW111" i="9" s="1"/>
  <c r="BO123" i="9"/>
  <c r="BP123" i="9" s="1"/>
  <c r="BQ123" i="9" s="1"/>
  <c r="BS123" i="9" s="1"/>
  <c r="BT123" i="9" s="1"/>
  <c r="BU123" i="9" s="1"/>
  <c r="BV123" i="9" s="1"/>
  <c r="BO91" i="9"/>
  <c r="BP91" i="9" s="1"/>
  <c r="BQ91" i="9" s="1"/>
  <c r="BS91" i="9" s="1"/>
  <c r="BT91" i="9" s="1"/>
  <c r="BU91" i="9" s="1"/>
  <c r="CA91" i="9" s="1"/>
  <c r="H90" i="11" s="1"/>
  <c r="J90" i="11" s="1"/>
  <c r="N90" i="11" s="1"/>
  <c r="T90" i="11" s="1"/>
  <c r="BO85" i="9"/>
  <c r="BP85" i="9" s="1"/>
  <c r="BQ85" i="9" s="1"/>
  <c r="BS85" i="9" s="1"/>
  <c r="BT85" i="9" s="1"/>
  <c r="BU85" i="9" s="1"/>
  <c r="BV85" i="9" s="1"/>
  <c r="BO64" i="9"/>
  <c r="BP64" i="9" s="1"/>
  <c r="BQ64" i="9" s="1"/>
  <c r="BS64" i="9" s="1"/>
  <c r="BT64" i="9" s="1"/>
  <c r="BU64" i="9" s="1"/>
  <c r="BW64" i="9" s="1"/>
  <c r="BO119" i="9"/>
  <c r="BP119" i="9" s="1"/>
  <c r="BQ119" i="9" s="1"/>
  <c r="BS119" i="9" s="1"/>
  <c r="BT119" i="9" s="1"/>
  <c r="BU119" i="9" s="1"/>
  <c r="CA119" i="9" s="1"/>
  <c r="BO53" i="9"/>
  <c r="BP53" i="9" s="1"/>
  <c r="BQ53" i="9" s="1"/>
  <c r="BS53" i="9" s="1"/>
  <c r="BT53" i="9" s="1"/>
  <c r="BU53" i="9" s="1"/>
  <c r="BX53" i="9" s="1"/>
  <c r="BO90" i="9"/>
  <c r="BP90" i="9" s="1"/>
  <c r="BQ90" i="9" s="1"/>
  <c r="BS90" i="9" s="1"/>
  <c r="BT90" i="9" s="1"/>
  <c r="BU90" i="9" s="1"/>
  <c r="BW90" i="9" s="1"/>
  <c r="BO167" i="10"/>
  <c r="BP167" i="10" s="1"/>
  <c r="BQ167" i="10" s="1"/>
  <c r="BS167" i="10" s="1"/>
  <c r="BT167" i="10" s="1"/>
  <c r="BU167" i="10" s="1"/>
  <c r="BV167" i="10" s="1"/>
  <c r="BO199" i="10"/>
  <c r="BP199" i="10" s="1"/>
  <c r="BQ199" i="10" s="1"/>
  <c r="BS199" i="10" s="1"/>
  <c r="BT199" i="10" s="1"/>
  <c r="BU199" i="10" s="1"/>
  <c r="BV199" i="10" s="1"/>
  <c r="BO230" i="10"/>
  <c r="BP230" i="10" s="1"/>
  <c r="BQ230" i="10" s="1"/>
  <c r="BS230" i="10" s="1"/>
  <c r="BT230" i="10" s="1"/>
  <c r="BU230" i="10" s="1"/>
  <c r="BV230" i="10" s="1"/>
  <c r="BO207" i="10"/>
  <c r="BP207" i="10" s="1"/>
  <c r="BQ207" i="10" s="1"/>
  <c r="BS207" i="10" s="1"/>
  <c r="BT207" i="10" s="1"/>
  <c r="BU207" i="10" s="1"/>
  <c r="BV207" i="10" s="1"/>
  <c r="BO171" i="10"/>
  <c r="BP171" i="10" s="1"/>
  <c r="BQ171" i="10" s="1"/>
  <c r="BS171" i="10" s="1"/>
  <c r="BT171" i="10" s="1"/>
  <c r="BU171" i="10" s="1"/>
  <c r="BW171" i="10" s="1"/>
  <c r="BO135" i="10"/>
  <c r="BP135" i="10" s="1"/>
  <c r="BQ135" i="10" s="1"/>
  <c r="BS135" i="10" s="1"/>
  <c r="BT135" i="10" s="1"/>
  <c r="BU135" i="10" s="1"/>
  <c r="BV135" i="10" s="1"/>
  <c r="BO95" i="10"/>
  <c r="BP95" i="10" s="1"/>
  <c r="BQ95" i="10" s="1"/>
  <c r="BS95" i="10" s="1"/>
  <c r="BT95" i="10" s="1"/>
  <c r="BU95" i="10" s="1"/>
  <c r="BW95" i="10" s="1"/>
  <c r="H94" i="12" s="1"/>
  <c r="J94" i="12" s="1"/>
  <c r="N94" i="12" s="1"/>
  <c r="T94" i="12" s="1"/>
  <c r="BO36" i="10"/>
  <c r="BP36" i="10" s="1"/>
  <c r="BQ36" i="10" s="1"/>
  <c r="BS36" i="10" s="1"/>
  <c r="BT36" i="10" s="1"/>
  <c r="BU36" i="10" s="1"/>
  <c r="BW36" i="10" s="1"/>
  <c r="H35" i="12" s="1"/>
  <c r="J35" i="12" s="1"/>
  <c r="N35" i="12" s="1"/>
  <c r="T35" i="12" s="1"/>
  <c r="BO70" i="10"/>
  <c r="BP70" i="10" s="1"/>
  <c r="BQ70" i="10" s="1"/>
  <c r="BS70" i="10" s="1"/>
  <c r="BT70" i="10" s="1"/>
  <c r="BU70" i="10" s="1"/>
  <c r="BW70" i="10" s="1"/>
  <c r="H69" i="12" s="1"/>
  <c r="J69" i="12" s="1"/>
  <c r="N69" i="12" s="1"/>
  <c r="T69" i="12" s="1"/>
  <c r="BO43" i="10"/>
  <c r="BP43" i="10" s="1"/>
  <c r="BQ43" i="10" s="1"/>
  <c r="BS43" i="10" s="1"/>
  <c r="BT43" i="10" s="1"/>
  <c r="BU43" i="10" s="1"/>
  <c r="BV43" i="10" s="1"/>
  <c r="BO163" i="10"/>
  <c r="BP163" i="10" s="1"/>
  <c r="BQ163" i="10" s="1"/>
  <c r="BS163" i="10" s="1"/>
  <c r="BT163" i="10" s="1"/>
  <c r="BU163" i="10" s="1"/>
  <c r="BV163" i="10" s="1"/>
  <c r="BO170" i="10"/>
  <c r="BP170" i="10" s="1"/>
  <c r="BQ170" i="10" s="1"/>
  <c r="BS170" i="10" s="1"/>
  <c r="BT170" i="10" s="1"/>
  <c r="BU170" i="10" s="1"/>
  <c r="BV170" i="10" s="1"/>
  <c r="BO245" i="10"/>
  <c r="BP245" i="10" s="1"/>
  <c r="BQ245" i="10" s="1"/>
  <c r="BS245" i="10" s="1"/>
  <c r="BT245" i="10" s="1"/>
  <c r="BU245" i="10" s="1"/>
  <c r="BW245" i="10" s="1"/>
  <c r="H239" i="12" s="1"/>
  <c r="J239" i="12" s="1"/>
  <c r="N239" i="12" s="1"/>
  <c r="T239" i="12" s="1"/>
  <c r="BO157" i="10"/>
  <c r="BP157" i="10" s="1"/>
  <c r="BQ157" i="10" s="1"/>
  <c r="BS157" i="10" s="1"/>
  <c r="BT157" i="10" s="1"/>
  <c r="BU157" i="10" s="1"/>
  <c r="BW157" i="10" s="1"/>
  <c r="BO224" i="10"/>
  <c r="BP224" i="10" s="1"/>
  <c r="BQ224" i="10" s="1"/>
  <c r="BS224" i="10" s="1"/>
  <c r="BT224" i="10" s="1"/>
  <c r="BU224" i="10" s="1"/>
  <c r="BV224" i="10" s="1"/>
  <c r="BO166" i="10"/>
  <c r="BP166" i="10" s="1"/>
  <c r="BQ166" i="10" s="1"/>
  <c r="BS166" i="10" s="1"/>
  <c r="BT166" i="10" s="1"/>
  <c r="BU166" i="10" s="1"/>
  <c r="BV166" i="10" s="1"/>
  <c r="BO206" i="10"/>
  <c r="BP206" i="10" s="1"/>
  <c r="BQ206" i="10" s="1"/>
  <c r="BS206" i="10" s="1"/>
  <c r="BT206" i="10" s="1"/>
  <c r="BU206" i="10" s="1"/>
  <c r="BW206" i="10" s="1"/>
  <c r="BO208" i="10"/>
  <c r="BP208" i="10" s="1"/>
  <c r="BQ208" i="10" s="1"/>
  <c r="BS208" i="10" s="1"/>
  <c r="BT208" i="10" s="1"/>
  <c r="BU208" i="10" s="1"/>
  <c r="BV208" i="10" s="1"/>
  <c r="BO176" i="10"/>
  <c r="BP176" i="10" s="1"/>
  <c r="BQ176" i="10" s="1"/>
  <c r="BS176" i="10" s="1"/>
  <c r="BT176" i="10" s="1"/>
  <c r="BU176" i="10" s="1"/>
  <c r="BV176" i="10" s="1"/>
  <c r="BO161" i="10"/>
  <c r="BP161" i="10" s="1"/>
  <c r="BQ161" i="10" s="1"/>
  <c r="BS161" i="10" s="1"/>
  <c r="BT161" i="10" s="1"/>
  <c r="BU161" i="10" s="1"/>
  <c r="BV161" i="10" s="1"/>
  <c r="BO177" i="10"/>
  <c r="BP177" i="10" s="1"/>
  <c r="BQ177" i="10" s="1"/>
  <c r="BS177" i="10" s="1"/>
  <c r="BT177" i="10" s="1"/>
  <c r="BU177" i="10" s="1"/>
  <c r="BV177" i="10" s="1"/>
  <c r="BO248" i="10"/>
  <c r="BP248" i="10" s="1"/>
  <c r="BQ248" i="10" s="1"/>
  <c r="BS248" i="10" s="1"/>
  <c r="BT248" i="10" s="1"/>
  <c r="BU248" i="10" s="1"/>
  <c r="BW248" i="10" s="1"/>
  <c r="H242" i="12" s="1"/>
  <c r="J242" i="12" s="1"/>
  <c r="N242" i="12" s="1"/>
  <c r="T242" i="12" s="1"/>
  <c r="BV161" i="9"/>
  <c r="CA161" i="9"/>
  <c r="H155" i="11" s="1"/>
  <c r="J155" i="11" s="1"/>
  <c r="N155" i="11" s="1"/>
  <c r="T155" i="11" s="1"/>
  <c r="BX161" i="9"/>
  <c r="BW161" i="9"/>
  <c r="CA234" i="9"/>
  <c r="H228" i="11" s="1"/>
  <c r="J228" i="11" s="1"/>
  <c r="N228" i="11" s="1"/>
  <c r="T228" i="11" s="1"/>
  <c r="BW234" i="9"/>
  <c r="BV234" i="9"/>
  <c r="BX234" i="9"/>
  <c r="BX212" i="9"/>
  <c r="BV212" i="9"/>
  <c r="CA212" i="9"/>
  <c r="H206" i="11" s="1"/>
  <c r="J206" i="11" s="1"/>
  <c r="N206" i="11" s="1"/>
  <c r="T206" i="11" s="1"/>
  <c r="BW212" i="9"/>
  <c r="BW180" i="9"/>
  <c r="BV180" i="9"/>
  <c r="BX180" i="9"/>
  <c r="CA180" i="9"/>
  <c r="CA174" i="9"/>
  <c r="H168" i="11" s="1"/>
  <c r="J168" i="11" s="1"/>
  <c r="N168" i="11" s="1"/>
  <c r="T168" i="11" s="1"/>
  <c r="BV174" i="9"/>
  <c r="BW174" i="9"/>
  <c r="BX174" i="9"/>
  <c r="CA110" i="9"/>
  <c r="BV110" i="9"/>
  <c r="BW110" i="9"/>
  <c r="BX110" i="9"/>
  <c r="BW169" i="9"/>
  <c r="CA169" i="9"/>
  <c r="H163" i="11" s="1"/>
  <c r="J163" i="11" s="1"/>
  <c r="N163" i="11" s="1"/>
  <c r="T163" i="11" s="1"/>
  <c r="BW186" i="9"/>
  <c r="BX186" i="9"/>
  <c r="CA186" i="9"/>
  <c r="H180" i="11" s="1"/>
  <c r="J180" i="11" s="1"/>
  <c r="N180" i="11" s="1"/>
  <c r="T180" i="11" s="1"/>
  <c r="BV186" i="9"/>
  <c r="BV170" i="9"/>
  <c r="CA67" i="9"/>
  <c r="H66" i="11" s="1"/>
  <c r="J66" i="11" s="1"/>
  <c r="N66" i="11" s="1"/>
  <c r="T66" i="11" s="1"/>
  <c r="BX165" i="9"/>
  <c r="BW165" i="9"/>
  <c r="BV165" i="9"/>
  <c r="CA165" i="9"/>
  <c r="BV63" i="9"/>
  <c r="BX63" i="9"/>
  <c r="BV230" i="9"/>
  <c r="CA230" i="9"/>
  <c r="BW230" i="9"/>
  <c r="BX230" i="9"/>
  <c r="BV73" i="9"/>
  <c r="CA73" i="9"/>
  <c r="H72" i="11" s="1"/>
  <c r="J72" i="11" s="1"/>
  <c r="N72" i="11" s="1"/>
  <c r="T72" i="11" s="1"/>
  <c r="BX73" i="9"/>
  <c r="BW73" i="9"/>
  <c r="BV197" i="9"/>
  <c r="CA197" i="9"/>
  <c r="H191" i="11" s="1"/>
  <c r="J191" i="11" s="1"/>
  <c r="N191" i="11" s="1"/>
  <c r="T191" i="11" s="1"/>
  <c r="BX197" i="9"/>
  <c r="BW197" i="9"/>
  <c r="BO48" i="10"/>
  <c r="BP48" i="10" s="1"/>
  <c r="BQ48" i="10" s="1"/>
  <c r="BS48" i="10" s="1"/>
  <c r="BT48" i="10" s="1"/>
  <c r="BU48" i="10" s="1"/>
  <c r="BO129" i="10"/>
  <c r="BP129" i="10" s="1"/>
  <c r="BQ129" i="10" s="1"/>
  <c r="BS129" i="10" s="1"/>
  <c r="BT129" i="10" s="1"/>
  <c r="BU129" i="10" s="1"/>
  <c r="BO38" i="10"/>
  <c r="BP38" i="10" s="1"/>
  <c r="BQ38" i="10" s="1"/>
  <c r="BS38" i="10" s="1"/>
  <c r="BT38" i="10" s="1"/>
  <c r="BU38" i="10" s="1"/>
  <c r="BO137" i="10"/>
  <c r="BP137" i="10" s="1"/>
  <c r="BQ137" i="10" s="1"/>
  <c r="BS137" i="10" s="1"/>
  <c r="BT137" i="10" s="1"/>
  <c r="BU137" i="10" s="1"/>
  <c r="BO87" i="10"/>
  <c r="BP87" i="10" s="1"/>
  <c r="BQ87" i="10" s="1"/>
  <c r="BS87" i="10" s="1"/>
  <c r="BT87" i="10" s="1"/>
  <c r="BU87" i="10" s="1"/>
  <c r="BO111" i="10"/>
  <c r="BP111" i="10" s="1"/>
  <c r="BQ111" i="10" s="1"/>
  <c r="BS111" i="10" s="1"/>
  <c r="BT111" i="10" s="1"/>
  <c r="BU111" i="10" s="1"/>
  <c r="BO164" i="10"/>
  <c r="BP164" i="10" s="1"/>
  <c r="BQ164" i="10" s="1"/>
  <c r="BS164" i="10" s="1"/>
  <c r="BT164" i="10" s="1"/>
  <c r="BU164" i="10" s="1"/>
  <c r="BO31" i="10"/>
  <c r="BP31" i="10" s="1"/>
  <c r="BQ31" i="10" s="1"/>
  <c r="BS31" i="10" s="1"/>
  <c r="BT31" i="10" s="1"/>
  <c r="BU31" i="10" s="1"/>
  <c r="BV31" i="10" s="1"/>
  <c r="BO67" i="10"/>
  <c r="BP67" i="10" s="1"/>
  <c r="BQ67" i="10" s="1"/>
  <c r="BS67" i="10" s="1"/>
  <c r="BT67" i="10" s="1"/>
  <c r="BU67" i="10" s="1"/>
  <c r="BO101" i="10"/>
  <c r="BP101" i="10" s="1"/>
  <c r="BQ101" i="10" s="1"/>
  <c r="BS101" i="10" s="1"/>
  <c r="BT101" i="10" s="1"/>
  <c r="BU101" i="10" s="1"/>
  <c r="BO71" i="10"/>
  <c r="BP71" i="10" s="1"/>
  <c r="BQ71" i="10" s="1"/>
  <c r="BS71" i="10" s="1"/>
  <c r="BT71" i="10" s="1"/>
  <c r="BU71" i="10" s="1"/>
  <c r="BO126" i="10"/>
  <c r="BP126" i="10" s="1"/>
  <c r="BQ126" i="10" s="1"/>
  <c r="BS126" i="10" s="1"/>
  <c r="BT126" i="10" s="1"/>
  <c r="BU126" i="10" s="1"/>
  <c r="BO200" i="10"/>
  <c r="BP200" i="10" s="1"/>
  <c r="BQ200" i="10" s="1"/>
  <c r="BS200" i="10" s="1"/>
  <c r="BT200" i="10" s="1"/>
  <c r="BU200" i="10" s="1"/>
  <c r="BO106" i="10"/>
  <c r="BP106" i="10" s="1"/>
  <c r="BQ106" i="10" s="1"/>
  <c r="BS106" i="10" s="1"/>
  <c r="BT106" i="10" s="1"/>
  <c r="BU106" i="10" s="1"/>
  <c r="BO99" i="10"/>
  <c r="BP99" i="10" s="1"/>
  <c r="BQ99" i="10" s="1"/>
  <c r="BS99" i="10" s="1"/>
  <c r="BT99" i="10" s="1"/>
  <c r="BU99" i="10" s="1"/>
  <c r="BO49" i="10"/>
  <c r="BP49" i="10" s="1"/>
  <c r="BQ49" i="10" s="1"/>
  <c r="BS49" i="10" s="1"/>
  <c r="BT49" i="10" s="1"/>
  <c r="BU49" i="10" s="1"/>
  <c r="BO85" i="10"/>
  <c r="BP85" i="10" s="1"/>
  <c r="BQ85" i="10" s="1"/>
  <c r="BS85" i="10" s="1"/>
  <c r="BT85" i="10" s="1"/>
  <c r="BU85" i="10" s="1"/>
  <c r="BO228" i="10"/>
  <c r="BP228" i="10" s="1"/>
  <c r="BQ228" i="10" s="1"/>
  <c r="BS228" i="10" s="1"/>
  <c r="BT228" i="10" s="1"/>
  <c r="BU228" i="10" s="1"/>
  <c r="BO131" i="10"/>
  <c r="BP131" i="10" s="1"/>
  <c r="BQ131" i="10" s="1"/>
  <c r="BS131" i="10" s="1"/>
  <c r="BT131" i="10" s="1"/>
  <c r="BU131" i="10" s="1"/>
  <c r="BV243" i="10"/>
  <c r="BW243" i="10"/>
  <c r="H237" i="12" s="1"/>
  <c r="J237" i="12" s="1"/>
  <c r="N237" i="12" s="1"/>
  <c r="T237" i="12" s="1"/>
  <c r="BX86" i="9"/>
  <c r="CA86" i="9"/>
  <c r="H85" i="11" s="1"/>
  <c r="J85" i="11" s="1"/>
  <c r="N85" i="11" s="1"/>
  <c r="T85" i="11" s="1"/>
  <c r="BW86" i="9"/>
  <c r="BV86" i="9"/>
  <c r="BV224" i="9"/>
  <c r="BX224" i="9"/>
  <c r="CA224" i="9"/>
  <c r="H218" i="11" s="1"/>
  <c r="J218" i="11" s="1"/>
  <c r="N218" i="11" s="1"/>
  <c r="T218" i="11" s="1"/>
  <c r="BW224" i="9"/>
  <c r="CA118" i="9"/>
  <c r="H117" i="11" s="1"/>
  <c r="J117" i="11" s="1"/>
  <c r="N117" i="11" s="1"/>
  <c r="T117" i="11" s="1"/>
  <c r="BW118" i="9"/>
  <c r="BV118" i="9"/>
  <c r="BX118" i="9"/>
  <c r="BX112" i="9"/>
  <c r="BV112" i="9"/>
  <c r="CA112" i="9"/>
  <c r="H111" i="11" s="1"/>
  <c r="J111" i="11" s="1"/>
  <c r="N111" i="11" s="1"/>
  <c r="T111" i="11" s="1"/>
  <c r="BW112" i="9"/>
  <c r="BX48" i="9"/>
  <c r="BW48" i="9"/>
  <c r="BV48" i="9"/>
  <c r="CA48" i="9"/>
  <c r="BX151" i="9"/>
  <c r="BW151" i="9"/>
  <c r="BV151" i="9"/>
  <c r="CA151" i="9"/>
  <c r="H145" i="11" s="1"/>
  <c r="J145" i="11" s="1"/>
  <c r="N145" i="11" s="1"/>
  <c r="T145" i="11" s="1"/>
  <c r="BX75" i="9"/>
  <c r="BW75" i="9"/>
  <c r="BV75" i="9"/>
  <c r="CA75" i="9"/>
  <c r="BW35" i="9"/>
  <c r="BX35" i="9"/>
  <c r="BV35" i="9"/>
  <c r="CA35" i="9"/>
  <c r="H34" i="11" s="1"/>
  <c r="J34" i="11" s="1"/>
  <c r="N34" i="11" s="1"/>
  <c r="T34" i="11" s="1"/>
  <c r="BX172" i="9"/>
  <c r="BW172" i="9"/>
  <c r="CA172" i="9"/>
  <c r="H166" i="11" s="1"/>
  <c r="J166" i="11" s="1"/>
  <c r="N166" i="11" s="1"/>
  <c r="T166" i="11" s="1"/>
  <c r="BV172" i="9"/>
  <c r="BW233" i="9"/>
  <c r="BV233" i="9"/>
  <c r="CA233" i="9"/>
  <c r="H227" i="11" s="1"/>
  <c r="J227" i="11" s="1"/>
  <c r="N227" i="11" s="1"/>
  <c r="T227" i="11" s="1"/>
  <c r="BX233" i="9"/>
  <c r="BV40" i="9"/>
  <c r="BW40" i="9"/>
  <c r="BX40" i="9"/>
  <c r="CA40" i="9"/>
  <c r="H39" i="11" s="1"/>
  <c r="J39" i="11" s="1"/>
  <c r="N39" i="11" s="1"/>
  <c r="T39" i="11" s="1"/>
  <c r="BO71" i="9"/>
  <c r="BP71" i="9" s="1"/>
  <c r="BQ71" i="9" s="1"/>
  <c r="BS71" i="9" s="1"/>
  <c r="BT71" i="9" s="1"/>
  <c r="BU71" i="9" s="1"/>
  <c r="BO109" i="10"/>
  <c r="BP109" i="10" s="1"/>
  <c r="BQ109" i="10" s="1"/>
  <c r="BS109" i="10" s="1"/>
  <c r="BT109" i="10" s="1"/>
  <c r="BU109" i="10" s="1"/>
  <c r="BO110" i="10"/>
  <c r="BP110" i="10" s="1"/>
  <c r="BQ110" i="10" s="1"/>
  <c r="BS110" i="10" s="1"/>
  <c r="BT110" i="10" s="1"/>
  <c r="BU110" i="10" s="1"/>
  <c r="BO175" i="10"/>
  <c r="BP175" i="10" s="1"/>
  <c r="BQ175" i="10" s="1"/>
  <c r="BS175" i="10" s="1"/>
  <c r="BT175" i="10" s="1"/>
  <c r="BU175" i="10" s="1"/>
  <c r="BV209" i="10"/>
  <c r="BW209" i="10"/>
  <c r="H203" i="12" s="1"/>
  <c r="J203" i="12" s="1"/>
  <c r="N203" i="12" s="1"/>
  <c r="T203" i="12" s="1"/>
  <c r="BO121" i="10"/>
  <c r="BP121" i="10" s="1"/>
  <c r="BQ121" i="10" s="1"/>
  <c r="BS121" i="10" s="1"/>
  <c r="BT121" i="10" s="1"/>
  <c r="BU121" i="10" s="1"/>
  <c r="BO47" i="10"/>
  <c r="BP47" i="10" s="1"/>
  <c r="BQ47" i="10" s="1"/>
  <c r="BS47" i="10" s="1"/>
  <c r="BT47" i="10" s="1"/>
  <c r="BU47" i="10" s="1"/>
  <c r="BO78" i="10"/>
  <c r="BP78" i="10" s="1"/>
  <c r="BQ78" i="10" s="1"/>
  <c r="BS78" i="10" s="1"/>
  <c r="BT78" i="10" s="1"/>
  <c r="BU78" i="10" s="1"/>
  <c r="BO77" i="10"/>
  <c r="BP77" i="10" s="1"/>
  <c r="BQ77" i="10" s="1"/>
  <c r="BS77" i="10" s="1"/>
  <c r="BT77" i="10" s="1"/>
  <c r="BU77" i="10" s="1"/>
  <c r="BO112" i="10"/>
  <c r="BP112" i="10" s="1"/>
  <c r="BQ112" i="10" s="1"/>
  <c r="BS112" i="10" s="1"/>
  <c r="BT112" i="10" s="1"/>
  <c r="BU112" i="10" s="1"/>
  <c r="BO148" i="10"/>
  <c r="BP148" i="10" s="1"/>
  <c r="BQ148" i="10" s="1"/>
  <c r="BS148" i="10" s="1"/>
  <c r="BT148" i="10" s="1"/>
  <c r="BU148" i="10" s="1"/>
  <c r="BO46" i="10"/>
  <c r="BP46" i="10" s="1"/>
  <c r="BQ46" i="10" s="1"/>
  <c r="BS46" i="10" s="1"/>
  <c r="BT46" i="10" s="1"/>
  <c r="BU46" i="10" s="1"/>
  <c r="BO122" i="10"/>
  <c r="BP122" i="10" s="1"/>
  <c r="BQ122" i="10" s="1"/>
  <c r="BS122" i="10" s="1"/>
  <c r="BT122" i="10" s="1"/>
  <c r="BU122" i="10" s="1"/>
  <c r="BO58" i="10"/>
  <c r="BP58" i="10" s="1"/>
  <c r="BQ58" i="10" s="1"/>
  <c r="BS58" i="10" s="1"/>
  <c r="BT58" i="10" s="1"/>
  <c r="BU58" i="10" s="1"/>
  <c r="BO124" i="10"/>
  <c r="BP124" i="10" s="1"/>
  <c r="BQ124" i="10" s="1"/>
  <c r="BS124" i="10" s="1"/>
  <c r="BT124" i="10" s="1"/>
  <c r="BU124" i="10" s="1"/>
  <c r="BW215" i="10"/>
  <c r="H209" i="12" s="1"/>
  <c r="J209" i="12" s="1"/>
  <c r="N209" i="12" s="1"/>
  <c r="T209" i="12" s="1"/>
  <c r="BV215" i="10"/>
  <c r="BO40" i="10"/>
  <c r="BP40" i="10" s="1"/>
  <c r="BQ40" i="10" s="1"/>
  <c r="BS40" i="10" s="1"/>
  <c r="BT40" i="10" s="1"/>
  <c r="BU40" i="10" s="1"/>
  <c r="BO139" i="10"/>
  <c r="BP139" i="10" s="1"/>
  <c r="BQ139" i="10" s="1"/>
  <c r="BS139" i="10" s="1"/>
  <c r="BT139" i="10" s="1"/>
  <c r="BU139" i="10" s="1"/>
  <c r="BO62" i="10"/>
  <c r="BP62" i="10" s="1"/>
  <c r="BQ62" i="10" s="1"/>
  <c r="BS62" i="10" s="1"/>
  <c r="BT62" i="10" s="1"/>
  <c r="BU62" i="10" s="1"/>
  <c r="BO138" i="10"/>
  <c r="BP138" i="10" s="1"/>
  <c r="BQ138" i="10" s="1"/>
  <c r="BS138" i="10" s="1"/>
  <c r="BT138" i="10" s="1"/>
  <c r="BU138" i="10" s="1"/>
  <c r="BX34" i="9"/>
  <c r="BV34" i="9"/>
  <c r="CA34" i="9"/>
  <c r="BW34" i="9"/>
  <c r="CA132" i="9"/>
  <c r="J131" i="11" s="1"/>
  <c r="BX132" i="9"/>
  <c r="BV132" i="9"/>
  <c r="BW132" i="9"/>
  <c r="BW200" i="9"/>
  <c r="BV200" i="9"/>
  <c r="BX200" i="9"/>
  <c r="CA200" i="9"/>
  <c r="BW239" i="9"/>
  <c r="BX239" i="9"/>
  <c r="BV239" i="9"/>
  <c r="CA239" i="9"/>
  <c r="H233" i="11" s="1"/>
  <c r="J233" i="11" s="1"/>
  <c r="N233" i="11" s="1"/>
  <c r="T233" i="11" s="1"/>
  <c r="CA163" i="9"/>
  <c r="H157" i="11" s="1"/>
  <c r="J157" i="11" s="1"/>
  <c r="N157" i="11" s="1"/>
  <c r="T157" i="11" s="1"/>
  <c r="BX163" i="9"/>
  <c r="BW163" i="9"/>
  <c r="BV163" i="9"/>
  <c r="BV95" i="9"/>
  <c r="BW179" i="9"/>
  <c r="CA179" i="9"/>
  <c r="H173" i="11" s="1"/>
  <c r="J173" i="11" s="1"/>
  <c r="N173" i="11" s="1"/>
  <c r="T173" i="11" s="1"/>
  <c r="BX179" i="9"/>
  <c r="BV179" i="9"/>
  <c r="BV173" i="10"/>
  <c r="BW173" i="10"/>
  <c r="H167" i="12" s="1"/>
  <c r="J167" i="12" s="1"/>
  <c r="N167" i="12" s="1"/>
  <c r="T167" i="12" s="1"/>
  <c r="BO68" i="10"/>
  <c r="BP68" i="10" s="1"/>
  <c r="BQ68" i="10" s="1"/>
  <c r="BS68" i="10" s="1"/>
  <c r="BT68" i="10" s="1"/>
  <c r="BU68" i="10" s="1"/>
  <c r="BW174" i="10"/>
  <c r="H168" i="12" s="1"/>
  <c r="J168" i="12" s="1"/>
  <c r="N168" i="12" s="1"/>
  <c r="T168" i="12" s="1"/>
  <c r="BV174" i="10"/>
  <c r="BO127" i="10"/>
  <c r="BP127" i="10" s="1"/>
  <c r="BQ127" i="10" s="1"/>
  <c r="BS127" i="10" s="1"/>
  <c r="BT127" i="10" s="1"/>
  <c r="BU127" i="10" s="1"/>
  <c r="BW229" i="10"/>
  <c r="H223" i="12" s="1"/>
  <c r="J223" i="12" s="1"/>
  <c r="N223" i="12" s="1"/>
  <c r="T223" i="12" s="1"/>
  <c r="BV229" i="10"/>
  <c r="BO35" i="10"/>
  <c r="BP35" i="10" s="1"/>
  <c r="BQ35" i="10" s="1"/>
  <c r="BS35" i="10" s="1"/>
  <c r="BT35" i="10" s="1"/>
  <c r="BU35" i="10" s="1"/>
  <c r="BO39" i="10"/>
  <c r="BP39" i="10" s="1"/>
  <c r="BQ39" i="10" s="1"/>
  <c r="BS39" i="10" s="1"/>
  <c r="BT39" i="10" s="1"/>
  <c r="BU39" i="10" s="1"/>
  <c r="BO113" i="10"/>
  <c r="BP113" i="10" s="1"/>
  <c r="BQ113" i="10" s="1"/>
  <c r="BS113" i="10" s="1"/>
  <c r="BT113" i="10" s="1"/>
  <c r="BU113" i="10" s="1"/>
  <c r="BW236" i="10"/>
  <c r="BV236" i="10"/>
  <c r="BO141" i="10"/>
  <c r="BP141" i="10" s="1"/>
  <c r="BQ141" i="10" s="1"/>
  <c r="BS141" i="10" s="1"/>
  <c r="BT141" i="10" s="1"/>
  <c r="BU141" i="10" s="1"/>
  <c r="BO134" i="10"/>
  <c r="BP134" i="10" s="1"/>
  <c r="BQ134" i="10" s="1"/>
  <c r="BS134" i="10" s="1"/>
  <c r="BT134" i="10" s="1"/>
  <c r="BU134" i="10" s="1"/>
  <c r="BO123" i="10"/>
  <c r="BP123" i="10" s="1"/>
  <c r="BQ123" i="10" s="1"/>
  <c r="BS123" i="10" s="1"/>
  <c r="BT123" i="10" s="1"/>
  <c r="BU123" i="10" s="1"/>
  <c r="BO65" i="10"/>
  <c r="BP65" i="10" s="1"/>
  <c r="BQ65" i="10" s="1"/>
  <c r="BS65" i="10" s="1"/>
  <c r="BT65" i="10" s="1"/>
  <c r="BU65" i="10" s="1"/>
  <c r="BO104" i="10"/>
  <c r="BP104" i="10" s="1"/>
  <c r="BQ104" i="10" s="1"/>
  <c r="BS104" i="10" s="1"/>
  <c r="BT104" i="10" s="1"/>
  <c r="BU104" i="10" s="1"/>
  <c r="BV104" i="9"/>
  <c r="CA104" i="9"/>
  <c r="BX104" i="9"/>
  <c r="BW104" i="9"/>
  <c r="BV215" i="9"/>
  <c r="BW215" i="9"/>
  <c r="CA215" i="9"/>
  <c r="BX215" i="9"/>
  <c r="BW50" i="9"/>
  <c r="BV187" i="9"/>
  <c r="CA45" i="9"/>
  <c r="H44" i="11" s="1"/>
  <c r="J44" i="11" s="1"/>
  <c r="N44" i="11" s="1"/>
  <c r="T44" i="11" s="1"/>
  <c r="BW45" i="9"/>
  <c r="BX45" i="9"/>
  <c r="BV45" i="9"/>
  <c r="CA164" i="9"/>
  <c r="H158" i="11" s="1"/>
  <c r="J158" i="11" s="1"/>
  <c r="N158" i="11" s="1"/>
  <c r="T158" i="11" s="1"/>
  <c r="BV164" i="9"/>
  <c r="BX164" i="9"/>
  <c r="BW164" i="9"/>
  <c r="CA122" i="9"/>
  <c r="H121" i="11" s="1"/>
  <c r="J121" i="11" s="1"/>
  <c r="N121" i="11" s="1"/>
  <c r="T121" i="11" s="1"/>
  <c r="BW122" i="9"/>
  <c r="BV122" i="9"/>
  <c r="BX122" i="9"/>
  <c r="BW114" i="9"/>
  <c r="BV114" i="9"/>
  <c r="BX114" i="9"/>
  <c r="CA114" i="9"/>
  <c r="BW183" i="9"/>
  <c r="CA183" i="9"/>
  <c r="H177" i="11" s="1"/>
  <c r="J177" i="11" s="1"/>
  <c r="N177" i="11" s="1"/>
  <c r="T177" i="11" s="1"/>
  <c r="BV183" i="9"/>
  <c r="BX183" i="9"/>
  <c r="CA99" i="9"/>
  <c r="CA207" i="9"/>
  <c r="H201" i="11" s="1"/>
  <c r="J201" i="11" s="1"/>
  <c r="N201" i="11" s="1"/>
  <c r="T201" i="11" s="1"/>
  <c r="BX207" i="9"/>
  <c r="BW207" i="9"/>
  <c r="BV207" i="9"/>
  <c r="BX38" i="9"/>
  <c r="BV38" i="9"/>
  <c r="BW38" i="9"/>
  <c r="CA38" i="9"/>
  <c r="CA203" i="9"/>
  <c r="H197" i="11" s="1"/>
  <c r="J197" i="11" s="1"/>
  <c r="N197" i="11" s="1"/>
  <c r="T197" i="11" s="1"/>
  <c r="BW203" i="9"/>
  <c r="BX203" i="9"/>
  <c r="BV203" i="9"/>
  <c r="BV148" i="9"/>
  <c r="CA148" i="9"/>
  <c r="H142" i="11" s="1"/>
  <c r="J142" i="11" s="1"/>
  <c r="N142" i="11" s="1"/>
  <c r="T142" i="11" s="1"/>
  <c r="BW148" i="9"/>
  <c r="BX148" i="9"/>
  <c r="CA76" i="9"/>
  <c r="H75" i="11" s="1"/>
  <c r="J75" i="11" s="1"/>
  <c r="N75" i="11" s="1"/>
  <c r="T75" i="11" s="1"/>
  <c r="BV76" i="9"/>
  <c r="BX76" i="9"/>
  <c r="BW76" i="9"/>
  <c r="BX228" i="9"/>
  <c r="BV228" i="9"/>
  <c r="CA88" i="9"/>
  <c r="H87" i="11" s="1"/>
  <c r="J87" i="11" s="1"/>
  <c r="N87" i="11" s="1"/>
  <c r="T87" i="11" s="1"/>
  <c r="BO201" i="9"/>
  <c r="BP201" i="9" s="1"/>
  <c r="BQ201" i="9" s="1"/>
  <c r="BS201" i="9" s="1"/>
  <c r="BT201" i="9" s="1"/>
  <c r="BU201" i="9" s="1"/>
  <c r="BO51" i="9"/>
  <c r="BP51" i="9" s="1"/>
  <c r="BQ51" i="9" s="1"/>
  <c r="BS51" i="9" s="1"/>
  <c r="BT51" i="9" s="1"/>
  <c r="BU51" i="9" s="1"/>
  <c r="CA218" i="9"/>
  <c r="H212" i="11" s="1"/>
  <c r="J212" i="11" s="1"/>
  <c r="N212" i="11" s="1"/>
  <c r="T212" i="11" s="1"/>
  <c r="BW84" i="9"/>
  <c r="BX84" i="9"/>
  <c r="CA84" i="9"/>
  <c r="BV84" i="9"/>
  <c r="BX78" i="9"/>
  <c r="CA78" i="9"/>
  <c r="H77" i="11" s="1"/>
  <c r="J77" i="11" s="1"/>
  <c r="N77" i="11" s="1"/>
  <c r="T77" i="11" s="1"/>
  <c r="BW78" i="9"/>
  <c r="BV78" i="9"/>
  <c r="BO32" i="9"/>
  <c r="BP32" i="9" s="1"/>
  <c r="BQ32" i="9" s="1"/>
  <c r="BS32" i="9" s="1"/>
  <c r="BT32" i="9" s="1"/>
  <c r="BU32" i="9" s="1"/>
  <c r="BX96" i="9"/>
  <c r="BW217" i="10"/>
  <c r="H211" i="12" s="1"/>
  <c r="J211" i="12" s="1"/>
  <c r="N211" i="12" s="1"/>
  <c r="T211" i="12" s="1"/>
  <c r="BV217" i="10"/>
  <c r="BV178" i="10"/>
  <c r="BW178" i="10"/>
  <c r="H172" i="12" s="1"/>
  <c r="J172" i="12" s="1"/>
  <c r="N172" i="12" s="1"/>
  <c r="T172" i="12" s="1"/>
  <c r="BO42" i="10"/>
  <c r="BP42" i="10" s="1"/>
  <c r="BQ42" i="10" s="1"/>
  <c r="BS42" i="10" s="1"/>
  <c r="BT42" i="10" s="1"/>
  <c r="BU42" i="10" s="1"/>
  <c r="BO93" i="10"/>
  <c r="BP93" i="10" s="1"/>
  <c r="BQ93" i="10" s="1"/>
  <c r="BS93" i="10" s="1"/>
  <c r="BT93" i="10" s="1"/>
  <c r="BU93" i="10" s="1"/>
  <c r="BO146" i="10"/>
  <c r="BP146" i="10" s="1"/>
  <c r="BQ146" i="10" s="1"/>
  <c r="BS146" i="10" s="1"/>
  <c r="BT146" i="10" s="1"/>
  <c r="BU146" i="10" s="1"/>
  <c r="BO76" i="10"/>
  <c r="BP76" i="10" s="1"/>
  <c r="BQ76" i="10" s="1"/>
  <c r="BS76" i="10" s="1"/>
  <c r="BT76" i="10" s="1"/>
  <c r="BU76" i="10" s="1"/>
  <c r="BO107" i="10"/>
  <c r="BP107" i="10" s="1"/>
  <c r="BQ107" i="10" s="1"/>
  <c r="BS107" i="10" s="1"/>
  <c r="BT107" i="10" s="1"/>
  <c r="BU107" i="10" s="1"/>
  <c r="BO195" i="10"/>
  <c r="BP195" i="10" s="1"/>
  <c r="BQ195" i="10" s="1"/>
  <c r="BS195" i="10" s="1"/>
  <c r="BT195" i="10" s="1"/>
  <c r="BU195" i="10" s="1"/>
  <c r="BO61" i="10"/>
  <c r="BP61" i="10" s="1"/>
  <c r="BQ61" i="10" s="1"/>
  <c r="BS61" i="10" s="1"/>
  <c r="BT61" i="10" s="1"/>
  <c r="BU61" i="10" s="1"/>
  <c r="BO33" i="10"/>
  <c r="BP33" i="10" s="1"/>
  <c r="BQ33" i="10" s="1"/>
  <c r="BS33" i="10" s="1"/>
  <c r="BT33" i="10" s="1"/>
  <c r="BU33" i="10" s="1"/>
  <c r="BO83" i="10"/>
  <c r="BP83" i="10" s="1"/>
  <c r="BQ83" i="10" s="1"/>
  <c r="BS83" i="10" s="1"/>
  <c r="BT83" i="10" s="1"/>
  <c r="BU83" i="10" s="1"/>
  <c r="BO90" i="10"/>
  <c r="BP90" i="10" s="1"/>
  <c r="BQ90" i="10" s="1"/>
  <c r="BS90" i="10" s="1"/>
  <c r="BT90" i="10" s="1"/>
  <c r="BU90" i="10" s="1"/>
  <c r="BO182" i="10"/>
  <c r="BP182" i="10" s="1"/>
  <c r="BQ182" i="10" s="1"/>
  <c r="BS182" i="10" s="1"/>
  <c r="BT182" i="10" s="1"/>
  <c r="BU182" i="10" s="1"/>
  <c r="BO118" i="10"/>
  <c r="BP118" i="10" s="1"/>
  <c r="BQ118" i="10" s="1"/>
  <c r="BS118" i="10" s="1"/>
  <c r="BT118" i="10" s="1"/>
  <c r="BU118" i="10" s="1"/>
  <c r="BW250" i="10"/>
  <c r="H244" i="12" s="1"/>
  <c r="J244" i="12" s="1"/>
  <c r="N244" i="12" s="1"/>
  <c r="T244" i="12" s="1"/>
  <c r="BV250" i="10"/>
  <c r="BO102" i="10"/>
  <c r="BP102" i="10" s="1"/>
  <c r="BQ102" i="10" s="1"/>
  <c r="BS102" i="10" s="1"/>
  <c r="BT102" i="10" s="1"/>
  <c r="BU102" i="10" s="1"/>
  <c r="BO143" i="10"/>
  <c r="BP143" i="10" s="1"/>
  <c r="BQ143" i="10" s="1"/>
  <c r="BS143" i="10" s="1"/>
  <c r="BT143" i="10" s="1"/>
  <c r="BU143" i="10" s="1"/>
  <c r="BO96" i="10"/>
  <c r="BP96" i="10" s="1"/>
  <c r="BQ96" i="10" s="1"/>
  <c r="BS96" i="10" s="1"/>
  <c r="BT96" i="10" s="1"/>
  <c r="BU96" i="10" s="1"/>
  <c r="BO45" i="10"/>
  <c r="BP45" i="10" s="1"/>
  <c r="BQ45" i="10" s="1"/>
  <c r="BS45" i="10" s="1"/>
  <c r="BT45" i="10" s="1"/>
  <c r="BU45" i="10" s="1"/>
  <c r="BO41" i="10"/>
  <c r="BP41" i="10" s="1"/>
  <c r="BQ41" i="10" s="1"/>
  <c r="BS41" i="10" s="1"/>
  <c r="BT41" i="10" s="1"/>
  <c r="BU41" i="10" s="1"/>
  <c r="BX144" i="9"/>
  <c r="BW144" i="9"/>
  <c r="CA144" i="9"/>
  <c r="H138" i="11" s="1"/>
  <c r="J138" i="11" s="1"/>
  <c r="N138" i="11" s="1"/>
  <c r="T138" i="11" s="1"/>
  <c r="BV144" i="9"/>
  <c r="BW158" i="9"/>
  <c r="CA158" i="9"/>
  <c r="H152" i="11" s="1"/>
  <c r="J152" i="11" s="1"/>
  <c r="N152" i="11" s="1"/>
  <c r="T152" i="11" s="1"/>
  <c r="BV158" i="9"/>
  <c r="BX158" i="9"/>
  <c r="CA176" i="9"/>
  <c r="H170" i="11" s="1"/>
  <c r="J170" i="11" s="1"/>
  <c r="N170" i="11" s="1"/>
  <c r="T170" i="11" s="1"/>
  <c r="BX176" i="9"/>
  <c r="BW176" i="9"/>
  <c r="BV176" i="9"/>
  <c r="BW182" i="9"/>
  <c r="BV182" i="9"/>
  <c r="CA182" i="9"/>
  <c r="H176" i="11" s="1"/>
  <c r="J176" i="11" s="1"/>
  <c r="N176" i="11" s="1"/>
  <c r="T176" i="11" s="1"/>
  <c r="BX182" i="9"/>
  <c r="CA125" i="9"/>
  <c r="BX125" i="9"/>
  <c r="BW235" i="9"/>
  <c r="CA235" i="9"/>
  <c r="BV235" i="9"/>
  <c r="BX235" i="9"/>
  <c r="CA58" i="9"/>
  <c r="H57" i="11" s="1"/>
  <c r="J57" i="11" s="1"/>
  <c r="N57" i="11" s="1"/>
  <c r="T57" i="11" s="1"/>
  <c r="BX58" i="9"/>
  <c r="BV58" i="9"/>
  <c r="BW58" i="9"/>
  <c r="BX175" i="9"/>
  <c r="BV175" i="9"/>
  <c r="BW175" i="9"/>
  <c r="CA175" i="9"/>
  <c r="CA120" i="9"/>
  <c r="BV120" i="9"/>
  <c r="BX120" i="9"/>
  <c r="BW120" i="9"/>
  <c r="BW56" i="9"/>
  <c r="CA56" i="9"/>
  <c r="H55" i="11" s="1"/>
  <c r="J55" i="11" s="1"/>
  <c r="N55" i="11" s="1"/>
  <c r="T55" i="11" s="1"/>
  <c r="BV56" i="9"/>
  <c r="BX56" i="9"/>
  <c r="BX81" i="9"/>
  <c r="BW81" i="9"/>
  <c r="CA81" i="9"/>
  <c r="H80" i="11" s="1"/>
  <c r="J80" i="11" s="1"/>
  <c r="N80" i="11" s="1"/>
  <c r="T80" i="11" s="1"/>
  <c r="BV81" i="9"/>
  <c r="BX227" i="9"/>
  <c r="BV227" i="9"/>
  <c r="BX210" i="9"/>
  <c r="CA196" i="9"/>
  <c r="H190" i="11" s="1"/>
  <c r="J190" i="11" s="1"/>
  <c r="N190" i="11" s="1"/>
  <c r="T190" i="11" s="1"/>
  <c r="BX196" i="9"/>
  <c r="BX57" i="9"/>
  <c r="BV216" i="10"/>
  <c r="BO105" i="10"/>
  <c r="BP105" i="10" s="1"/>
  <c r="BQ105" i="10" s="1"/>
  <c r="BS105" i="10" s="1"/>
  <c r="BT105" i="10" s="1"/>
  <c r="BU105" i="10" s="1"/>
  <c r="BO66" i="10"/>
  <c r="BP66" i="10" s="1"/>
  <c r="BQ66" i="10" s="1"/>
  <c r="BS66" i="10" s="1"/>
  <c r="BT66" i="10" s="1"/>
  <c r="BU66" i="10" s="1"/>
  <c r="BO84" i="10"/>
  <c r="BP84" i="10" s="1"/>
  <c r="BQ84" i="10" s="1"/>
  <c r="BS84" i="10" s="1"/>
  <c r="BT84" i="10" s="1"/>
  <c r="BU84" i="10" s="1"/>
  <c r="BO37" i="10"/>
  <c r="BP37" i="10" s="1"/>
  <c r="BQ37" i="10" s="1"/>
  <c r="BS37" i="10" s="1"/>
  <c r="BT37" i="10" s="1"/>
  <c r="BU37" i="10" s="1"/>
  <c r="BV158" i="10"/>
  <c r="BW158" i="10"/>
  <c r="H152" i="12" s="1"/>
  <c r="J152" i="12" s="1"/>
  <c r="N152" i="12" s="1"/>
  <c r="T152" i="12" s="1"/>
  <c r="BO89" i="10"/>
  <c r="BP89" i="10" s="1"/>
  <c r="BQ89" i="10" s="1"/>
  <c r="BS89" i="10" s="1"/>
  <c r="BT89" i="10" s="1"/>
  <c r="BU89" i="10" s="1"/>
  <c r="BO133" i="10"/>
  <c r="BP133" i="10" s="1"/>
  <c r="BQ133" i="10" s="1"/>
  <c r="BS133" i="10" s="1"/>
  <c r="BT133" i="10" s="1"/>
  <c r="BU133" i="10" s="1"/>
  <c r="BO79" i="10"/>
  <c r="BP79" i="10" s="1"/>
  <c r="BQ79" i="10" s="1"/>
  <c r="BS79" i="10" s="1"/>
  <c r="BT79" i="10" s="1"/>
  <c r="BU79" i="10" s="1"/>
  <c r="BW196" i="10"/>
  <c r="BV196" i="10"/>
  <c r="BO140" i="10"/>
  <c r="BP140" i="10" s="1"/>
  <c r="BQ140" i="10" s="1"/>
  <c r="BS140" i="10" s="1"/>
  <c r="BT140" i="10" s="1"/>
  <c r="BU140" i="10" s="1"/>
  <c r="BO44" i="10"/>
  <c r="BP44" i="10" s="1"/>
  <c r="BQ44" i="10" s="1"/>
  <c r="BS44" i="10" s="1"/>
  <c r="BT44" i="10" s="1"/>
  <c r="BU44" i="10" s="1"/>
  <c r="BO51" i="10"/>
  <c r="BP51" i="10" s="1"/>
  <c r="BQ51" i="10" s="1"/>
  <c r="BS51" i="10" s="1"/>
  <c r="BT51" i="10" s="1"/>
  <c r="BU51" i="10" s="1"/>
  <c r="BO119" i="10"/>
  <c r="BP119" i="10" s="1"/>
  <c r="BQ119" i="10" s="1"/>
  <c r="BS119" i="10" s="1"/>
  <c r="BT119" i="10" s="1"/>
  <c r="BU119" i="10" s="1"/>
  <c r="BO144" i="10"/>
  <c r="BP144" i="10" s="1"/>
  <c r="BQ144" i="10" s="1"/>
  <c r="BS144" i="10" s="1"/>
  <c r="BT144" i="10" s="1"/>
  <c r="BU144" i="10" s="1"/>
  <c r="BO147" i="10"/>
  <c r="BP147" i="10" s="1"/>
  <c r="BQ147" i="10" s="1"/>
  <c r="BS147" i="10" s="1"/>
  <c r="BT147" i="10" s="1"/>
  <c r="BU147" i="10" s="1"/>
  <c r="BO75" i="10"/>
  <c r="BP75" i="10" s="1"/>
  <c r="BQ75" i="10" s="1"/>
  <c r="BS75" i="10" s="1"/>
  <c r="BT75" i="10" s="1"/>
  <c r="BU75" i="10" s="1"/>
  <c r="BO214" i="10"/>
  <c r="BP214" i="10" s="1"/>
  <c r="BQ214" i="10" s="1"/>
  <c r="BS214" i="10" s="1"/>
  <c r="BT214" i="10" s="1"/>
  <c r="BU214" i="10" s="1"/>
  <c r="BO72" i="10"/>
  <c r="BP72" i="10" s="1"/>
  <c r="BQ72" i="10" s="1"/>
  <c r="BS72" i="10" s="1"/>
  <c r="BT72" i="10" s="1"/>
  <c r="BU72" i="10" s="1"/>
  <c r="BW150" i="10"/>
  <c r="J149" i="12" s="1"/>
  <c r="N149" i="12" s="1"/>
  <c r="T149" i="12" s="1"/>
  <c r="BV150" i="10"/>
  <c r="CA177" i="9"/>
  <c r="H171" i="11" s="1"/>
  <c r="J171" i="11" s="1"/>
  <c r="N171" i="11" s="1"/>
  <c r="T171" i="11" s="1"/>
  <c r="BX177" i="9"/>
  <c r="BW177" i="9"/>
  <c r="BV177" i="9"/>
  <c r="BW61" i="9"/>
  <c r="BV61" i="9"/>
  <c r="CA61" i="9"/>
  <c r="H60" i="11" s="1"/>
  <c r="J60" i="11" s="1"/>
  <c r="N60" i="11" s="1"/>
  <c r="T60" i="11" s="1"/>
  <c r="BX61" i="9"/>
  <c r="BV208" i="9"/>
  <c r="CA208" i="9"/>
  <c r="H202" i="11" s="1"/>
  <c r="J202" i="11" s="1"/>
  <c r="N202" i="11" s="1"/>
  <c r="T202" i="11" s="1"/>
  <c r="BX208" i="9"/>
  <c r="BW208" i="9"/>
  <c r="BV190" i="9"/>
  <c r="CA190" i="9"/>
  <c r="BW190" i="9"/>
  <c r="BX190" i="9"/>
  <c r="BV66" i="9"/>
  <c r="BX66" i="9"/>
  <c r="BW66" i="9"/>
  <c r="CA66" i="9"/>
  <c r="H65" i="11" s="1"/>
  <c r="J65" i="11" s="1"/>
  <c r="N65" i="11" s="1"/>
  <c r="T65" i="11" s="1"/>
  <c r="BX55" i="9"/>
  <c r="BV55" i="9"/>
  <c r="BW55" i="9"/>
  <c r="CA55" i="9"/>
  <c r="BW159" i="9"/>
  <c r="BX42" i="9"/>
  <c r="BW42" i="9"/>
  <c r="CA42" i="9"/>
  <c r="H41" i="11" s="1"/>
  <c r="J41" i="11" s="1"/>
  <c r="N41" i="11" s="1"/>
  <c r="T41" i="11" s="1"/>
  <c r="BX188" i="9"/>
  <c r="BW188" i="9"/>
  <c r="BV188" i="9"/>
  <c r="CA188" i="9"/>
  <c r="H182" i="11" s="1"/>
  <c r="J182" i="11" s="1"/>
  <c r="N182" i="11" s="1"/>
  <c r="T182" i="11" s="1"/>
  <c r="BX202" i="9"/>
  <c r="BW202" i="9"/>
  <c r="BV202" i="9"/>
  <c r="CA202" i="9"/>
  <c r="H196" i="11" s="1"/>
  <c r="J196" i="11" s="1"/>
  <c r="N196" i="11" s="1"/>
  <c r="T196" i="11" s="1"/>
  <c r="BV105" i="9"/>
  <c r="BW105" i="9"/>
  <c r="CA105" i="9"/>
  <c r="BX105" i="9"/>
  <c r="CA185" i="9"/>
  <c r="BX185" i="9"/>
  <c r="BW185" i="9"/>
  <c r="BV185" i="9"/>
  <c r="BV70" i="9"/>
  <c r="BW70" i="9"/>
  <c r="CA70" i="9"/>
  <c r="BX70" i="9"/>
  <c r="BX83" i="9"/>
  <c r="BW83" i="9"/>
  <c r="BV83" i="9"/>
  <c r="CA83" i="9"/>
  <c r="H82" i="11" s="1"/>
  <c r="J82" i="11" s="1"/>
  <c r="N82" i="11" s="1"/>
  <c r="T82" i="11" s="1"/>
  <c r="BV128" i="9"/>
  <c r="BX128" i="9"/>
  <c r="CA80" i="9"/>
  <c r="BO190" i="10"/>
  <c r="BP190" i="10" s="1"/>
  <c r="BQ190" i="10" s="1"/>
  <c r="BS190" i="10" s="1"/>
  <c r="BT190" i="10" s="1"/>
  <c r="BU190" i="10" s="1"/>
  <c r="BO92" i="10"/>
  <c r="BP92" i="10" s="1"/>
  <c r="BQ92" i="10" s="1"/>
  <c r="BS92" i="10" s="1"/>
  <c r="BT92" i="10" s="1"/>
  <c r="BU92" i="10" s="1"/>
  <c r="BW223" i="10"/>
  <c r="H217" i="12" s="1"/>
  <c r="J217" i="12" s="1"/>
  <c r="N217" i="12" s="1"/>
  <c r="T217" i="12" s="1"/>
  <c r="BV223" i="10"/>
  <c r="BO130" i="10"/>
  <c r="BP130" i="10" s="1"/>
  <c r="BQ130" i="10" s="1"/>
  <c r="BS130" i="10" s="1"/>
  <c r="BT130" i="10" s="1"/>
  <c r="BU130" i="10" s="1"/>
  <c r="BV189" i="10"/>
  <c r="BW189" i="10"/>
  <c r="H183" i="12" s="1"/>
  <c r="J183" i="12" s="1"/>
  <c r="N183" i="12" s="1"/>
  <c r="T183" i="12" s="1"/>
  <c r="BO74" i="10"/>
  <c r="BP74" i="10" s="1"/>
  <c r="BQ74" i="10" s="1"/>
  <c r="BS74" i="10" s="1"/>
  <c r="BT74" i="10" s="1"/>
  <c r="BU74" i="10" s="1"/>
  <c r="BO82" i="10"/>
  <c r="BP82" i="10" s="1"/>
  <c r="BQ82" i="10" s="1"/>
  <c r="BS82" i="10" s="1"/>
  <c r="BT82" i="10" s="1"/>
  <c r="BU82" i="10" s="1"/>
  <c r="BO55" i="10"/>
  <c r="BP55" i="10" s="1"/>
  <c r="BQ55" i="10" s="1"/>
  <c r="BS55" i="10" s="1"/>
  <c r="BT55" i="10" s="1"/>
  <c r="BU55" i="10" s="1"/>
  <c r="BO100" i="10"/>
  <c r="BP100" i="10" s="1"/>
  <c r="BQ100" i="10" s="1"/>
  <c r="BS100" i="10" s="1"/>
  <c r="BT100" i="10" s="1"/>
  <c r="BU100" i="10" s="1"/>
  <c r="BO132" i="10"/>
  <c r="BP132" i="10" s="1"/>
  <c r="BQ132" i="10" s="1"/>
  <c r="BS132" i="10" s="1"/>
  <c r="BT132" i="10" s="1"/>
  <c r="BU132" i="10" s="1"/>
  <c r="BW252" i="10"/>
  <c r="BV252" i="10"/>
  <c r="BO73" i="10"/>
  <c r="BP73" i="10" s="1"/>
  <c r="BQ73" i="10" s="1"/>
  <c r="BS73" i="10" s="1"/>
  <c r="BT73" i="10" s="1"/>
  <c r="BU73" i="10" s="1"/>
  <c r="BO115" i="10"/>
  <c r="BP115" i="10" s="1"/>
  <c r="BQ115" i="10" s="1"/>
  <c r="BS115" i="10" s="1"/>
  <c r="BT115" i="10" s="1"/>
  <c r="BU115" i="10" s="1"/>
  <c r="BO64" i="10"/>
  <c r="BP64" i="10" s="1"/>
  <c r="BQ64" i="10" s="1"/>
  <c r="BS64" i="10" s="1"/>
  <c r="BT64" i="10" s="1"/>
  <c r="BU64" i="10" s="1"/>
  <c r="BV240" i="10"/>
  <c r="BW240" i="10"/>
  <c r="H234" i="12" s="1"/>
  <c r="J234" i="12" s="1"/>
  <c r="N234" i="12" s="1"/>
  <c r="T234" i="12" s="1"/>
  <c r="BV183" i="10"/>
  <c r="BW183" i="10"/>
  <c r="H177" i="12" s="1"/>
  <c r="J177" i="12" s="1"/>
  <c r="N177" i="12" s="1"/>
  <c r="T177" i="12" s="1"/>
  <c r="BO63" i="10"/>
  <c r="BP63" i="10" s="1"/>
  <c r="BQ63" i="10" s="1"/>
  <c r="BS63" i="10" s="1"/>
  <c r="BT63" i="10" s="1"/>
  <c r="BU63" i="10" s="1"/>
  <c r="BV253" i="10"/>
  <c r="BW253" i="10"/>
  <c r="BO185" i="10"/>
  <c r="BP185" i="10" s="1"/>
  <c r="BQ185" i="10" s="1"/>
  <c r="BS185" i="10" s="1"/>
  <c r="BT185" i="10" s="1"/>
  <c r="BU185" i="10" s="1"/>
  <c r="BO56" i="10"/>
  <c r="BP56" i="10" s="1"/>
  <c r="BQ56" i="10" s="1"/>
  <c r="BS56" i="10" s="1"/>
  <c r="BT56" i="10" s="1"/>
  <c r="BU56" i="10" s="1"/>
  <c r="BW201" i="10"/>
  <c r="BV201" i="10"/>
  <c r="BW152" i="9"/>
  <c r="BV152" i="9"/>
  <c r="CA152" i="9"/>
  <c r="H146" i="11" s="1"/>
  <c r="J146" i="11" s="1"/>
  <c r="N146" i="11" s="1"/>
  <c r="T146" i="11" s="1"/>
  <c r="BX152" i="9"/>
  <c r="CA69" i="9"/>
  <c r="BV69" i="9"/>
  <c r="BX69" i="9"/>
  <c r="BW69" i="9"/>
  <c r="BW213" i="9"/>
  <c r="CA213" i="9"/>
  <c r="H207" i="11" s="1"/>
  <c r="J207" i="11" s="1"/>
  <c r="N207" i="11" s="1"/>
  <c r="T207" i="11" s="1"/>
  <c r="BX213" i="9"/>
  <c r="BV213" i="9"/>
  <c r="BV103" i="9"/>
  <c r="BX103" i="9"/>
  <c r="CA103" i="9"/>
  <c r="H102" i="11" s="1"/>
  <c r="J102" i="11" s="1"/>
  <c r="N102" i="11" s="1"/>
  <c r="T102" i="11" s="1"/>
  <c r="BW103" i="9"/>
  <c r="BX240" i="9"/>
  <c r="BV240" i="9"/>
  <c r="BW240" i="9"/>
  <c r="CA240" i="9"/>
  <c r="BW124" i="9"/>
  <c r="BX124" i="9"/>
  <c r="BV124" i="9"/>
  <c r="CA124" i="9"/>
  <c r="CA101" i="9"/>
  <c r="H100" i="11" s="1"/>
  <c r="J100" i="11" s="1"/>
  <c r="N100" i="11" s="1"/>
  <c r="T100" i="11" s="1"/>
  <c r="BV101" i="9"/>
  <c r="BX101" i="9"/>
  <c r="BW101" i="9"/>
  <c r="BX127" i="9"/>
  <c r="BV127" i="9"/>
  <c r="BW127" i="9"/>
  <c r="BO160" i="9"/>
  <c r="BP160" i="9" s="1"/>
  <c r="BQ160" i="9" s="1"/>
  <c r="BS160" i="9" s="1"/>
  <c r="BT160" i="9" s="1"/>
  <c r="BU160" i="9" s="1"/>
  <c r="BO178" i="9"/>
  <c r="BP178" i="9" s="1"/>
  <c r="BQ178" i="9" s="1"/>
  <c r="BS178" i="9" s="1"/>
  <c r="BT178" i="9" s="1"/>
  <c r="BU178" i="9" s="1"/>
  <c r="CA225" i="9"/>
  <c r="BX225" i="9"/>
  <c r="BW115" i="9"/>
  <c r="BX115" i="9"/>
  <c r="BV115" i="9"/>
  <c r="CA115" i="9"/>
  <c r="CA102" i="9"/>
  <c r="H101" i="11" s="1"/>
  <c r="J101" i="11" s="1"/>
  <c r="N101" i="11" s="1"/>
  <c r="T101" i="11" s="1"/>
  <c r="BW102" i="9"/>
  <c r="BX102" i="9"/>
  <c r="BV102" i="9"/>
  <c r="BO214" i="9"/>
  <c r="BP214" i="9" s="1"/>
  <c r="BQ214" i="9" s="1"/>
  <c r="BS214" i="9" s="1"/>
  <c r="BT214" i="9" s="1"/>
  <c r="BU214" i="9" s="1"/>
  <c r="BW37" i="9"/>
  <c r="BV37" i="9"/>
  <c r="BO169" i="10"/>
  <c r="BP169" i="10" s="1"/>
  <c r="BQ169" i="10" s="1"/>
  <c r="BS169" i="10" s="1"/>
  <c r="BT169" i="10" s="1"/>
  <c r="BU169" i="10" s="1"/>
  <c r="BO54" i="10"/>
  <c r="BP54" i="10" s="1"/>
  <c r="BQ54" i="10" s="1"/>
  <c r="BS54" i="10" s="1"/>
  <c r="BT54" i="10" s="1"/>
  <c r="BU54" i="10" s="1"/>
  <c r="BO50" i="10"/>
  <c r="BP50" i="10" s="1"/>
  <c r="BQ50" i="10" s="1"/>
  <c r="BS50" i="10" s="1"/>
  <c r="BT50" i="10" s="1"/>
  <c r="BU50" i="10" s="1"/>
  <c r="BO97" i="10"/>
  <c r="BP97" i="10" s="1"/>
  <c r="BQ97" i="10" s="1"/>
  <c r="BS97" i="10" s="1"/>
  <c r="BT97" i="10" s="1"/>
  <c r="BU97" i="10" s="1"/>
  <c r="BO53" i="10"/>
  <c r="BP53" i="10" s="1"/>
  <c r="BQ53" i="10" s="1"/>
  <c r="BS53" i="10" s="1"/>
  <c r="BT53" i="10" s="1"/>
  <c r="BU53" i="10" s="1"/>
  <c r="BW193" i="10"/>
  <c r="H187" i="12" s="1"/>
  <c r="J187" i="12" s="1"/>
  <c r="N187" i="12" s="1"/>
  <c r="T187" i="12" s="1"/>
  <c r="BO69" i="10"/>
  <c r="BP69" i="10" s="1"/>
  <c r="BQ69" i="10" s="1"/>
  <c r="BS69" i="10" s="1"/>
  <c r="BT69" i="10" s="1"/>
  <c r="BU69" i="10" s="1"/>
  <c r="BO98" i="10"/>
  <c r="BP98" i="10" s="1"/>
  <c r="BQ98" i="10" s="1"/>
  <c r="BS98" i="10" s="1"/>
  <c r="BT98" i="10" s="1"/>
  <c r="BU98" i="10" s="1"/>
  <c r="BO128" i="10"/>
  <c r="BP128" i="10" s="1"/>
  <c r="BQ128" i="10" s="1"/>
  <c r="BS128" i="10" s="1"/>
  <c r="BT128" i="10" s="1"/>
  <c r="BU128" i="10" s="1"/>
  <c r="BW156" i="10"/>
  <c r="BV156" i="10"/>
  <c r="BO142" i="10"/>
  <c r="BP142" i="10" s="1"/>
  <c r="BQ142" i="10" s="1"/>
  <c r="BS142" i="10" s="1"/>
  <c r="BT142" i="10" s="1"/>
  <c r="BU142" i="10" s="1"/>
  <c r="BO125" i="10"/>
  <c r="BP125" i="10" s="1"/>
  <c r="BQ125" i="10" s="1"/>
  <c r="BS125" i="10" s="1"/>
  <c r="BT125" i="10" s="1"/>
  <c r="BU125" i="10" s="1"/>
  <c r="BO80" i="10"/>
  <c r="BP80" i="10" s="1"/>
  <c r="BQ80" i="10" s="1"/>
  <c r="BS80" i="10" s="1"/>
  <c r="BT80" i="10" s="1"/>
  <c r="BU80" i="10" s="1"/>
  <c r="BO114" i="10"/>
  <c r="BP114" i="10" s="1"/>
  <c r="BQ114" i="10" s="1"/>
  <c r="BS114" i="10" s="1"/>
  <c r="BT114" i="10" s="1"/>
  <c r="BU114" i="10" s="1"/>
  <c r="BO59" i="10"/>
  <c r="BP59" i="10" s="1"/>
  <c r="BQ59" i="10" s="1"/>
  <c r="BS59" i="10" s="1"/>
  <c r="BT59" i="10" s="1"/>
  <c r="BU59" i="10" s="1"/>
  <c r="BO81" i="10"/>
  <c r="BP81" i="10" s="1"/>
  <c r="BQ81" i="10" s="1"/>
  <c r="BS81" i="10" s="1"/>
  <c r="BT81" i="10" s="1"/>
  <c r="BU81" i="10" s="1"/>
  <c r="BO117" i="10"/>
  <c r="BP117" i="10" s="1"/>
  <c r="BQ117" i="10" s="1"/>
  <c r="BS117" i="10" s="1"/>
  <c r="BT117" i="10" s="1"/>
  <c r="BU117" i="10" s="1"/>
  <c r="BO91" i="10"/>
  <c r="BP91" i="10" s="1"/>
  <c r="BQ91" i="10" s="1"/>
  <c r="BS91" i="10" s="1"/>
  <c r="BT91" i="10" s="1"/>
  <c r="BU91" i="10" s="1"/>
  <c r="BO57" i="10"/>
  <c r="BP57" i="10" s="1"/>
  <c r="BQ57" i="10" s="1"/>
  <c r="BS57" i="10" s="1"/>
  <c r="BT57" i="10" s="1"/>
  <c r="BU57" i="10" s="1"/>
  <c r="BX117" i="9"/>
  <c r="BV117" i="9"/>
  <c r="CA117" i="9"/>
  <c r="H116" i="11" s="1"/>
  <c r="J116" i="11" s="1"/>
  <c r="N116" i="11" s="1"/>
  <c r="T116" i="11" s="1"/>
  <c r="BW117" i="9"/>
  <c r="BW166" i="9"/>
  <c r="BV166" i="9"/>
  <c r="BX166" i="9"/>
  <c r="CA166" i="9"/>
  <c r="H160" i="11" s="1"/>
  <c r="J160" i="11" s="1"/>
  <c r="N160" i="11" s="1"/>
  <c r="T160" i="11" s="1"/>
  <c r="BW36" i="9"/>
  <c r="BV36" i="9"/>
  <c r="CA36" i="9"/>
  <c r="H35" i="11" s="1"/>
  <c r="J35" i="11" s="1"/>
  <c r="N35" i="11" s="1"/>
  <c r="T35" i="11" s="1"/>
  <c r="BX36" i="9"/>
  <c r="BV219" i="9"/>
  <c r="BW219" i="9"/>
  <c r="BX219" i="9"/>
  <c r="CA219" i="9"/>
  <c r="H213" i="11" s="1"/>
  <c r="J213" i="11" s="1"/>
  <c r="N213" i="11" s="1"/>
  <c r="T213" i="11" s="1"/>
  <c r="BX129" i="9"/>
  <c r="BW129" i="9"/>
  <c r="BV129" i="9"/>
  <c r="CA98" i="9"/>
  <c r="H97" i="11" s="1"/>
  <c r="J97" i="11" s="1"/>
  <c r="N97" i="11" s="1"/>
  <c r="T97" i="11" s="1"/>
  <c r="BV98" i="9"/>
  <c r="BX98" i="9"/>
  <c r="BW98" i="9"/>
  <c r="CA74" i="9"/>
  <c r="BX59" i="9"/>
  <c r="BV59" i="9"/>
  <c r="CA87" i="9"/>
  <c r="H86" i="11" s="1"/>
  <c r="J86" i="11" s="1"/>
  <c r="N86" i="11" s="1"/>
  <c r="T86" i="11" s="1"/>
  <c r="BX87" i="9"/>
  <c r="BW87" i="9"/>
  <c r="BV87" i="9"/>
  <c r="BX107" i="9"/>
  <c r="CA143" i="9"/>
  <c r="H137" i="11" s="1"/>
  <c r="J137" i="11" s="1"/>
  <c r="N137" i="11" s="1"/>
  <c r="T137" i="11" s="1"/>
  <c r="BW143" i="9"/>
  <c r="BW209" i="9"/>
  <c r="CA162" i="9"/>
  <c r="H156" i="11" s="1"/>
  <c r="J156" i="11" s="1"/>
  <c r="N156" i="11" s="1"/>
  <c r="T156" i="11" s="1"/>
  <c r="BX162" i="9"/>
  <c r="BX62" i="9"/>
  <c r="CA62" i="9"/>
  <c r="H61" i="11" s="1"/>
  <c r="J61" i="11" s="1"/>
  <c r="N61" i="11" s="1"/>
  <c r="T61" i="11" s="1"/>
  <c r="BW62" i="9"/>
  <c r="BV62" i="9"/>
  <c r="BW238" i="10"/>
  <c r="H232" i="12" s="1"/>
  <c r="J232" i="12" s="1"/>
  <c r="N232" i="12" s="1"/>
  <c r="T232" i="12" s="1"/>
  <c r="BV238" i="10"/>
  <c r="BO86" i="10"/>
  <c r="BP86" i="10" s="1"/>
  <c r="BQ86" i="10" s="1"/>
  <c r="BS86" i="10" s="1"/>
  <c r="BT86" i="10" s="1"/>
  <c r="BU86" i="10" s="1"/>
  <c r="BO88" i="10"/>
  <c r="BP88" i="10" s="1"/>
  <c r="BQ88" i="10" s="1"/>
  <c r="BS88" i="10" s="1"/>
  <c r="BT88" i="10" s="1"/>
  <c r="BU88" i="10" s="1"/>
  <c r="BO103" i="10"/>
  <c r="BP103" i="10" s="1"/>
  <c r="BQ103" i="10" s="1"/>
  <c r="BS103" i="10" s="1"/>
  <c r="BT103" i="10" s="1"/>
  <c r="BU103" i="10" s="1"/>
  <c r="BO60" i="10"/>
  <c r="BP60" i="10" s="1"/>
  <c r="BQ60" i="10" s="1"/>
  <c r="BS60" i="10" s="1"/>
  <c r="BT60" i="10" s="1"/>
  <c r="BU60" i="10" s="1"/>
  <c r="BV187" i="10"/>
  <c r="BW187" i="10"/>
  <c r="H181" i="12" s="1"/>
  <c r="J181" i="12" s="1"/>
  <c r="N181" i="12" s="1"/>
  <c r="T181" i="12" s="1"/>
  <c r="BO227" i="10"/>
  <c r="BP227" i="10" s="1"/>
  <c r="BQ227" i="10" s="1"/>
  <c r="BS227" i="10" s="1"/>
  <c r="BT227" i="10" s="1"/>
  <c r="BU227" i="10" s="1"/>
  <c r="BO116" i="10"/>
  <c r="BP116" i="10" s="1"/>
  <c r="BQ116" i="10" s="1"/>
  <c r="BS116" i="10" s="1"/>
  <c r="BT116" i="10" s="1"/>
  <c r="BU116" i="10" s="1"/>
  <c r="BO52" i="10"/>
  <c r="BP52" i="10" s="1"/>
  <c r="BQ52" i="10" s="1"/>
  <c r="BS52" i="10" s="1"/>
  <c r="BT52" i="10" s="1"/>
  <c r="BU52" i="10" s="1"/>
  <c r="BW249" i="10"/>
  <c r="H243" i="12" s="1"/>
  <c r="J243" i="12" s="1"/>
  <c r="N243" i="12" s="1"/>
  <c r="T243" i="12" s="1"/>
  <c r="BV249" i="10"/>
  <c r="BV168" i="10"/>
  <c r="BW168" i="10"/>
  <c r="H162" i="12" s="1"/>
  <c r="J162" i="12" s="1"/>
  <c r="N162" i="12" s="1"/>
  <c r="T162" i="12" s="1"/>
  <c r="BV181" i="10"/>
  <c r="BW181" i="10"/>
  <c r="BV213" i="10"/>
  <c r="BW213" i="10"/>
  <c r="H207" i="12" s="1"/>
  <c r="J207" i="12" s="1"/>
  <c r="N207" i="12" s="1"/>
  <c r="T207" i="12" s="1"/>
  <c r="BW222" i="10"/>
  <c r="H216" i="12" s="1"/>
  <c r="J216" i="12" s="1"/>
  <c r="N216" i="12" s="1"/>
  <c r="T216" i="12" s="1"/>
  <c r="BV222" i="10"/>
  <c r="BO136" i="10"/>
  <c r="BP136" i="10" s="1"/>
  <c r="BQ136" i="10" s="1"/>
  <c r="BS136" i="10" s="1"/>
  <c r="BT136" i="10" s="1"/>
  <c r="BU136" i="10" s="1"/>
  <c r="BO94" i="10"/>
  <c r="BP94" i="10" s="1"/>
  <c r="BQ94" i="10" s="1"/>
  <c r="BS94" i="10" s="1"/>
  <c r="BT94" i="10" s="1"/>
  <c r="BU94" i="10" s="1"/>
  <c r="BO120" i="10"/>
  <c r="BP120" i="10" s="1"/>
  <c r="BQ120" i="10" s="1"/>
  <c r="BS120" i="10" s="1"/>
  <c r="BT120" i="10" s="1"/>
  <c r="BU120" i="10" s="1"/>
  <c r="BW211" i="10"/>
  <c r="BV211" i="10"/>
  <c r="BV251" i="10"/>
  <c r="BW251" i="10"/>
  <c r="BO34" i="10"/>
  <c r="BP34" i="10" s="1"/>
  <c r="BQ34" i="10" s="1"/>
  <c r="BS34" i="10" s="1"/>
  <c r="BT34" i="10" s="1"/>
  <c r="BU34" i="10" s="1"/>
  <c r="BO145" i="10"/>
  <c r="BP145" i="10" s="1"/>
  <c r="BQ145" i="10" s="1"/>
  <c r="BS145" i="10" s="1"/>
  <c r="BT145" i="10" s="1"/>
  <c r="BU145" i="10" s="1"/>
  <c r="BW162" i="10"/>
  <c r="H156" i="12" s="1"/>
  <c r="J156" i="12" s="1"/>
  <c r="N156" i="12" s="1"/>
  <c r="T156" i="12" s="1"/>
  <c r="BV162" i="10"/>
  <c r="BO149" i="10"/>
  <c r="BP149" i="10" s="1"/>
  <c r="BQ149" i="10" s="1"/>
  <c r="BS149" i="10" s="1"/>
  <c r="BT149" i="10" s="1"/>
  <c r="BU149" i="10" s="1"/>
  <c r="BO32" i="10"/>
  <c r="BP32" i="10" s="1"/>
  <c r="BQ32" i="10" s="1"/>
  <c r="BS32" i="10" s="1"/>
  <c r="BT32" i="10" s="1"/>
  <c r="BU32" i="10" s="1"/>
  <c r="BO108" i="10"/>
  <c r="BP108" i="10" s="1"/>
  <c r="BQ108" i="10" s="1"/>
  <c r="BS108" i="10" s="1"/>
  <c r="BT108" i="10" s="1"/>
  <c r="BU108" i="10" s="1"/>
  <c r="N131" i="11" l="1"/>
  <c r="T131" i="11" s="1"/>
  <c r="BX134" i="9"/>
  <c r="BV247" i="10"/>
  <c r="BV205" i="10"/>
  <c r="BV203" i="10"/>
  <c r="BV231" i="10"/>
  <c r="BV209" i="9"/>
  <c r="BV181" i="9"/>
  <c r="BV162" i="9"/>
  <c r="BX143" i="9"/>
  <c r="CA59" i="9"/>
  <c r="CA49" i="9"/>
  <c r="BV80" i="9"/>
  <c r="CA159" i="9"/>
  <c r="H153" i="11" s="1"/>
  <c r="J153" i="11" s="1"/>
  <c r="N153" i="11" s="1"/>
  <c r="T153" i="11" s="1"/>
  <c r="CA77" i="9"/>
  <c r="H76" i="11" s="1"/>
  <c r="J76" i="11" s="1"/>
  <c r="N76" i="11" s="1"/>
  <c r="T76" i="11" s="1"/>
  <c r="BX50" i="9"/>
  <c r="BW181" i="9"/>
  <c r="CA170" i="9"/>
  <c r="BX169" i="9"/>
  <c r="BW80" i="9"/>
  <c r="BX159" i="9"/>
  <c r="BV125" i="9"/>
  <c r="BY125" i="9" s="1"/>
  <c r="BV50" i="9"/>
  <c r="BW106" i="9"/>
  <c r="CA181" i="9"/>
  <c r="H175" i="11" s="1"/>
  <c r="J175" i="11" s="1"/>
  <c r="N175" i="11" s="1"/>
  <c r="T175" i="11" s="1"/>
  <c r="BX170" i="9"/>
  <c r="BW133" i="9"/>
  <c r="BW141" i="9"/>
  <c r="BX54" i="9"/>
  <c r="BV204" i="9"/>
  <c r="BY204" i="9" s="1"/>
  <c r="CA209" i="9"/>
  <c r="H203" i="11" s="1"/>
  <c r="J203" i="11" s="1"/>
  <c r="N203" i="11" s="1"/>
  <c r="T203" i="11" s="1"/>
  <c r="BX131" i="9"/>
  <c r="BX204" i="9"/>
  <c r="BV222" i="9"/>
  <c r="CA204" i="9"/>
  <c r="H198" i="11" s="1"/>
  <c r="J198" i="11" s="1"/>
  <c r="N198" i="11" s="1"/>
  <c r="T198" i="11" s="1"/>
  <c r="J134" i="11"/>
  <c r="N134" i="11" s="1"/>
  <c r="T134" i="11" s="1"/>
  <c r="BX95" i="9"/>
  <c r="BW31" i="9"/>
  <c r="CA95" i="9"/>
  <c r="H94" i="11" s="1"/>
  <c r="J94" i="11" s="1"/>
  <c r="N94" i="11" s="1"/>
  <c r="T94" i="11" s="1"/>
  <c r="CA107" i="9"/>
  <c r="H106" i="11" s="1"/>
  <c r="J106" i="11" s="1"/>
  <c r="N106" i="11" s="1"/>
  <c r="T106" i="11" s="1"/>
  <c r="BV134" i="9"/>
  <c r="BZ134" i="9" s="1"/>
  <c r="BV153" i="9"/>
  <c r="BY153" i="9" s="1"/>
  <c r="BW107" i="9"/>
  <c r="CA134" i="9"/>
  <c r="J133" i="11" s="1"/>
  <c r="BW153" i="9"/>
  <c r="BX153" i="9"/>
  <c r="BV99" i="9"/>
  <c r="BY99" i="9" s="1"/>
  <c r="BX187" i="9"/>
  <c r="BX99" i="9"/>
  <c r="BW187" i="9"/>
  <c r="CC170" i="9"/>
  <c r="H79" i="11"/>
  <c r="J79" i="11" s="1"/>
  <c r="N79" i="11" s="1"/>
  <c r="T79" i="11" s="1"/>
  <c r="H109" i="11"/>
  <c r="J109" i="11" s="1"/>
  <c r="N109" i="11" s="1"/>
  <c r="T109" i="11" s="1"/>
  <c r="H69" i="11"/>
  <c r="J69" i="11" s="1"/>
  <c r="N69" i="11" s="1"/>
  <c r="T69" i="11" s="1"/>
  <c r="H104" i="11"/>
  <c r="J104" i="11" s="1"/>
  <c r="N104" i="11" s="1"/>
  <c r="T104" i="11" s="1"/>
  <c r="H74" i="11"/>
  <c r="J74" i="11" s="1"/>
  <c r="N74" i="11" s="1"/>
  <c r="T74" i="11" s="1"/>
  <c r="H54" i="11"/>
  <c r="J54" i="11" s="1"/>
  <c r="N54" i="11" s="1"/>
  <c r="T54" i="11" s="1"/>
  <c r="CC55" i="9"/>
  <c r="H114" i="11"/>
  <c r="J114" i="11" s="1"/>
  <c r="N114" i="11" s="1"/>
  <c r="T114" i="11" s="1"/>
  <c r="H37" i="11"/>
  <c r="J37" i="11" s="1"/>
  <c r="N37" i="11" s="1"/>
  <c r="T37" i="11" s="1"/>
  <c r="CC180" i="9"/>
  <c r="H119" i="11"/>
  <c r="J119" i="11" s="1"/>
  <c r="N119" i="11" s="1"/>
  <c r="T119" i="11" s="1"/>
  <c r="H124" i="11"/>
  <c r="J124" i="11" s="1"/>
  <c r="N124" i="11" s="1"/>
  <c r="T124" i="11" s="1"/>
  <c r="H47" i="11"/>
  <c r="J47" i="11" s="1"/>
  <c r="N47" i="11" s="1"/>
  <c r="T47" i="11" s="1"/>
  <c r="BW234" i="10"/>
  <c r="H228" i="12" s="1"/>
  <c r="J228" i="12" s="1"/>
  <c r="N228" i="12" s="1"/>
  <c r="T228" i="12" s="1"/>
  <c r="BW165" i="10"/>
  <c r="H159" i="12" s="1"/>
  <c r="J159" i="12" s="1"/>
  <c r="N159" i="12" s="1"/>
  <c r="T159" i="12" s="1"/>
  <c r="BW221" i="10"/>
  <c r="H215" i="12" s="1"/>
  <c r="J215" i="12" s="1"/>
  <c r="N215" i="12" s="1"/>
  <c r="T215" i="12" s="1"/>
  <c r="BW244" i="10"/>
  <c r="H238" i="12" s="1"/>
  <c r="J238" i="12" s="1"/>
  <c r="N238" i="12" s="1"/>
  <c r="T238" i="12" s="1"/>
  <c r="BV254" i="10"/>
  <c r="H200" i="12"/>
  <c r="J200" i="12" s="1"/>
  <c r="N200" i="12" s="1"/>
  <c r="T200" i="12" s="1"/>
  <c r="H225" i="12"/>
  <c r="J225" i="12" s="1"/>
  <c r="N225" i="12" s="1"/>
  <c r="T225" i="12" s="1"/>
  <c r="H235" i="12"/>
  <c r="J235" i="12" s="1"/>
  <c r="N235" i="12" s="1"/>
  <c r="T235" i="12" s="1"/>
  <c r="BY241" i="10"/>
  <c r="H240" i="12"/>
  <c r="J240" i="12" s="1"/>
  <c r="N240" i="12" s="1"/>
  <c r="T240" i="12" s="1"/>
  <c r="BY246" i="10"/>
  <c r="H245" i="12"/>
  <c r="J245" i="12" s="1"/>
  <c r="N245" i="12" s="1"/>
  <c r="T245" i="12" s="1"/>
  <c r="BY251" i="10"/>
  <c r="H205" i="12"/>
  <c r="J205" i="12" s="1"/>
  <c r="N205" i="12" s="1"/>
  <c r="T205" i="12" s="1"/>
  <c r="H210" i="12"/>
  <c r="J210" i="12" s="1"/>
  <c r="N210" i="12" s="1"/>
  <c r="T210" i="12" s="1"/>
  <c r="H230" i="12"/>
  <c r="J230" i="12" s="1"/>
  <c r="N230" i="12" s="1"/>
  <c r="T230" i="12" s="1"/>
  <c r="BY236" i="10"/>
  <c r="J150" i="12"/>
  <c r="H195" i="12"/>
  <c r="J195" i="12" s="1"/>
  <c r="N195" i="12" s="1"/>
  <c r="T195" i="12" s="1"/>
  <c r="H165" i="12"/>
  <c r="J165" i="12" s="1"/>
  <c r="N165" i="12" s="1"/>
  <c r="T165" i="12" s="1"/>
  <c r="H220" i="12"/>
  <c r="J220" i="12" s="1"/>
  <c r="N220" i="12" s="1"/>
  <c r="T220" i="12" s="1"/>
  <c r="BV184" i="10"/>
  <c r="H175" i="12"/>
  <c r="J175" i="12" s="1"/>
  <c r="N175" i="12" s="1"/>
  <c r="T175" i="12" s="1"/>
  <c r="H190" i="12"/>
  <c r="J190" i="12" s="1"/>
  <c r="N190" i="12" s="1"/>
  <c r="T190" i="12" s="1"/>
  <c r="BV202" i="10"/>
  <c r="BW197" i="10"/>
  <c r="H191" i="12" s="1"/>
  <c r="J191" i="12" s="1"/>
  <c r="N191" i="12" s="1"/>
  <c r="T191" i="12" s="1"/>
  <c r="BV248" i="10"/>
  <c r="BV239" i="10"/>
  <c r="BW166" i="10"/>
  <c r="BW135" i="10"/>
  <c r="H134" i="12" s="1"/>
  <c r="J134" i="12" s="1"/>
  <c r="N134" i="12" s="1"/>
  <c r="T134" i="12" s="1"/>
  <c r="BV198" i="10"/>
  <c r="BV242" i="10"/>
  <c r="BV192" i="10"/>
  <c r="BV241" i="10"/>
  <c r="BW159" i="10"/>
  <c r="H153" i="12" s="1"/>
  <c r="J153" i="12" s="1"/>
  <c r="N153" i="12" s="1"/>
  <c r="T153" i="12" s="1"/>
  <c r="BW163" i="10"/>
  <c r="H157" i="12" s="1"/>
  <c r="J157" i="12" s="1"/>
  <c r="N157" i="12" s="1"/>
  <c r="T157" i="12" s="1"/>
  <c r="BW180" i="10"/>
  <c r="H174" i="12" s="1"/>
  <c r="J174" i="12" s="1"/>
  <c r="N174" i="12" s="1"/>
  <c r="T174" i="12" s="1"/>
  <c r="BV246" i="10"/>
  <c r="BV226" i="10"/>
  <c r="BW176" i="10"/>
  <c r="BV194" i="10"/>
  <c r="BW172" i="10"/>
  <c r="H166" i="12" s="1"/>
  <c r="J166" i="12" s="1"/>
  <c r="N166" i="12" s="1"/>
  <c r="T166" i="12" s="1"/>
  <c r="BV210" i="10"/>
  <c r="BW170" i="10"/>
  <c r="H164" i="12" s="1"/>
  <c r="J164" i="12" s="1"/>
  <c r="N164" i="12" s="1"/>
  <c r="T164" i="12" s="1"/>
  <c r="BW218" i="10"/>
  <c r="H212" i="12" s="1"/>
  <c r="J212" i="12" s="1"/>
  <c r="N212" i="12" s="1"/>
  <c r="T212" i="12" s="1"/>
  <c r="BW186" i="10"/>
  <c r="CA206" i="9"/>
  <c r="H200" i="11" s="1"/>
  <c r="J200" i="11" s="1"/>
  <c r="N200" i="11" s="1"/>
  <c r="T200" i="11" s="1"/>
  <c r="BX218" i="9"/>
  <c r="BW156" i="9"/>
  <c r="BV236" i="9"/>
  <c r="BZ236" i="9" s="1"/>
  <c r="BV184" i="9"/>
  <c r="BX154" i="9"/>
  <c r="BV154" i="9"/>
  <c r="BW154" i="9"/>
  <c r="BX39" i="9"/>
  <c r="BV39" i="9"/>
  <c r="BY39" i="9" s="1"/>
  <c r="BW39" i="9"/>
  <c r="BV65" i="9"/>
  <c r="BZ65" i="9" s="1"/>
  <c r="BV31" i="9"/>
  <c r="BX88" i="9"/>
  <c r="BW168" i="9"/>
  <c r="BW210" i="9"/>
  <c r="BV217" i="9"/>
  <c r="BW184" i="9"/>
  <c r="BX168" i="9"/>
  <c r="BV210" i="9"/>
  <c r="BZ210" i="9" s="1"/>
  <c r="BX217" i="9"/>
  <c r="BX184" i="9"/>
  <c r="CA168" i="9"/>
  <c r="H162" i="11" s="1"/>
  <c r="J162" i="11" s="1"/>
  <c r="N162" i="11" s="1"/>
  <c r="T162" i="11" s="1"/>
  <c r="CA217" i="9"/>
  <c r="H211" i="11" s="1"/>
  <c r="J211" i="11" s="1"/>
  <c r="N211" i="11" s="1"/>
  <c r="T211" i="11" s="1"/>
  <c r="BW155" i="9"/>
  <c r="CA155" i="9"/>
  <c r="BV156" i="9"/>
  <c r="BY156" i="9" s="1"/>
  <c r="BX155" i="9"/>
  <c r="CA156" i="9"/>
  <c r="H150" i="11" s="1"/>
  <c r="J150" i="11" s="1"/>
  <c r="N150" i="11" s="1"/>
  <c r="T150" i="11" s="1"/>
  <c r="BX140" i="9"/>
  <c r="CA63" i="9"/>
  <c r="H62" i="11" s="1"/>
  <c r="J62" i="11" s="1"/>
  <c r="N62" i="11" s="1"/>
  <c r="T62" i="11" s="1"/>
  <c r="BV94" i="9"/>
  <c r="BY94" i="9" s="1"/>
  <c r="BV100" i="9"/>
  <c r="CA43" i="9"/>
  <c r="BW100" i="9"/>
  <c r="BX43" i="9"/>
  <c r="CA100" i="9"/>
  <c r="BV43" i="9"/>
  <c r="BY43" i="9" s="1"/>
  <c r="CA193" i="9"/>
  <c r="H187" i="11" s="1"/>
  <c r="J187" i="11" s="1"/>
  <c r="N187" i="11" s="1"/>
  <c r="T187" i="11" s="1"/>
  <c r="CA232" i="9"/>
  <c r="H226" i="11" s="1"/>
  <c r="J226" i="11" s="1"/>
  <c r="N226" i="11" s="1"/>
  <c r="T226" i="11" s="1"/>
  <c r="BV193" i="9"/>
  <c r="BY193" i="9" s="1"/>
  <c r="BW193" i="9"/>
  <c r="BV142" i="9"/>
  <c r="BY142" i="9" s="1"/>
  <c r="BX198" i="9"/>
  <c r="BV198" i="9"/>
  <c r="BY198" i="9" s="1"/>
  <c r="BW191" i="9"/>
  <c r="BW232" i="9"/>
  <c r="BV231" i="9"/>
  <c r="BZ231" i="9" s="1"/>
  <c r="BW238" i="9"/>
  <c r="BV232" i="9"/>
  <c r="BY232" i="9" s="1"/>
  <c r="H234" i="11"/>
  <c r="J234" i="11" s="1"/>
  <c r="N234" i="11" s="1"/>
  <c r="T234" i="11" s="1"/>
  <c r="CC240" i="9"/>
  <c r="H199" i="11"/>
  <c r="J199" i="11" s="1"/>
  <c r="N199" i="11" s="1"/>
  <c r="T199" i="11" s="1"/>
  <c r="H209" i="11"/>
  <c r="J209" i="11" s="1"/>
  <c r="N209" i="11" s="1"/>
  <c r="T209" i="11" s="1"/>
  <c r="H194" i="11"/>
  <c r="J194" i="11" s="1"/>
  <c r="N194" i="11" s="1"/>
  <c r="T194" i="11" s="1"/>
  <c r="H164" i="11"/>
  <c r="J164" i="11" s="1"/>
  <c r="N164" i="11" s="1"/>
  <c r="T164" i="11" s="1"/>
  <c r="H139" i="11"/>
  <c r="J139" i="11" s="1"/>
  <c r="N139" i="11" s="1"/>
  <c r="T139" i="11" s="1"/>
  <c r="H159" i="11"/>
  <c r="J159" i="11" s="1"/>
  <c r="N159" i="11" s="1"/>
  <c r="T159" i="11" s="1"/>
  <c r="H184" i="11"/>
  <c r="J184" i="11" s="1"/>
  <c r="N184" i="11" s="1"/>
  <c r="T184" i="11" s="1"/>
  <c r="H219" i="11"/>
  <c r="J219" i="11" s="1"/>
  <c r="N219" i="11" s="1"/>
  <c r="T219" i="11" s="1"/>
  <c r="H229" i="11"/>
  <c r="J229" i="11" s="1"/>
  <c r="N229" i="11" s="1"/>
  <c r="T229" i="11" s="1"/>
  <c r="CA195" i="9"/>
  <c r="H224" i="11"/>
  <c r="J224" i="11" s="1"/>
  <c r="N224" i="11" s="1"/>
  <c r="T224" i="11" s="1"/>
  <c r="H174" i="11"/>
  <c r="J174" i="11" s="1"/>
  <c r="N174" i="11" s="1"/>
  <c r="T174" i="11" s="1"/>
  <c r="H179" i="11"/>
  <c r="J179" i="11" s="1"/>
  <c r="N179" i="11" s="1"/>
  <c r="T179" i="11" s="1"/>
  <c r="H204" i="11"/>
  <c r="J204" i="11" s="1"/>
  <c r="N204" i="11" s="1"/>
  <c r="T204" i="11" s="1"/>
  <c r="H169" i="11"/>
  <c r="J169" i="11" s="1"/>
  <c r="N169" i="11" s="1"/>
  <c r="T169" i="11" s="1"/>
  <c r="BW216" i="9"/>
  <c r="BW195" i="9"/>
  <c r="CA216" i="9"/>
  <c r="H210" i="11" s="1"/>
  <c r="J210" i="11" s="1"/>
  <c r="N210" i="11" s="1"/>
  <c r="T210" i="11" s="1"/>
  <c r="BV205" i="9"/>
  <c r="BW199" i="9"/>
  <c r="BW205" i="9"/>
  <c r="BW149" i="9"/>
  <c r="BX205" i="9"/>
  <c r="BX74" i="9"/>
  <c r="BW49" i="9"/>
  <c r="CA131" i="9"/>
  <c r="J130" i="11" s="1"/>
  <c r="BW54" i="9"/>
  <c r="BW96" i="9"/>
  <c r="CA113" i="9"/>
  <c r="H112" i="11" s="1"/>
  <c r="J112" i="11" s="1"/>
  <c r="N112" i="11" s="1"/>
  <c r="T112" i="11" s="1"/>
  <c r="BV106" i="9"/>
  <c r="BZ106" i="9" s="1"/>
  <c r="BW74" i="9"/>
  <c r="BX49" i="9"/>
  <c r="BV131" i="9"/>
  <c r="BW79" i="9"/>
  <c r="BV57" i="9"/>
  <c r="CA96" i="9"/>
  <c r="H95" i="11" s="1"/>
  <c r="J95" i="11" s="1"/>
  <c r="N95" i="11" s="1"/>
  <c r="T95" i="11" s="1"/>
  <c r="BX108" i="9"/>
  <c r="BV113" i="9"/>
  <c r="BY113" i="9" s="1"/>
  <c r="BX52" i="9"/>
  <c r="BX79" i="9"/>
  <c r="BW57" i="9"/>
  <c r="BW108" i="9"/>
  <c r="BX90" i="9"/>
  <c r="BW119" i="9"/>
  <c r="CA133" i="9"/>
  <c r="J132" i="11" s="1"/>
  <c r="BW52" i="9"/>
  <c r="BV79" i="9"/>
  <c r="BZ79" i="9" s="1"/>
  <c r="BV77" i="9"/>
  <c r="BZ77" i="9" s="1"/>
  <c r="CA108" i="9"/>
  <c r="H107" i="11" s="1"/>
  <c r="J107" i="11" s="1"/>
  <c r="N107" i="11" s="1"/>
  <c r="T107" i="11" s="1"/>
  <c r="CA90" i="9"/>
  <c r="BV119" i="9"/>
  <c r="BV33" i="9"/>
  <c r="BY33" i="9" s="1"/>
  <c r="BX113" i="9"/>
  <c r="BX133" i="9"/>
  <c r="CA52" i="9"/>
  <c r="H51" i="11" s="1"/>
  <c r="J51" i="11" s="1"/>
  <c r="N51" i="11" s="1"/>
  <c r="T51" i="11" s="1"/>
  <c r="BV54" i="9"/>
  <c r="BY54" i="9" s="1"/>
  <c r="BW77" i="9"/>
  <c r="BV90" i="9"/>
  <c r="BZ90" i="9" s="1"/>
  <c r="BX33" i="9"/>
  <c r="CA106" i="9"/>
  <c r="H105" i="11" s="1"/>
  <c r="J105" i="11" s="1"/>
  <c r="N105" i="11" s="1"/>
  <c r="T105" i="11" s="1"/>
  <c r="BX46" i="9"/>
  <c r="BV116" i="9"/>
  <c r="BY116" i="9" s="1"/>
  <c r="CA65" i="9"/>
  <c r="BV41" i="9"/>
  <c r="BY41" i="9" s="1"/>
  <c r="CA82" i="9"/>
  <c r="H81" i="11" s="1"/>
  <c r="J81" i="11" s="1"/>
  <c r="N81" i="11" s="1"/>
  <c r="T81" i="11" s="1"/>
  <c r="BW65" i="9"/>
  <c r="BV173" i="9"/>
  <c r="BZ173" i="9" s="1"/>
  <c r="BW146" i="9"/>
  <c r="BW206" i="9"/>
  <c r="BX222" i="9"/>
  <c r="CA236" i="9"/>
  <c r="H230" i="11" s="1"/>
  <c r="J230" i="11" s="1"/>
  <c r="N230" i="11" s="1"/>
  <c r="T230" i="11" s="1"/>
  <c r="CA211" i="9"/>
  <c r="H205" i="11" s="1"/>
  <c r="J205" i="11" s="1"/>
  <c r="N205" i="11" s="1"/>
  <c r="T205" i="11" s="1"/>
  <c r="BX173" i="9"/>
  <c r="CA146" i="9"/>
  <c r="H140" i="11" s="1"/>
  <c r="J140" i="11" s="1"/>
  <c r="N140" i="11" s="1"/>
  <c r="T140" i="11" s="1"/>
  <c r="BW222" i="9"/>
  <c r="BW173" i="9"/>
  <c r="BV146" i="9"/>
  <c r="BZ146" i="9" s="1"/>
  <c r="BW211" i="9"/>
  <c r="BW192" i="9"/>
  <c r="BW147" i="9"/>
  <c r="BX147" i="9"/>
  <c r="CA142" i="9"/>
  <c r="CC140" i="9" s="1"/>
  <c r="BW198" i="9"/>
  <c r="CA141" i="9"/>
  <c r="J135" i="11" s="1"/>
  <c r="N135" i="11" s="1"/>
  <c r="T135" i="11" s="1"/>
  <c r="BW142" i="9"/>
  <c r="BX141" i="9"/>
  <c r="BV147" i="9"/>
  <c r="BZ147" i="9" s="1"/>
  <c r="BX216" i="9"/>
  <c r="BX149" i="9"/>
  <c r="BX192" i="9"/>
  <c r="BW231" i="9"/>
  <c r="BX195" i="9"/>
  <c r="BX171" i="9"/>
  <c r="BW171" i="9"/>
  <c r="BW220" i="9"/>
  <c r="CA192" i="9"/>
  <c r="H186" i="11" s="1"/>
  <c r="J186" i="11" s="1"/>
  <c r="N186" i="11" s="1"/>
  <c r="T186" i="11" s="1"/>
  <c r="BV199" i="9"/>
  <c r="BY199" i="9" s="1"/>
  <c r="CA199" i="9"/>
  <c r="H193" i="11" s="1"/>
  <c r="J193" i="11" s="1"/>
  <c r="N193" i="11" s="1"/>
  <c r="T193" i="11" s="1"/>
  <c r="BV171" i="9"/>
  <c r="BZ171" i="9" s="1"/>
  <c r="CA231" i="9"/>
  <c r="H225" i="11" s="1"/>
  <c r="J225" i="11" s="1"/>
  <c r="N225" i="11" s="1"/>
  <c r="T225" i="11" s="1"/>
  <c r="CA220" i="9"/>
  <c r="BW167" i="9"/>
  <c r="CA191" i="9"/>
  <c r="H185" i="11" s="1"/>
  <c r="J185" i="11" s="1"/>
  <c r="N185" i="11" s="1"/>
  <c r="T185" i="11" s="1"/>
  <c r="CA189" i="9"/>
  <c r="H183" i="11" s="1"/>
  <c r="J183" i="11" s="1"/>
  <c r="N183" i="11" s="1"/>
  <c r="T183" i="11" s="1"/>
  <c r="BV226" i="9"/>
  <c r="BY226" i="9" s="1"/>
  <c r="BW226" i="9"/>
  <c r="BV167" i="9"/>
  <c r="BX191" i="9"/>
  <c r="BW189" i="9"/>
  <c r="CA226" i="9"/>
  <c r="H220" i="11" s="1"/>
  <c r="J220" i="11" s="1"/>
  <c r="N220" i="11" s="1"/>
  <c r="T220" i="11" s="1"/>
  <c r="BX189" i="9"/>
  <c r="CA121" i="9"/>
  <c r="H120" i="11" s="1"/>
  <c r="J120" i="11" s="1"/>
  <c r="N120" i="11" s="1"/>
  <c r="T120" i="11" s="1"/>
  <c r="BX119" i="9"/>
  <c r="BW46" i="9"/>
  <c r="BV91" i="9"/>
  <c r="BX121" i="9"/>
  <c r="BX97" i="9"/>
  <c r="CA92" i="9"/>
  <c r="H91" i="11" s="1"/>
  <c r="J91" i="11" s="1"/>
  <c r="N91" i="11" s="1"/>
  <c r="T91" i="11" s="1"/>
  <c r="BW126" i="9"/>
  <c r="BX68" i="9"/>
  <c r="BV93" i="9"/>
  <c r="BZ93" i="9" s="1"/>
  <c r="BV121" i="9"/>
  <c r="BY121" i="9" s="1"/>
  <c r="BW97" i="9"/>
  <c r="BX92" i="9"/>
  <c r="BV46" i="9"/>
  <c r="BY46" i="9" s="1"/>
  <c r="BX126" i="9"/>
  <c r="BV68" i="9"/>
  <c r="BY68" i="9" s="1"/>
  <c r="BW93" i="9"/>
  <c r="BX44" i="9"/>
  <c r="CA97" i="9"/>
  <c r="H96" i="11" s="1"/>
  <c r="J96" i="11" s="1"/>
  <c r="N96" i="11" s="1"/>
  <c r="T96" i="11" s="1"/>
  <c r="BV92" i="9"/>
  <c r="CA64" i="9"/>
  <c r="CA126" i="9"/>
  <c r="H125" i="11" s="1"/>
  <c r="J125" i="11" s="1"/>
  <c r="N125" i="11" s="1"/>
  <c r="T125" i="11" s="1"/>
  <c r="BW68" i="9"/>
  <c r="CA93" i="9"/>
  <c r="H92" i="11" s="1"/>
  <c r="J92" i="11" s="1"/>
  <c r="N92" i="11" s="1"/>
  <c r="T92" i="11" s="1"/>
  <c r="BX221" i="9"/>
  <c r="BX237" i="9"/>
  <c r="BW221" i="9"/>
  <c r="BV221" i="9"/>
  <c r="BY221" i="9" s="1"/>
  <c r="CA157" i="9"/>
  <c r="H151" i="11" s="1"/>
  <c r="J151" i="11" s="1"/>
  <c r="N151" i="11" s="1"/>
  <c r="T151" i="11" s="1"/>
  <c r="BW157" i="9"/>
  <c r="BV157" i="9"/>
  <c r="BY157" i="9" s="1"/>
  <c r="BV237" i="9"/>
  <c r="BZ237" i="9" s="1"/>
  <c r="CA237" i="9"/>
  <c r="H231" i="11" s="1"/>
  <c r="J231" i="11" s="1"/>
  <c r="N231" i="11" s="1"/>
  <c r="T231" i="11" s="1"/>
  <c r="BV140" i="9"/>
  <c r="BY140" i="9" s="1"/>
  <c r="BW140" i="9"/>
  <c r="BX206" i="9"/>
  <c r="BX167" i="9"/>
  <c r="CA227" i="9"/>
  <c r="H221" i="11" s="1"/>
  <c r="J221" i="11" s="1"/>
  <c r="N221" i="11" s="1"/>
  <c r="T221" i="11" s="1"/>
  <c r="CA228" i="9"/>
  <c r="H222" i="11" s="1"/>
  <c r="J222" i="11" s="1"/>
  <c r="N222" i="11" s="1"/>
  <c r="T222" i="11" s="1"/>
  <c r="BW236" i="9"/>
  <c r="BX220" i="9"/>
  <c r="CA149" i="9"/>
  <c r="H143" i="11" s="1"/>
  <c r="J143" i="11" s="1"/>
  <c r="N143" i="11" s="1"/>
  <c r="T143" i="11" s="1"/>
  <c r="BW225" i="9"/>
  <c r="BW196" i="9"/>
  <c r="BW218" i="9"/>
  <c r="BV211" i="9"/>
  <c r="BZ211" i="9" s="1"/>
  <c r="BV188" i="10"/>
  <c r="BW179" i="10"/>
  <c r="H173" i="12" s="1"/>
  <c r="J173" i="12" s="1"/>
  <c r="N173" i="12" s="1"/>
  <c r="T173" i="12" s="1"/>
  <c r="BV220" i="10"/>
  <c r="BW224" i="10"/>
  <c r="H218" i="12" s="1"/>
  <c r="J218" i="12" s="1"/>
  <c r="N218" i="12" s="1"/>
  <c r="T218" i="12" s="1"/>
  <c r="BV225" i="10"/>
  <c r="BX145" i="9"/>
  <c r="BW145" i="9"/>
  <c r="BV145" i="9"/>
  <c r="BY145" i="9" s="1"/>
  <c r="CA41" i="9"/>
  <c r="H40" i="11" s="1"/>
  <c r="J40" i="11" s="1"/>
  <c r="N40" i="11" s="1"/>
  <c r="T40" i="11" s="1"/>
  <c r="CA116" i="9"/>
  <c r="H115" i="11" s="1"/>
  <c r="J115" i="11" s="1"/>
  <c r="N115" i="11" s="1"/>
  <c r="T115" i="11" s="1"/>
  <c r="BX82" i="9"/>
  <c r="BW41" i="9"/>
  <c r="BW116" i="9"/>
  <c r="BV82" i="9"/>
  <c r="BZ82" i="9" s="1"/>
  <c r="BX111" i="9"/>
  <c r="CA111" i="9"/>
  <c r="H110" i="11" s="1"/>
  <c r="J110" i="11" s="1"/>
  <c r="N110" i="11" s="1"/>
  <c r="T110" i="11" s="1"/>
  <c r="BV111" i="9"/>
  <c r="BY111" i="9" s="1"/>
  <c r="CA89" i="9"/>
  <c r="H88" i="11" s="1"/>
  <c r="J88" i="11" s="1"/>
  <c r="N88" i="11" s="1"/>
  <c r="T88" i="11" s="1"/>
  <c r="BW89" i="9"/>
  <c r="CC33" i="9"/>
  <c r="BV233" i="10"/>
  <c r="BV219" i="10"/>
  <c r="BV157" i="10"/>
  <c r="BW207" i="10"/>
  <c r="H201" i="12" s="1"/>
  <c r="J201" i="12" s="1"/>
  <c r="N201" i="12" s="1"/>
  <c r="T201" i="12" s="1"/>
  <c r="BV212" i="10"/>
  <c r="BW191" i="10"/>
  <c r="BW232" i="10"/>
  <c r="H226" i="12" s="1"/>
  <c r="J226" i="12" s="1"/>
  <c r="N226" i="12" s="1"/>
  <c r="T226" i="12" s="1"/>
  <c r="BV245" i="10"/>
  <c r="BV36" i="10"/>
  <c r="BW204" i="10"/>
  <c r="H198" i="12" s="1"/>
  <c r="J198" i="12" s="1"/>
  <c r="N198" i="12" s="1"/>
  <c r="T198" i="12" s="1"/>
  <c r="BV237" i="10"/>
  <c r="BV171" i="10"/>
  <c r="BW177" i="10"/>
  <c r="H171" i="12" s="1"/>
  <c r="J171" i="12" s="1"/>
  <c r="N171" i="12" s="1"/>
  <c r="T171" i="12" s="1"/>
  <c r="BW235" i="10"/>
  <c r="H229" i="12" s="1"/>
  <c r="J229" i="12" s="1"/>
  <c r="N229" i="12" s="1"/>
  <c r="T229" i="12" s="1"/>
  <c r="BW161" i="10"/>
  <c r="BW230" i="10"/>
  <c r="H224" i="12" s="1"/>
  <c r="J224" i="12" s="1"/>
  <c r="N224" i="12" s="1"/>
  <c r="T224" i="12" s="1"/>
  <c r="BV70" i="10"/>
  <c r="BW167" i="10"/>
  <c r="H161" i="12" s="1"/>
  <c r="J161" i="12" s="1"/>
  <c r="N161" i="12" s="1"/>
  <c r="T161" i="12" s="1"/>
  <c r="BW160" i="10"/>
  <c r="H154" i="12" s="1"/>
  <c r="J154" i="12" s="1"/>
  <c r="N154" i="12" s="1"/>
  <c r="T154" i="12" s="1"/>
  <c r="BV206" i="10"/>
  <c r="BW208" i="10"/>
  <c r="H202" i="12" s="1"/>
  <c r="J202" i="12" s="1"/>
  <c r="N202" i="12" s="1"/>
  <c r="T202" i="12" s="1"/>
  <c r="BW199" i="10"/>
  <c r="H193" i="12" s="1"/>
  <c r="J193" i="12" s="1"/>
  <c r="N193" i="12" s="1"/>
  <c r="T193" i="12" s="1"/>
  <c r="BW43" i="10"/>
  <c r="H42" i="12" s="1"/>
  <c r="J42" i="12" s="1"/>
  <c r="N42" i="12" s="1"/>
  <c r="T42" i="12" s="1"/>
  <c r="BX238" i="9"/>
  <c r="BV238" i="9"/>
  <c r="BZ238" i="9" s="1"/>
  <c r="CA229" i="9"/>
  <c r="H223" i="11" s="1"/>
  <c r="J223" i="11" s="1"/>
  <c r="N223" i="11" s="1"/>
  <c r="T223" i="11" s="1"/>
  <c r="BV150" i="9"/>
  <c r="BY150" i="9" s="1"/>
  <c r="BV229" i="9"/>
  <c r="BZ229" i="9" s="1"/>
  <c r="BX150" i="9"/>
  <c r="BW229" i="9"/>
  <c r="CA150" i="9"/>
  <c r="CC150" i="9" s="1"/>
  <c r="BV64" i="9"/>
  <c r="BY64" i="9" s="1"/>
  <c r="BW60" i="9"/>
  <c r="BX64" i="9"/>
  <c r="BV67" i="9"/>
  <c r="BY67" i="9" s="1"/>
  <c r="BX47" i="9"/>
  <c r="BX67" i="9"/>
  <c r="BV130" i="9"/>
  <c r="BZ130" i="9" s="1"/>
  <c r="BW130" i="9"/>
  <c r="BW109" i="9"/>
  <c r="BX130" i="9"/>
  <c r="CA60" i="9"/>
  <c r="BX60" i="9"/>
  <c r="BW47" i="9"/>
  <c r="BV44" i="9"/>
  <c r="BZ44" i="9" s="1"/>
  <c r="BV89" i="9"/>
  <c r="BZ89" i="9" s="1"/>
  <c r="BW88" i="9"/>
  <c r="CA194" i="9"/>
  <c r="H188" i="11" s="1"/>
  <c r="J188" i="11" s="1"/>
  <c r="N188" i="11" s="1"/>
  <c r="T188" i="11" s="1"/>
  <c r="BX194" i="9"/>
  <c r="BV194" i="9"/>
  <c r="BZ194" i="9" s="1"/>
  <c r="CA223" i="9"/>
  <c r="H217" i="11" s="1"/>
  <c r="J217" i="11" s="1"/>
  <c r="N217" i="11" s="1"/>
  <c r="T217" i="11" s="1"/>
  <c r="BV223" i="9"/>
  <c r="BZ223" i="9" s="1"/>
  <c r="BX223" i="9"/>
  <c r="BW91" i="9"/>
  <c r="CA72" i="9"/>
  <c r="H71" i="11" s="1"/>
  <c r="J71" i="11" s="1"/>
  <c r="N71" i="11" s="1"/>
  <c r="T71" i="11" s="1"/>
  <c r="BW72" i="9"/>
  <c r="CA94" i="9"/>
  <c r="H93" i="11" s="1"/>
  <c r="J93" i="11" s="1"/>
  <c r="N93" i="11" s="1"/>
  <c r="T93" i="11" s="1"/>
  <c r="BX91" i="9"/>
  <c r="BV72" i="9"/>
  <c r="BZ72" i="9" s="1"/>
  <c r="BX94" i="9"/>
  <c r="BW53" i="9"/>
  <c r="BV47" i="9"/>
  <c r="BY47" i="9" s="1"/>
  <c r="CA53" i="9"/>
  <c r="H52" i="11" s="1"/>
  <c r="J52" i="11" s="1"/>
  <c r="N52" i="11" s="1"/>
  <c r="T52" i="11" s="1"/>
  <c r="CA44" i="9"/>
  <c r="BV53" i="9"/>
  <c r="BZ53" i="9" s="1"/>
  <c r="BX37" i="9"/>
  <c r="BX123" i="9"/>
  <c r="BV109" i="9"/>
  <c r="BY109" i="9" s="1"/>
  <c r="BX85" i="9"/>
  <c r="CA123" i="9"/>
  <c r="H122" i="11" s="1"/>
  <c r="J122" i="11" s="1"/>
  <c r="N122" i="11" s="1"/>
  <c r="T122" i="11" s="1"/>
  <c r="BX109" i="9"/>
  <c r="BW85" i="9"/>
  <c r="BW123" i="9"/>
  <c r="CA85" i="9"/>
  <c r="BV95" i="10"/>
  <c r="BV52" i="10"/>
  <c r="BW52" i="10"/>
  <c r="H51" i="12" s="1"/>
  <c r="J51" i="12" s="1"/>
  <c r="N51" i="12" s="1"/>
  <c r="T51" i="12" s="1"/>
  <c r="BV32" i="10"/>
  <c r="BW32" i="10"/>
  <c r="J31" i="12" s="1"/>
  <c r="N31" i="12" s="1"/>
  <c r="T31" i="12" s="1"/>
  <c r="BW103" i="10"/>
  <c r="BV103" i="10"/>
  <c r="BY162" i="9"/>
  <c r="BZ162" i="9"/>
  <c r="BY98" i="9"/>
  <c r="BZ98" i="9"/>
  <c r="BY219" i="9"/>
  <c r="BZ219" i="9"/>
  <c r="BZ52" i="9"/>
  <c r="BY52" i="9"/>
  <c r="BW53" i="10"/>
  <c r="H52" i="12" s="1"/>
  <c r="J52" i="12" s="1"/>
  <c r="N52" i="12" s="1"/>
  <c r="T52" i="12" s="1"/>
  <c r="BV53" i="10"/>
  <c r="BY102" i="9"/>
  <c r="BZ102" i="9"/>
  <c r="BX178" i="9"/>
  <c r="CA178" i="9"/>
  <c r="H172" i="11" s="1"/>
  <c r="J172" i="11" s="1"/>
  <c r="N172" i="11" s="1"/>
  <c r="T172" i="11" s="1"/>
  <c r="BV178" i="9"/>
  <c r="BW178" i="9"/>
  <c r="BZ168" i="9"/>
  <c r="BY168" i="9"/>
  <c r="BW115" i="10"/>
  <c r="H114" i="12" s="1"/>
  <c r="J114" i="12" s="1"/>
  <c r="N114" i="12" s="1"/>
  <c r="T114" i="12" s="1"/>
  <c r="BV115" i="10"/>
  <c r="BV105" i="10"/>
  <c r="BW105" i="10"/>
  <c r="H104" i="12" s="1"/>
  <c r="J104" i="12" s="1"/>
  <c r="N104" i="12" s="1"/>
  <c r="T104" i="12" s="1"/>
  <c r="BW76" i="10"/>
  <c r="H75" i="12" s="1"/>
  <c r="J75" i="12" s="1"/>
  <c r="N75" i="12" s="1"/>
  <c r="T75" i="12" s="1"/>
  <c r="BV76" i="10"/>
  <c r="BZ84" i="9"/>
  <c r="BY84" i="9"/>
  <c r="BW51" i="9"/>
  <c r="BV51" i="9"/>
  <c r="CA51" i="9"/>
  <c r="H50" i="11" s="1"/>
  <c r="J50" i="11" s="1"/>
  <c r="N50" i="11" s="1"/>
  <c r="T50" i="11" s="1"/>
  <c r="BX51" i="9"/>
  <c r="BY60" i="9"/>
  <c r="BZ60" i="9"/>
  <c r="BZ114" i="9"/>
  <c r="BY114" i="9"/>
  <c r="BZ164" i="9"/>
  <c r="BY164" i="9"/>
  <c r="BZ50" i="9"/>
  <c r="BY50" i="9"/>
  <c r="BV127" i="10"/>
  <c r="BW127" i="10"/>
  <c r="H126" i="12" s="1"/>
  <c r="J126" i="12" s="1"/>
  <c r="N126" i="12" s="1"/>
  <c r="T126" i="12" s="1"/>
  <c r="BZ200" i="9"/>
  <c r="BY200" i="9"/>
  <c r="BY34" i="9"/>
  <c r="BZ34" i="9"/>
  <c r="BW40" i="10"/>
  <c r="BV40" i="10"/>
  <c r="BV78" i="10"/>
  <c r="BW78" i="10"/>
  <c r="H77" i="12" s="1"/>
  <c r="J77" i="12" s="1"/>
  <c r="N77" i="12" s="1"/>
  <c r="T77" i="12" s="1"/>
  <c r="BV71" i="9"/>
  <c r="CA71" i="9"/>
  <c r="H70" i="11" s="1"/>
  <c r="J70" i="11" s="1"/>
  <c r="N70" i="11" s="1"/>
  <c r="T70" i="11" s="1"/>
  <c r="BX71" i="9"/>
  <c r="BW71" i="9"/>
  <c r="BZ40" i="9"/>
  <c r="BY40" i="9"/>
  <c r="H38" i="11"/>
  <c r="J38" i="11" s="1"/>
  <c r="N38" i="11" s="1"/>
  <c r="T38" i="11" s="1"/>
  <c r="BY216" i="9"/>
  <c r="BZ216" i="9"/>
  <c r="BY172" i="9"/>
  <c r="BZ172" i="9"/>
  <c r="BW131" i="10"/>
  <c r="BV131" i="10"/>
  <c r="BV71" i="10"/>
  <c r="BW71" i="10"/>
  <c r="H70" i="12" s="1"/>
  <c r="J70" i="12" s="1"/>
  <c r="N70" i="12" s="1"/>
  <c r="T70" i="12" s="1"/>
  <c r="BV164" i="10"/>
  <c r="BW164" i="10"/>
  <c r="H158" i="12" s="1"/>
  <c r="J158" i="12" s="1"/>
  <c r="N158" i="12" s="1"/>
  <c r="T158" i="12" s="1"/>
  <c r="BY73" i="9"/>
  <c r="BZ73" i="9"/>
  <c r="BZ63" i="9"/>
  <c r="BY63" i="9"/>
  <c r="BY85" i="9"/>
  <c r="BZ85" i="9"/>
  <c r="BZ161" i="9"/>
  <c r="BY161" i="9"/>
  <c r="BV88" i="10"/>
  <c r="BW88" i="10"/>
  <c r="H87" i="12" s="1"/>
  <c r="J87" i="12" s="1"/>
  <c r="N87" i="12" s="1"/>
  <c r="T87" i="12" s="1"/>
  <c r="BZ74" i="9"/>
  <c r="BY74" i="9"/>
  <c r="H48" i="11"/>
  <c r="J48" i="11" s="1"/>
  <c r="N48" i="11" s="1"/>
  <c r="T48" i="11" s="1"/>
  <c r="BV97" i="10"/>
  <c r="BW97" i="10"/>
  <c r="H96" i="12" s="1"/>
  <c r="J96" i="12" s="1"/>
  <c r="N96" i="12" s="1"/>
  <c r="T96" i="12" s="1"/>
  <c r="BW160" i="9"/>
  <c r="BV160" i="9"/>
  <c r="BX160" i="9"/>
  <c r="CA160" i="9"/>
  <c r="CC160" i="9" s="1"/>
  <c r="BV73" i="10"/>
  <c r="BW73" i="10"/>
  <c r="H72" i="12" s="1"/>
  <c r="J72" i="12" s="1"/>
  <c r="N72" i="12" s="1"/>
  <c r="T72" i="12" s="1"/>
  <c r="BY202" i="9"/>
  <c r="BZ202" i="9"/>
  <c r="BZ42" i="9"/>
  <c r="BY42" i="9"/>
  <c r="BW75" i="10"/>
  <c r="BV75" i="10"/>
  <c r="BY81" i="9"/>
  <c r="BZ81" i="9"/>
  <c r="BY217" i="9"/>
  <c r="BZ217" i="9"/>
  <c r="H83" i="11"/>
  <c r="J83" i="11" s="1"/>
  <c r="N83" i="11" s="1"/>
  <c r="T83" i="11" s="1"/>
  <c r="BV201" i="9"/>
  <c r="BX201" i="9"/>
  <c r="BW201" i="9"/>
  <c r="CA201" i="9"/>
  <c r="H195" i="11" s="1"/>
  <c r="J195" i="11" s="1"/>
  <c r="N195" i="11" s="1"/>
  <c r="T195" i="11" s="1"/>
  <c r="BY108" i="9"/>
  <c r="BZ108" i="9"/>
  <c r="H98" i="11"/>
  <c r="J98" i="11" s="1"/>
  <c r="N98" i="11" s="1"/>
  <c r="T98" i="11" s="1"/>
  <c r="BY187" i="9"/>
  <c r="BZ187" i="9"/>
  <c r="BZ215" i="9"/>
  <c r="BY215" i="9"/>
  <c r="BV113" i="10"/>
  <c r="BW113" i="10"/>
  <c r="H112" i="12" s="1"/>
  <c r="J112" i="12" s="1"/>
  <c r="N112" i="12" s="1"/>
  <c r="T112" i="12" s="1"/>
  <c r="BW68" i="10"/>
  <c r="BV68" i="10"/>
  <c r="BZ95" i="9"/>
  <c r="BY95" i="9"/>
  <c r="BW47" i="10"/>
  <c r="BV47" i="10"/>
  <c r="BZ75" i="9"/>
  <c r="BY75" i="9"/>
  <c r="BZ181" i="9"/>
  <c r="BY181" i="9"/>
  <c r="BV228" i="10"/>
  <c r="BW228" i="10"/>
  <c r="H222" i="12" s="1"/>
  <c r="J222" i="12" s="1"/>
  <c r="N222" i="12" s="1"/>
  <c r="T222" i="12" s="1"/>
  <c r="BV111" i="10"/>
  <c r="BW111" i="10"/>
  <c r="H110" i="12" s="1"/>
  <c r="J110" i="12" s="1"/>
  <c r="N110" i="12" s="1"/>
  <c r="T110" i="12" s="1"/>
  <c r="BW86" i="10"/>
  <c r="H85" i="12" s="1"/>
  <c r="J85" i="12" s="1"/>
  <c r="N85" i="12" s="1"/>
  <c r="T85" i="12" s="1"/>
  <c r="BV86" i="10"/>
  <c r="BY173" i="9"/>
  <c r="BZ107" i="9"/>
  <c r="BY107" i="9"/>
  <c r="BZ87" i="9"/>
  <c r="BY87" i="9"/>
  <c r="BZ129" i="9"/>
  <c r="BY129" i="9"/>
  <c r="BW57" i="10"/>
  <c r="H56" i="12" s="1"/>
  <c r="J56" i="12" s="1"/>
  <c r="N56" i="12" s="1"/>
  <c r="T56" i="12" s="1"/>
  <c r="BV57" i="10"/>
  <c r="BW56" i="10"/>
  <c r="H55" i="12" s="1"/>
  <c r="J55" i="12" s="1"/>
  <c r="N55" i="12" s="1"/>
  <c r="T55" i="12" s="1"/>
  <c r="BV56" i="10"/>
  <c r="BV63" i="10"/>
  <c r="BW63" i="10"/>
  <c r="H62" i="12" s="1"/>
  <c r="J62" i="12" s="1"/>
  <c r="N62" i="12" s="1"/>
  <c r="T62" i="12" s="1"/>
  <c r="BW74" i="10"/>
  <c r="H73" i="12" s="1"/>
  <c r="J73" i="12" s="1"/>
  <c r="N73" i="12" s="1"/>
  <c r="T73" i="12" s="1"/>
  <c r="BV74" i="10"/>
  <c r="BV92" i="10"/>
  <c r="BW92" i="10"/>
  <c r="H91" i="12" s="1"/>
  <c r="J91" i="12" s="1"/>
  <c r="N91" i="12" s="1"/>
  <c r="T91" i="12" s="1"/>
  <c r="BY128" i="9"/>
  <c r="BZ128" i="9"/>
  <c r="BZ55" i="9"/>
  <c r="BY55" i="9"/>
  <c r="BY61" i="9"/>
  <c r="BZ61" i="9"/>
  <c r="BW147" i="10"/>
  <c r="J146" i="12" s="1"/>
  <c r="N146" i="12" s="1"/>
  <c r="T146" i="12" s="1"/>
  <c r="BV147" i="10"/>
  <c r="BW79" i="10"/>
  <c r="H78" i="12" s="1"/>
  <c r="J78" i="12" s="1"/>
  <c r="N78" i="12" s="1"/>
  <c r="T78" i="12" s="1"/>
  <c r="BV79" i="10"/>
  <c r="BV89" i="10"/>
  <c r="BW89" i="10"/>
  <c r="BZ58" i="9"/>
  <c r="BY58" i="9"/>
  <c r="BZ235" i="9"/>
  <c r="BY235" i="9"/>
  <c r="BY158" i="9"/>
  <c r="BZ158" i="9"/>
  <c r="BY144" i="9"/>
  <c r="BZ144" i="9"/>
  <c r="H151" i="12"/>
  <c r="J151" i="12" s="1"/>
  <c r="N151" i="12" s="1"/>
  <c r="T151" i="12" s="1"/>
  <c r="BW118" i="10"/>
  <c r="H117" i="12" s="1"/>
  <c r="J117" i="12" s="1"/>
  <c r="N117" i="12" s="1"/>
  <c r="T117" i="12" s="1"/>
  <c r="BV118" i="10"/>
  <c r="BW33" i="10"/>
  <c r="BV33" i="10"/>
  <c r="BY207" i="9"/>
  <c r="BZ207" i="9"/>
  <c r="BY45" i="9"/>
  <c r="BZ45" i="9"/>
  <c r="BV104" i="10"/>
  <c r="BW104" i="10"/>
  <c r="H103" i="12" s="1"/>
  <c r="J103" i="12" s="1"/>
  <c r="N103" i="12" s="1"/>
  <c r="T103" i="12" s="1"/>
  <c r="BW46" i="10"/>
  <c r="H45" i="12" s="1"/>
  <c r="J45" i="12" s="1"/>
  <c r="N45" i="12" s="1"/>
  <c r="T45" i="12" s="1"/>
  <c r="BV46" i="10"/>
  <c r="BZ119" i="9"/>
  <c r="BY119" i="9"/>
  <c r="BZ112" i="9"/>
  <c r="BY112" i="9"/>
  <c r="BV85" i="10"/>
  <c r="BW85" i="10"/>
  <c r="H84" i="12" s="1"/>
  <c r="J84" i="12" s="1"/>
  <c r="N84" i="12" s="1"/>
  <c r="T84" i="12" s="1"/>
  <c r="BV38" i="10"/>
  <c r="BW38" i="10"/>
  <c r="H37" i="12" s="1"/>
  <c r="J37" i="12" s="1"/>
  <c r="N37" i="12" s="1"/>
  <c r="T37" i="12" s="1"/>
  <c r="BZ154" i="9"/>
  <c r="BY154" i="9"/>
  <c r="BY165" i="9"/>
  <c r="BZ165" i="9"/>
  <c r="BZ195" i="9"/>
  <c r="BY195" i="9"/>
  <c r="BY169" i="9"/>
  <c r="BZ169" i="9"/>
  <c r="BZ234" i="9"/>
  <c r="BY234" i="9"/>
  <c r="BY192" i="9"/>
  <c r="BZ192" i="9"/>
  <c r="BW120" i="10"/>
  <c r="H119" i="12" s="1"/>
  <c r="J119" i="12" s="1"/>
  <c r="N119" i="12" s="1"/>
  <c r="T119" i="12" s="1"/>
  <c r="BV120" i="10"/>
  <c r="BV116" i="10"/>
  <c r="BW116" i="10"/>
  <c r="H115" i="12" s="1"/>
  <c r="J115" i="12" s="1"/>
  <c r="N115" i="12" s="1"/>
  <c r="T115" i="12" s="1"/>
  <c r="BY209" i="9"/>
  <c r="BZ209" i="9"/>
  <c r="BY166" i="9"/>
  <c r="BZ166" i="9"/>
  <c r="BZ49" i="9"/>
  <c r="BY49" i="9"/>
  <c r="BW91" i="10"/>
  <c r="H90" i="12" s="1"/>
  <c r="J90" i="12" s="1"/>
  <c r="N90" i="12" s="1"/>
  <c r="T90" i="12" s="1"/>
  <c r="BV91" i="10"/>
  <c r="BW128" i="10"/>
  <c r="H127" i="12" s="1"/>
  <c r="J127" i="12" s="1"/>
  <c r="N127" i="12" s="1"/>
  <c r="T127" i="12" s="1"/>
  <c r="BV128" i="10"/>
  <c r="BV214" i="9"/>
  <c r="BW214" i="9"/>
  <c r="CA214" i="9"/>
  <c r="H208" i="11" s="1"/>
  <c r="J208" i="11" s="1"/>
  <c r="N208" i="11" s="1"/>
  <c r="T208" i="11" s="1"/>
  <c r="BX214" i="9"/>
  <c r="BZ221" i="9"/>
  <c r="BY225" i="9"/>
  <c r="BZ225" i="9"/>
  <c r="BZ101" i="9"/>
  <c r="BY101" i="9"/>
  <c r="BY240" i="9"/>
  <c r="BZ240" i="9"/>
  <c r="BZ69" i="9"/>
  <c r="BY69" i="9"/>
  <c r="BY206" i="9"/>
  <c r="BZ206" i="9"/>
  <c r="BY152" i="9"/>
  <c r="BZ152" i="9"/>
  <c r="BW190" i="10"/>
  <c r="H184" i="12" s="1"/>
  <c r="J184" i="12" s="1"/>
  <c r="N184" i="12" s="1"/>
  <c r="T184" i="12" s="1"/>
  <c r="BV190" i="10"/>
  <c r="H78" i="11"/>
  <c r="J78" i="11" s="1"/>
  <c r="N78" i="11" s="1"/>
  <c r="T78" i="11" s="1"/>
  <c r="BZ70" i="9"/>
  <c r="BY70" i="9"/>
  <c r="BY105" i="9"/>
  <c r="BZ105" i="9"/>
  <c r="BZ190" i="9"/>
  <c r="BY190" i="9"/>
  <c r="BV133" i="10"/>
  <c r="BW133" i="10"/>
  <c r="H132" i="12" s="1"/>
  <c r="J132" i="12" s="1"/>
  <c r="N132" i="12" s="1"/>
  <c r="T132" i="12" s="1"/>
  <c r="BZ182" i="9"/>
  <c r="BY182" i="9"/>
  <c r="BV41" i="10"/>
  <c r="BW41" i="10"/>
  <c r="H40" i="12" s="1"/>
  <c r="J40" i="12" s="1"/>
  <c r="N40" i="12" s="1"/>
  <c r="T40" i="12" s="1"/>
  <c r="BW182" i="10"/>
  <c r="H176" i="12" s="1"/>
  <c r="J176" i="12" s="1"/>
  <c r="N176" i="12" s="1"/>
  <c r="T176" i="12" s="1"/>
  <c r="BV182" i="10"/>
  <c r="BW61" i="10"/>
  <c r="BV61" i="10"/>
  <c r="BV146" i="10"/>
  <c r="BW146" i="10"/>
  <c r="H145" i="12" s="1"/>
  <c r="J145" i="12" s="1"/>
  <c r="N145" i="12" s="1"/>
  <c r="T145" i="12" s="1"/>
  <c r="BW32" i="9"/>
  <c r="BX32" i="9"/>
  <c r="BV32" i="9"/>
  <c r="CA32" i="9"/>
  <c r="BY97" i="9"/>
  <c r="BZ97" i="9"/>
  <c r="BZ184" i="9"/>
  <c r="BY184" i="9"/>
  <c r="BZ183" i="9"/>
  <c r="BY183" i="9"/>
  <c r="BY122" i="9"/>
  <c r="BZ122" i="9"/>
  <c r="BV134" i="10"/>
  <c r="BW134" i="10"/>
  <c r="H133" i="12" s="1"/>
  <c r="J133" i="12" s="1"/>
  <c r="N133" i="12" s="1"/>
  <c r="T133" i="12" s="1"/>
  <c r="BZ239" i="9"/>
  <c r="BY239" i="9"/>
  <c r="BZ132" i="9"/>
  <c r="BY132" i="9"/>
  <c r="BW138" i="10"/>
  <c r="BV138" i="10"/>
  <c r="BW124" i="10"/>
  <c r="BV124" i="10"/>
  <c r="BW148" i="10"/>
  <c r="J147" i="12" s="1"/>
  <c r="N147" i="12" s="1"/>
  <c r="T147" i="12" s="1"/>
  <c r="BV148" i="10"/>
  <c r="BW175" i="10"/>
  <c r="H169" i="12" s="1"/>
  <c r="J169" i="12" s="1"/>
  <c r="N169" i="12" s="1"/>
  <c r="T169" i="12" s="1"/>
  <c r="BV175" i="10"/>
  <c r="BY220" i="9"/>
  <c r="BZ220" i="9"/>
  <c r="H118" i="11"/>
  <c r="J118" i="11" s="1"/>
  <c r="N118" i="11" s="1"/>
  <c r="T118" i="11" s="1"/>
  <c r="BZ224" i="9"/>
  <c r="BY224" i="9"/>
  <c r="BW49" i="10"/>
  <c r="H48" i="12" s="1"/>
  <c r="J48" i="12" s="1"/>
  <c r="N48" i="12" s="1"/>
  <c r="T48" i="12" s="1"/>
  <c r="BV49" i="10"/>
  <c r="BW129" i="10"/>
  <c r="H128" i="12" s="1"/>
  <c r="J128" i="12" s="1"/>
  <c r="N128" i="12" s="1"/>
  <c r="T128" i="12" s="1"/>
  <c r="BV129" i="10"/>
  <c r="BZ174" i="9"/>
  <c r="BY174" i="9"/>
  <c r="BZ91" i="9"/>
  <c r="BY91" i="9"/>
  <c r="BV94" i="10"/>
  <c r="BW94" i="10"/>
  <c r="H93" i="12" s="1"/>
  <c r="J93" i="12" s="1"/>
  <c r="N93" i="12" s="1"/>
  <c r="T93" i="12" s="1"/>
  <c r="BV227" i="10"/>
  <c r="BW227" i="10"/>
  <c r="H221" i="12" s="1"/>
  <c r="J221" i="12" s="1"/>
  <c r="N221" i="12" s="1"/>
  <c r="T221" i="12" s="1"/>
  <c r="BZ133" i="9"/>
  <c r="BY133" i="9"/>
  <c r="BZ126" i="9"/>
  <c r="BY126" i="9"/>
  <c r="BV117" i="10"/>
  <c r="BW117" i="10"/>
  <c r="BV80" i="10"/>
  <c r="BW80" i="10"/>
  <c r="H79" i="12" s="1"/>
  <c r="J79" i="12" s="1"/>
  <c r="N79" i="12" s="1"/>
  <c r="T79" i="12" s="1"/>
  <c r="BW98" i="10"/>
  <c r="H97" i="12" s="1"/>
  <c r="J97" i="12" s="1"/>
  <c r="N97" i="12" s="1"/>
  <c r="T97" i="12" s="1"/>
  <c r="BV98" i="10"/>
  <c r="BV50" i="10"/>
  <c r="BW50" i="10"/>
  <c r="H49" i="12" s="1"/>
  <c r="J49" i="12" s="1"/>
  <c r="N49" i="12" s="1"/>
  <c r="T49" i="12" s="1"/>
  <c r="BZ141" i="9"/>
  <c r="BY141" i="9"/>
  <c r="BZ103" i="9"/>
  <c r="BY103" i="9"/>
  <c r="H68" i="11"/>
  <c r="J68" i="11" s="1"/>
  <c r="N68" i="11" s="1"/>
  <c r="T68" i="11" s="1"/>
  <c r="H108" i="11"/>
  <c r="J108" i="11" s="1"/>
  <c r="N108" i="11" s="1"/>
  <c r="T108" i="11" s="1"/>
  <c r="BV132" i="10"/>
  <c r="BW132" i="10"/>
  <c r="H131" i="12" s="1"/>
  <c r="J131" i="12" s="1"/>
  <c r="N131" i="12" s="1"/>
  <c r="T131" i="12" s="1"/>
  <c r="BZ131" i="9"/>
  <c r="BY131" i="9"/>
  <c r="BZ185" i="9"/>
  <c r="BY185" i="9"/>
  <c r="BY196" i="9"/>
  <c r="BZ196" i="9"/>
  <c r="BV45" i="10"/>
  <c r="BW45" i="10"/>
  <c r="H44" i="12" s="1"/>
  <c r="J44" i="12" s="1"/>
  <c r="N44" i="12" s="1"/>
  <c r="T44" i="12" s="1"/>
  <c r="BV90" i="10"/>
  <c r="BW90" i="10"/>
  <c r="H89" i="12" s="1"/>
  <c r="J89" i="12" s="1"/>
  <c r="N89" i="12" s="1"/>
  <c r="T89" i="12" s="1"/>
  <c r="BY78" i="9"/>
  <c r="BZ78" i="9"/>
  <c r="BZ88" i="9"/>
  <c r="BY88" i="9"/>
  <c r="BZ92" i="9"/>
  <c r="BY92" i="9"/>
  <c r="BZ76" i="9"/>
  <c r="BY76" i="9"/>
  <c r="BZ38" i="9"/>
  <c r="BY38" i="9"/>
  <c r="H103" i="11"/>
  <c r="J103" i="11" s="1"/>
  <c r="N103" i="11" s="1"/>
  <c r="T103" i="11" s="1"/>
  <c r="BW62" i="10"/>
  <c r="H61" i="12" s="1"/>
  <c r="J61" i="12" s="1"/>
  <c r="N61" i="12" s="1"/>
  <c r="T61" i="12" s="1"/>
  <c r="BV62" i="10"/>
  <c r="BW58" i="10"/>
  <c r="H57" i="12" s="1"/>
  <c r="J57" i="12" s="1"/>
  <c r="N57" i="12" s="1"/>
  <c r="T57" i="12" s="1"/>
  <c r="BV58" i="10"/>
  <c r="BV112" i="10"/>
  <c r="BW112" i="10"/>
  <c r="H111" i="12" s="1"/>
  <c r="J111" i="12" s="1"/>
  <c r="N111" i="12" s="1"/>
  <c r="T111" i="12" s="1"/>
  <c r="BY90" i="9"/>
  <c r="BY86" i="9"/>
  <c r="BZ86" i="9"/>
  <c r="BW99" i="10"/>
  <c r="H98" i="12" s="1"/>
  <c r="J98" i="12" s="1"/>
  <c r="N98" i="12" s="1"/>
  <c r="T98" i="12" s="1"/>
  <c r="BV99" i="10"/>
  <c r="BW48" i="10"/>
  <c r="H47" i="12" s="1"/>
  <c r="J47" i="12" s="1"/>
  <c r="N47" i="12" s="1"/>
  <c r="T47" i="12" s="1"/>
  <c r="BV48" i="10"/>
  <c r="BY149" i="9"/>
  <c r="BZ149" i="9"/>
  <c r="BZ197" i="9"/>
  <c r="BY197" i="9"/>
  <c r="BY230" i="9"/>
  <c r="BZ230" i="9"/>
  <c r="BW145" i="10"/>
  <c r="BV145" i="10"/>
  <c r="BW136" i="10"/>
  <c r="H135" i="12" s="1"/>
  <c r="J135" i="12" s="1"/>
  <c r="N135" i="12" s="1"/>
  <c r="T135" i="12" s="1"/>
  <c r="BV136" i="10"/>
  <c r="BZ123" i="9"/>
  <c r="BY123" i="9"/>
  <c r="BV81" i="10"/>
  <c r="BW81" i="10"/>
  <c r="H80" i="12" s="1"/>
  <c r="J80" i="12" s="1"/>
  <c r="N80" i="12" s="1"/>
  <c r="T80" i="12" s="1"/>
  <c r="BW125" i="10"/>
  <c r="H124" i="12" s="1"/>
  <c r="J124" i="12" s="1"/>
  <c r="N124" i="12" s="1"/>
  <c r="T124" i="12" s="1"/>
  <c r="BV125" i="10"/>
  <c r="BW69" i="10"/>
  <c r="H68" i="12" s="1"/>
  <c r="J68" i="12" s="1"/>
  <c r="N68" i="12" s="1"/>
  <c r="T68" i="12" s="1"/>
  <c r="BV69" i="10"/>
  <c r="BW54" i="10"/>
  <c r="BV54" i="10"/>
  <c r="BY115" i="9"/>
  <c r="BZ115" i="9"/>
  <c r="H123" i="11"/>
  <c r="J123" i="11" s="1"/>
  <c r="N123" i="11" s="1"/>
  <c r="T123" i="11" s="1"/>
  <c r="BZ213" i="9"/>
  <c r="BY213" i="9"/>
  <c r="BW185" i="10"/>
  <c r="H179" i="12" s="1"/>
  <c r="J179" i="12" s="1"/>
  <c r="N179" i="12" s="1"/>
  <c r="T179" i="12" s="1"/>
  <c r="BV185" i="10"/>
  <c r="BW100" i="10"/>
  <c r="H99" i="12" s="1"/>
  <c r="J99" i="12" s="1"/>
  <c r="N99" i="12" s="1"/>
  <c r="T99" i="12" s="1"/>
  <c r="BV100" i="10"/>
  <c r="BW130" i="10"/>
  <c r="H129" i="12" s="1"/>
  <c r="J129" i="12" s="1"/>
  <c r="N129" i="12" s="1"/>
  <c r="T129" i="12" s="1"/>
  <c r="BV130" i="10"/>
  <c r="BZ193" i="9"/>
  <c r="BZ83" i="9"/>
  <c r="BY83" i="9"/>
  <c r="BY188" i="9"/>
  <c r="BZ188" i="9"/>
  <c r="H53" i="11"/>
  <c r="J53" i="11" s="1"/>
  <c r="N53" i="11" s="1"/>
  <c r="T53" i="11" s="1"/>
  <c r="BV72" i="10"/>
  <c r="BW72" i="10"/>
  <c r="H71" i="12" s="1"/>
  <c r="J71" i="12" s="1"/>
  <c r="N71" i="12" s="1"/>
  <c r="T71" i="12" s="1"/>
  <c r="BV144" i="10"/>
  <c r="BW144" i="10"/>
  <c r="H143" i="12" s="1"/>
  <c r="J143" i="12" s="1"/>
  <c r="N143" i="12" s="1"/>
  <c r="T143" i="12" s="1"/>
  <c r="BW37" i="10"/>
  <c r="H36" i="12" s="1"/>
  <c r="J36" i="12" s="1"/>
  <c r="N36" i="12" s="1"/>
  <c r="T36" i="12" s="1"/>
  <c r="BV37" i="10"/>
  <c r="BY100" i="9"/>
  <c r="BZ100" i="9"/>
  <c r="BZ204" i="9"/>
  <c r="BY222" i="9"/>
  <c r="BZ222" i="9"/>
  <c r="BY176" i="9"/>
  <c r="BZ176" i="9"/>
  <c r="BV96" i="10"/>
  <c r="BW96" i="10"/>
  <c r="BV83" i="10"/>
  <c r="BW83" i="10"/>
  <c r="H82" i="12" s="1"/>
  <c r="J82" i="12" s="1"/>
  <c r="N82" i="12" s="1"/>
  <c r="T82" i="12" s="1"/>
  <c r="BY148" i="9"/>
  <c r="BZ148" i="9"/>
  <c r="BZ191" i="9"/>
  <c r="BY191" i="9"/>
  <c r="BY104" i="9"/>
  <c r="BZ104" i="9"/>
  <c r="BV65" i="10"/>
  <c r="BW65" i="10"/>
  <c r="H64" i="12" s="1"/>
  <c r="J64" i="12" s="1"/>
  <c r="N64" i="12" s="1"/>
  <c r="T64" i="12" s="1"/>
  <c r="BV77" i="10"/>
  <c r="BW77" i="10"/>
  <c r="H76" i="12" s="1"/>
  <c r="J76" i="12" s="1"/>
  <c r="N76" i="12" s="1"/>
  <c r="T76" i="12" s="1"/>
  <c r="H63" i="11"/>
  <c r="J63" i="11" s="1"/>
  <c r="N63" i="11" s="1"/>
  <c r="T63" i="11" s="1"/>
  <c r="BY35" i="9"/>
  <c r="BZ35" i="9"/>
  <c r="BY151" i="9"/>
  <c r="BZ151" i="9"/>
  <c r="BZ48" i="9"/>
  <c r="BY48" i="9"/>
  <c r="BY118" i="9"/>
  <c r="BZ118" i="9"/>
  <c r="BV106" i="10"/>
  <c r="BW106" i="10"/>
  <c r="H105" i="12" s="1"/>
  <c r="J105" i="12" s="1"/>
  <c r="N105" i="12" s="1"/>
  <c r="T105" i="12" s="1"/>
  <c r="BW101" i="10"/>
  <c r="H100" i="12" s="1"/>
  <c r="J100" i="12" s="1"/>
  <c r="N100" i="12" s="1"/>
  <c r="T100" i="12" s="1"/>
  <c r="BV101" i="10"/>
  <c r="BZ186" i="9"/>
  <c r="BY186" i="9"/>
  <c r="BY205" i="9"/>
  <c r="BZ205" i="9"/>
  <c r="BW149" i="10"/>
  <c r="J148" i="12" s="1"/>
  <c r="N148" i="12" s="1"/>
  <c r="T148" i="12" s="1"/>
  <c r="BV149" i="10"/>
  <c r="BW108" i="10"/>
  <c r="H107" i="12" s="1"/>
  <c r="J107" i="12" s="1"/>
  <c r="N107" i="12" s="1"/>
  <c r="T107" i="12" s="1"/>
  <c r="BV108" i="10"/>
  <c r="BW34" i="10"/>
  <c r="H33" i="12" s="1"/>
  <c r="J33" i="12" s="1"/>
  <c r="N33" i="12" s="1"/>
  <c r="T33" i="12" s="1"/>
  <c r="BV34" i="10"/>
  <c r="BZ62" i="9"/>
  <c r="BY62" i="9"/>
  <c r="BY143" i="9"/>
  <c r="BZ143" i="9"/>
  <c r="BY59" i="9"/>
  <c r="BZ59" i="9"/>
  <c r="BW59" i="10"/>
  <c r="H58" i="12" s="1"/>
  <c r="J58" i="12" s="1"/>
  <c r="N58" i="12" s="1"/>
  <c r="T58" i="12" s="1"/>
  <c r="BV59" i="10"/>
  <c r="BW142" i="10"/>
  <c r="H141" i="12" s="1"/>
  <c r="J141" i="12" s="1"/>
  <c r="N141" i="12" s="1"/>
  <c r="T141" i="12" s="1"/>
  <c r="BV142" i="10"/>
  <c r="BV169" i="10"/>
  <c r="BW169" i="10"/>
  <c r="H163" i="12" s="1"/>
  <c r="J163" i="12" s="1"/>
  <c r="N163" i="12" s="1"/>
  <c r="T163" i="12" s="1"/>
  <c r="BY124" i="9"/>
  <c r="BZ124" i="9"/>
  <c r="BV55" i="10"/>
  <c r="BW55" i="10"/>
  <c r="H54" i="12" s="1"/>
  <c r="J54" i="12" s="1"/>
  <c r="N54" i="12" s="1"/>
  <c r="T54" i="12" s="1"/>
  <c r="BY171" i="9"/>
  <c r="BY167" i="9"/>
  <c r="BZ167" i="9"/>
  <c r="BZ177" i="9"/>
  <c r="BY177" i="9"/>
  <c r="BW214" i="10"/>
  <c r="H208" i="12" s="1"/>
  <c r="J208" i="12" s="1"/>
  <c r="N208" i="12" s="1"/>
  <c r="T208" i="12" s="1"/>
  <c r="BV214" i="10"/>
  <c r="BW119" i="10"/>
  <c r="H118" i="12" s="1"/>
  <c r="J118" i="12" s="1"/>
  <c r="N118" i="12" s="1"/>
  <c r="T118" i="12" s="1"/>
  <c r="BV119" i="10"/>
  <c r="BW44" i="10"/>
  <c r="H43" i="12" s="1"/>
  <c r="J43" i="12" s="1"/>
  <c r="N43" i="12" s="1"/>
  <c r="T43" i="12" s="1"/>
  <c r="BV44" i="10"/>
  <c r="BW84" i="10"/>
  <c r="H83" i="12" s="1"/>
  <c r="J83" i="12" s="1"/>
  <c r="N83" i="12" s="1"/>
  <c r="T83" i="12" s="1"/>
  <c r="BV84" i="10"/>
  <c r="BY57" i="9"/>
  <c r="BZ57" i="9"/>
  <c r="BY227" i="9"/>
  <c r="BZ227" i="9"/>
  <c r="BZ56" i="9"/>
  <c r="BY56" i="9"/>
  <c r="BV143" i="10"/>
  <c r="BW143" i="10"/>
  <c r="H142" i="12" s="1"/>
  <c r="J142" i="12" s="1"/>
  <c r="N142" i="12" s="1"/>
  <c r="T142" i="12" s="1"/>
  <c r="BV195" i="10"/>
  <c r="BW195" i="10"/>
  <c r="H189" i="12" s="1"/>
  <c r="J189" i="12" s="1"/>
  <c r="N189" i="12" s="1"/>
  <c r="T189" i="12" s="1"/>
  <c r="BW93" i="10"/>
  <c r="H92" i="12" s="1"/>
  <c r="J92" i="12" s="1"/>
  <c r="N92" i="12" s="1"/>
  <c r="T92" i="12" s="1"/>
  <c r="BV93" i="10"/>
  <c r="BY96" i="9"/>
  <c r="BZ96" i="9"/>
  <c r="BY218" i="9"/>
  <c r="BZ218" i="9"/>
  <c r="BZ228" i="9"/>
  <c r="BY228" i="9"/>
  <c r="BZ203" i="9"/>
  <c r="BY203" i="9"/>
  <c r="BZ150" i="9"/>
  <c r="H113" i="11"/>
  <c r="J113" i="11" s="1"/>
  <c r="N113" i="11" s="1"/>
  <c r="T113" i="11" s="1"/>
  <c r="BV123" i="10"/>
  <c r="BW123" i="10"/>
  <c r="H122" i="12" s="1"/>
  <c r="J122" i="12" s="1"/>
  <c r="N122" i="12" s="1"/>
  <c r="T122" i="12" s="1"/>
  <c r="BW141" i="10"/>
  <c r="H140" i="12" s="1"/>
  <c r="J140" i="12" s="1"/>
  <c r="N140" i="12" s="1"/>
  <c r="T140" i="12" s="1"/>
  <c r="BV141" i="10"/>
  <c r="BW39" i="10"/>
  <c r="H38" i="12" s="1"/>
  <c r="J38" i="12" s="1"/>
  <c r="N38" i="12" s="1"/>
  <c r="T38" i="12" s="1"/>
  <c r="BV39" i="10"/>
  <c r="BZ179" i="9"/>
  <c r="BY179" i="9"/>
  <c r="BY163" i="9"/>
  <c r="BZ163" i="9"/>
  <c r="BV121" i="10"/>
  <c r="BW121" i="10"/>
  <c r="H120" i="12" s="1"/>
  <c r="J120" i="12" s="1"/>
  <c r="N120" i="12" s="1"/>
  <c r="T120" i="12" s="1"/>
  <c r="BW110" i="10"/>
  <c r="BV110" i="10"/>
  <c r="BZ39" i="9"/>
  <c r="BV200" i="10"/>
  <c r="BW200" i="10"/>
  <c r="H194" i="12" s="1"/>
  <c r="J194" i="12" s="1"/>
  <c r="N194" i="12" s="1"/>
  <c r="T194" i="12" s="1"/>
  <c r="BW67" i="10"/>
  <c r="H66" i="12" s="1"/>
  <c r="J66" i="12" s="1"/>
  <c r="N66" i="12" s="1"/>
  <c r="T66" i="12" s="1"/>
  <c r="BV67" i="10"/>
  <c r="BV87" i="10"/>
  <c r="BW87" i="10"/>
  <c r="H86" i="12" s="1"/>
  <c r="J86" i="12" s="1"/>
  <c r="N86" i="12" s="1"/>
  <c r="T86" i="12" s="1"/>
  <c r="J32" i="11"/>
  <c r="N32" i="11" s="1"/>
  <c r="T32" i="11" s="1"/>
  <c r="BW60" i="10"/>
  <c r="H59" i="12" s="1"/>
  <c r="J59" i="12" s="1"/>
  <c r="N59" i="12" s="1"/>
  <c r="T59" i="12" s="1"/>
  <c r="BV60" i="10"/>
  <c r="H58" i="11"/>
  <c r="J58" i="11" s="1"/>
  <c r="N58" i="11" s="1"/>
  <c r="T58" i="11" s="1"/>
  <c r="H73" i="11"/>
  <c r="J73" i="11" s="1"/>
  <c r="N73" i="11" s="1"/>
  <c r="T73" i="11" s="1"/>
  <c r="BY36" i="9"/>
  <c r="BZ36" i="9"/>
  <c r="BY117" i="9"/>
  <c r="BZ117" i="9"/>
  <c r="BW114" i="10"/>
  <c r="H113" i="12" s="1"/>
  <c r="J113" i="12" s="1"/>
  <c r="N113" i="12" s="1"/>
  <c r="T113" i="12" s="1"/>
  <c r="BV114" i="10"/>
  <c r="BY37" i="9"/>
  <c r="BZ37" i="9"/>
  <c r="H129" i="11"/>
  <c r="J129" i="11" s="1"/>
  <c r="BZ127" i="9"/>
  <c r="BY127" i="9"/>
  <c r="BY194" i="9"/>
  <c r="BW64" i="10"/>
  <c r="H63" i="12" s="1"/>
  <c r="J63" i="12" s="1"/>
  <c r="N63" i="12" s="1"/>
  <c r="T63" i="12" s="1"/>
  <c r="BV64" i="10"/>
  <c r="BW82" i="10"/>
  <c r="BV82" i="10"/>
  <c r="BZ80" i="9"/>
  <c r="BY80" i="9"/>
  <c r="BZ155" i="9"/>
  <c r="BY155" i="9"/>
  <c r="BZ159" i="9"/>
  <c r="BY159" i="9"/>
  <c r="BZ66" i="9"/>
  <c r="BY66" i="9"/>
  <c r="BZ208" i="9"/>
  <c r="BY208" i="9"/>
  <c r="BV51" i="10"/>
  <c r="BW51" i="10"/>
  <c r="H50" i="12" s="1"/>
  <c r="J50" i="12" s="1"/>
  <c r="N50" i="12" s="1"/>
  <c r="T50" i="12" s="1"/>
  <c r="BW140" i="10"/>
  <c r="H139" i="12" s="1"/>
  <c r="J139" i="12" s="1"/>
  <c r="N139" i="12" s="1"/>
  <c r="T139" i="12" s="1"/>
  <c r="BV140" i="10"/>
  <c r="BV66" i="10"/>
  <c r="BW66" i="10"/>
  <c r="H65" i="12" s="1"/>
  <c r="J65" i="12" s="1"/>
  <c r="N65" i="12" s="1"/>
  <c r="T65" i="12" s="1"/>
  <c r="BY134" i="9"/>
  <c r="BY120" i="9"/>
  <c r="BZ120" i="9"/>
  <c r="BY175" i="9"/>
  <c r="BZ175" i="9"/>
  <c r="BW102" i="10"/>
  <c r="H101" i="12" s="1"/>
  <c r="J101" i="12" s="1"/>
  <c r="N101" i="12" s="1"/>
  <c r="T101" i="12" s="1"/>
  <c r="BV102" i="10"/>
  <c r="BV107" i="10"/>
  <c r="BW107" i="10"/>
  <c r="H106" i="12" s="1"/>
  <c r="J106" i="12" s="1"/>
  <c r="N106" i="12" s="1"/>
  <c r="T106" i="12" s="1"/>
  <c r="BW42" i="10"/>
  <c r="H41" i="12" s="1"/>
  <c r="J41" i="12" s="1"/>
  <c r="N41" i="12" s="1"/>
  <c r="T41" i="12" s="1"/>
  <c r="BV42" i="10"/>
  <c r="BW35" i="10"/>
  <c r="H34" i="12" s="1"/>
  <c r="J34" i="12" s="1"/>
  <c r="N34" i="12" s="1"/>
  <c r="T34" i="12" s="1"/>
  <c r="BV35" i="10"/>
  <c r="H33" i="11"/>
  <c r="J33" i="11" s="1"/>
  <c r="N33" i="11" s="1"/>
  <c r="T33" i="11" s="1"/>
  <c r="BW139" i="10"/>
  <c r="H138" i="12" s="1"/>
  <c r="J138" i="12" s="1"/>
  <c r="N138" i="12" s="1"/>
  <c r="T138" i="12" s="1"/>
  <c r="BV139" i="10"/>
  <c r="BW122" i="10"/>
  <c r="H121" i="12" s="1"/>
  <c r="J121" i="12" s="1"/>
  <c r="N121" i="12" s="1"/>
  <c r="T121" i="12" s="1"/>
  <c r="BV122" i="10"/>
  <c r="BV109" i="10"/>
  <c r="BW109" i="10"/>
  <c r="H108" i="12" s="1"/>
  <c r="J108" i="12" s="1"/>
  <c r="N108" i="12" s="1"/>
  <c r="T108" i="12" s="1"/>
  <c r="BZ233" i="9"/>
  <c r="BY233" i="9"/>
  <c r="BZ189" i="9"/>
  <c r="BY189" i="9"/>
  <c r="BV126" i="10"/>
  <c r="BW126" i="10"/>
  <c r="H125" i="12" s="1"/>
  <c r="J125" i="12" s="1"/>
  <c r="N125" i="12" s="1"/>
  <c r="T125" i="12" s="1"/>
  <c r="BV137" i="10"/>
  <c r="BW137" i="10"/>
  <c r="H136" i="12" s="1"/>
  <c r="J136" i="12" s="1"/>
  <c r="N136" i="12" s="1"/>
  <c r="T136" i="12" s="1"/>
  <c r="BZ170" i="9"/>
  <c r="BY170" i="9"/>
  <c r="BY110" i="9"/>
  <c r="BZ110" i="9"/>
  <c r="BY180" i="9"/>
  <c r="BZ180" i="9"/>
  <c r="BZ212" i="9"/>
  <c r="BY212" i="9"/>
  <c r="N150" i="12" l="1"/>
  <c r="T150" i="12" s="1"/>
  <c r="U153" i="12"/>
  <c r="U161" i="12"/>
  <c r="U169" i="12"/>
  <c r="U177" i="12"/>
  <c r="U185" i="12"/>
  <c r="U193" i="12"/>
  <c r="U201" i="12"/>
  <c r="U209" i="12"/>
  <c r="U217" i="12"/>
  <c r="U225" i="12"/>
  <c r="U233" i="12"/>
  <c r="U241" i="12"/>
  <c r="U210" i="12"/>
  <c r="U234" i="12"/>
  <c r="U154" i="12"/>
  <c r="U162" i="12"/>
  <c r="U170" i="12"/>
  <c r="U178" i="12"/>
  <c r="U186" i="12"/>
  <c r="U194" i="12"/>
  <c r="U202" i="12"/>
  <c r="U218" i="12"/>
  <c r="U226" i="12"/>
  <c r="U242" i="12"/>
  <c r="U155" i="12"/>
  <c r="U163" i="12"/>
  <c r="U171" i="12"/>
  <c r="U179" i="12"/>
  <c r="U187" i="12"/>
  <c r="U195" i="12"/>
  <c r="U203" i="12"/>
  <c r="U211" i="12"/>
  <c r="U219" i="12"/>
  <c r="U227" i="12"/>
  <c r="U235" i="12"/>
  <c r="U243" i="12"/>
  <c r="U180" i="12"/>
  <c r="U204" i="12"/>
  <c r="U220" i="12"/>
  <c r="U236" i="12"/>
  <c r="U156" i="12"/>
  <c r="U164" i="12"/>
  <c r="U172" i="12"/>
  <c r="U188" i="12"/>
  <c r="U196" i="12"/>
  <c r="U212" i="12"/>
  <c r="U228" i="12"/>
  <c r="U244" i="12"/>
  <c r="U157" i="12"/>
  <c r="U165" i="12"/>
  <c r="U173" i="12"/>
  <c r="U181" i="12"/>
  <c r="U189" i="12"/>
  <c r="U197" i="12"/>
  <c r="U205" i="12"/>
  <c r="U213" i="12"/>
  <c r="U221" i="12"/>
  <c r="U229" i="12"/>
  <c r="U237" i="12"/>
  <c r="U245" i="12"/>
  <c r="U200" i="12"/>
  <c r="U232" i="12"/>
  <c r="U150" i="12"/>
  <c r="U158" i="12"/>
  <c r="U166" i="12"/>
  <c r="U174" i="12"/>
  <c r="U182" i="12"/>
  <c r="U190" i="12"/>
  <c r="U198" i="12"/>
  <c r="U206" i="12"/>
  <c r="U214" i="12"/>
  <c r="U222" i="12"/>
  <c r="U230" i="12"/>
  <c r="U238" i="12"/>
  <c r="U160" i="12"/>
  <c r="U176" i="12"/>
  <c r="U192" i="12"/>
  <c r="U216" i="12"/>
  <c r="U240" i="12"/>
  <c r="U151" i="12"/>
  <c r="U159" i="12"/>
  <c r="U167" i="12"/>
  <c r="U175" i="12"/>
  <c r="U183" i="12"/>
  <c r="U191" i="12"/>
  <c r="U199" i="12"/>
  <c r="U207" i="12"/>
  <c r="U215" i="12"/>
  <c r="U223" i="12"/>
  <c r="U231" i="12"/>
  <c r="U239" i="12"/>
  <c r="U152" i="12"/>
  <c r="U168" i="12"/>
  <c r="U184" i="12"/>
  <c r="U208" i="12"/>
  <c r="U224" i="12"/>
  <c r="N132" i="11"/>
  <c r="T132" i="11" s="1"/>
  <c r="N130" i="11"/>
  <c r="T130" i="11" s="1"/>
  <c r="N133" i="11"/>
  <c r="T133" i="11" s="1"/>
  <c r="N129" i="11"/>
  <c r="T129" i="11" s="1"/>
  <c r="BY156" i="10"/>
  <c r="BY65" i="9"/>
  <c r="CC75" i="9"/>
  <c r="H136" i="11"/>
  <c r="J136" i="11" s="1"/>
  <c r="N136" i="11" s="1"/>
  <c r="T136" i="11" s="1"/>
  <c r="BZ121" i="9"/>
  <c r="BZ125" i="9"/>
  <c r="BY210" i="9"/>
  <c r="BZ153" i="9"/>
  <c r="BY236" i="9"/>
  <c r="CC220" i="9"/>
  <c r="CC48" i="9"/>
  <c r="CC165" i="9"/>
  <c r="BZ99" i="9"/>
  <c r="CC190" i="9"/>
  <c r="CC205" i="9"/>
  <c r="CC110" i="9"/>
  <c r="CC225" i="9"/>
  <c r="CC230" i="9"/>
  <c r="H84" i="11"/>
  <c r="J84" i="11" s="1"/>
  <c r="N84" i="11" s="1"/>
  <c r="T84" i="11" s="1"/>
  <c r="CC85" i="9"/>
  <c r="H59" i="11"/>
  <c r="J59" i="11" s="1"/>
  <c r="N59" i="11" s="1"/>
  <c r="T59" i="11" s="1"/>
  <c r="CC60" i="9"/>
  <c r="CC210" i="9"/>
  <c r="CC175" i="9"/>
  <c r="CC80" i="9"/>
  <c r="J31" i="11"/>
  <c r="CC32" i="9"/>
  <c r="H89" i="11"/>
  <c r="J89" i="11" s="1"/>
  <c r="N89" i="11" s="1"/>
  <c r="T89" i="11" s="1"/>
  <c r="CC90" i="9"/>
  <c r="CC195" i="9"/>
  <c r="CC200" i="9"/>
  <c r="CC215" i="9"/>
  <c r="CC185" i="9"/>
  <c r="CC145" i="9"/>
  <c r="H149" i="11"/>
  <c r="J149" i="11" s="1"/>
  <c r="N149" i="11" s="1"/>
  <c r="T149" i="11" s="1"/>
  <c r="CC155" i="9"/>
  <c r="H99" i="11"/>
  <c r="J99" i="11" s="1"/>
  <c r="N99" i="11" s="1"/>
  <c r="T99" i="11" s="1"/>
  <c r="CC100" i="9"/>
  <c r="CC125" i="9"/>
  <c r="CC38" i="9"/>
  <c r="CC105" i="9"/>
  <c r="CC130" i="9"/>
  <c r="H42" i="11"/>
  <c r="J42" i="11" s="1"/>
  <c r="N42" i="11" s="1"/>
  <c r="T42" i="11" s="1"/>
  <c r="CC43" i="9"/>
  <c r="H64" i="11"/>
  <c r="J64" i="11" s="1"/>
  <c r="N64" i="11" s="1"/>
  <c r="T64" i="11" s="1"/>
  <c r="CC65" i="9"/>
  <c r="CC120" i="9"/>
  <c r="CC115" i="9"/>
  <c r="CC95" i="9"/>
  <c r="CC70" i="9"/>
  <c r="CC235" i="9"/>
  <c r="BY201" i="10"/>
  <c r="BY211" i="10"/>
  <c r="BY231" i="10"/>
  <c r="BY206" i="10"/>
  <c r="BY196" i="10"/>
  <c r="H160" i="12"/>
  <c r="J160" i="12" s="1"/>
  <c r="N160" i="12" s="1"/>
  <c r="T160" i="12" s="1"/>
  <c r="BY166" i="10"/>
  <c r="H170" i="12"/>
  <c r="J170" i="12" s="1"/>
  <c r="N170" i="12" s="1"/>
  <c r="T170" i="12" s="1"/>
  <c r="BY176" i="10"/>
  <c r="BY226" i="10"/>
  <c r="BY221" i="10"/>
  <c r="H155" i="12"/>
  <c r="J155" i="12" s="1"/>
  <c r="N155" i="12" s="1"/>
  <c r="T155" i="12" s="1"/>
  <c r="BY161" i="10"/>
  <c r="BY171" i="10"/>
  <c r="BY216" i="10"/>
  <c r="BY181" i="10"/>
  <c r="H180" i="12"/>
  <c r="J180" i="12" s="1"/>
  <c r="N180" i="12" s="1"/>
  <c r="T180" i="12" s="1"/>
  <c r="BY186" i="10"/>
  <c r="H185" i="12"/>
  <c r="J185" i="12" s="1"/>
  <c r="N185" i="12" s="1"/>
  <c r="T185" i="12" s="1"/>
  <c r="BY191" i="10"/>
  <c r="H53" i="12"/>
  <c r="J53" i="12" s="1"/>
  <c r="N53" i="12" s="1"/>
  <c r="T53" i="12" s="1"/>
  <c r="BY53" i="10"/>
  <c r="H144" i="12"/>
  <c r="J144" i="12" s="1"/>
  <c r="N144" i="12" s="1"/>
  <c r="T144" i="12" s="1"/>
  <c r="BY144" i="10"/>
  <c r="H137" i="12"/>
  <c r="J137" i="12" s="1"/>
  <c r="N137" i="12" s="1"/>
  <c r="T137" i="12" s="1"/>
  <c r="BY137" i="10"/>
  <c r="H95" i="12"/>
  <c r="J95" i="12" s="1"/>
  <c r="N95" i="12" s="1"/>
  <c r="T95" i="12" s="1"/>
  <c r="BY95" i="10"/>
  <c r="BY32" i="10"/>
  <c r="H74" i="12"/>
  <c r="J74" i="12" s="1"/>
  <c r="N74" i="12" s="1"/>
  <c r="T74" i="12" s="1"/>
  <c r="BY74" i="10"/>
  <c r="H130" i="12"/>
  <c r="J130" i="12" s="1"/>
  <c r="N130" i="12" s="1"/>
  <c r="T130" i="12" s="1"/>
  <c r="BY130" i="10"/>
  <c r="H39" i="12"/>
  <c r="J39" i="12" s="1"/>
  <c r="N39" i="12" s="1"/>
  <c r="T39" i="12" s="1"/>
  <c r="BY39" i="10"/>
  <c r="H102" i="12"/>
  <c r="J102" i="12" s="1"/>
  <c r="N102" i="12" s="1"/>
  <c r="T102" i="12" s="1"/>
  <c r="BY102" i="10"/>
  <c r="H116" i="12"/>
  <c r="J116" i="12" s="1"/>
  <c r="N116" i="12" s="1"/>
  <c r="T116" i="12" s="1"/>
  <c r="BY116" i="10"/>
  <c r="H60" i="12"/>
  <c r="J60" i="12" s="1"/>
  <c r="N60" i="12" s="1"/>
  <c r="T60" i="12" s="1"/>
  <c r="BY60" i="10"/>
  <c r="H123" i="12"/>
  <c r="J123" i="12" s="1"/>
  <c r="N123" i="12" s="1"/>
  <c r="T123" i="12" s="1"/>
  <c r="BY123" i="10"/>
  <c r="H46" i="12"/>
  <c r="J46" i="12" s="1"/>
  <c r="N46" i="12" s="1"/>
  <c r="T46" i="12" s="1"/>
  <c r="BY46" i="10"/>
  <c r="H81" i="12"/>
  <c r="J81" i="12" s="1"/>
  <c r="N81" i="12" s="1"/>
  <c r="T81" i="12" s="1"/>
  <c r="BY81" i="10"/>
  <c r="H109" i="12"/>
  <c r="J109" i="12" s="1"/>
  <c r="N109" i="12" s="1"/>
  <c r="T109" i="12" s="1"/>
  <c r="BY109" i="10"/>
  <c r="H67" i="12"/>
  <c r="J67" i="12" s="1"/>
  <c r="N67" i="12" s="1"/>
  <c r="T67" i="12" s="1"/>
  <c r="BY67" i="10"/>
  <c r="H88" i="12"/>
  <c r="J88" i="12" s="1"/>
  <c r="N88" i="12" s="1"/>
  <c r="T88" i="12" s="1"/>
  <c r="BY88" i="10"/>
  <c r="BZ232" i="9"/>
  <c r="BZ142" i="9"/>
  <c r="BZ199" i="9"/>
  <c r="BZ156" i="9"/>
  <c r="BZ198" i="9"/>
  <c r="BZ33" i="9"/>
  <c r="BZ67" i="9"/>
  <c r="BZ64" i="9"/>
  <c r="BZ54" i="9"/>
  <c r="BZ43" i="9"/>
  <c r="BZ94" i="9"/>
  <c r="BZ111" i="9"/>
  <c r="BY44" i="9"/>
  <c r="BY82" i="9"/>
  <c r="BY106" i="9"/>
  <c r="BZ113" i="9"/>
  <c r="BZ116" i="9"/>
  <c r="BZ41" i="9"/>
  <c r="BY231" i="9"/>
  <c r="BY146" i="9"/>
  <c r="BY77" i="9"/>
  <c r="H214" i="11"/>
  <c r="J214" i="11" s="1"/>
  <c r="N214" i="11" s="1"/>
  <c r="T214" i="11" s="1"/>
  <c r="H189" i="11"/>
  <c r="J189" i="11" s="1"/>
  <c r="N189" i="11" s="1"/>
  <c r="T189" i="11" s="1"/>
  <c r="H154" i="11"/>
  <c r="J154" i="11" s="1"/>
  <c r="N154" i="11" s="1"/>
  <c r="T154" i="11" s="1"/>
  <c r="CA242" i="9"/>
  <c r="Z66" i="8" s="1"/>
  <c r="Z67" i="8" s="1"/>
  <c r="H144" i="11"/>
  <c r="J144" i="11" s="1"/>
  <c r="N144" i="11" s="1"/>
  <c r="T144" i="11" s="1"/>
  <c r="BY79" i="9"/>
  <c r="BY147" i="9"/>
  <c r="BZ46" i="9"/>
  <c r="BY237" i="9"/>
  <c r="BZ157" i="9"/>
  <c r="BY211" i="9"/>
  <c r="BZ226" i="9"/>
  <c r="BZ140" i="9"/>
  <c r="BY93" i="9"/>
  <c r="BZ68" i="9"/>
  <c r="H43" i="11"/>
  <c r="J43" i="11" s="1"/>
  <c r="N43" i="11" s="1"/>
  <c r="T43" i="11" s="1"/>
  <c r="BY223" i="9"/>
  <c r="BZ145" i="9"/>
  <c r="BY229" i="9"/>
  <c r="BY238" i="9"/>
  <c r="BY89" i="9"/>
  <c r="BY130" i="9"/>
  <c r="BZ47" i="9"/>
  <c r="BZ109" i="9"/>
  <c r="BY53" i="9"/>
  <c r="BY72" i="9"/>
  <c r="BZ32" i="9"/>
  <c r="BY32" i="9"/>
  <c r="BZ201" i="9"/>
  <c r="BY201" i="9"/>
  <c r="BW256" i="10"/>
  <c r="BZ178" i="9"/>
  <c r="BY178" i="9"/>
  <c r="BZ214" i="9"/>
  <c r="BY214" i="9"/>
  <c r="BY51" i="9"/>
  <c r="BZ51" i="9"/>
  <c r="BY160" i="9"/>
  <c r="BZ160" i="9"/>
  <c r="CA136" i="9"/>
  <c r="Q66" i="8" s="1"/>
  <c r="Q67" i="8" s="1"/>
  <c r="H32" i="12"/>
  <c r="J32" i="12" s="1"/>
  <c r="N32" i="12" s="1"/>
  <c r="BW153" i="10"/>
  <c r="BY71" i="9"/>
  <c r="BZ71" i="9"/>
  <c r="U51" i="11" l="1"/>
  <c r="U59" i="11"/>
  <c r="U123" i="11"/>
  <c r="U187" i="11"/>
  <c r="U60" i="11"/>
  <c r="U124" i="11"/>
  <c r="U188" i="11"/>
  <c r="U32" i="11"/>
  <c r="U213" i="11"/>
  <c r="U109" i="11"/>
  <c r="U221" i="11"/>
  <c r="U94" i="11"/>
  <c r="U158" i="11"/>
  <c r="U222" i="11"/>
  <c r="U138" i="11"/>
  <c r="U71" i="11"/>
  <c r="U135" i="11"/>
  <c r="U199" i="11"/>
  <c r="U82" i="11"/>
  <c r="U80" i="11"/>
  <c r="U144" i="11"/>
  <c r="U208" i="11"/>
  <c r="U98" i="11"/>
  <c r="U89" i="11"/>
  <c r="U153" i="11"/>
  <c r="U217" i="11"/>
  <c r="U154" i="11"/>
  <c r="U147" i="11"/>
  <c r="U125" i="11"/>
  <c r="U118" i="11"/>
  <c r="U95" i="11"/>
  <c r="U218" i="11"/>
  <c r="U168" i="11"/>
  <c r="U113" i="11"/>
  <c r="U92" i="11"/>
  <c r="U67" i="11"/>
  <c r="U131" i="11"/>
  <c r="U195" i="11"/>
  <c r="U68" i="11"/>
  <c r="U132" i="11"/>
  <c r="U196" i="11"/>
  <c r="U61" i="11"/>
  <c r="U229" i="11"/>
  <c r="U117" i="11"/>
  <c r="U42" i="11"/>
  <c r="U102" i="11"/>
  <c r="U166" i="11"/>
  <c r="U230" i="11"/>
  <c r="U162" i="11"/>
  <c r="U79" i="11"/>
  <c r="U143" i="11"/>
  <c r="U207" i="11"/>
  <c r="U146" i="11"/>
  <c r="U88" i="11"/>
  <c r="U152" i="11"/>
  <c r="U216" i="11"/>
  <c r="U130" i="11"/>
  <c r="U97" i="11"/>
  <c r="U161" i="11"/>
  <c r="U225" i="11"/>
  <c r="U178" i="11"/>
  <c r="U211" i="11"/>
  <c r="U148" i="11"/>
  <c r="U53" i="11"/>
  <c r="U54" i="11"/>
  <c r="U34" i="11"/>
  <c r="U223" i="11"/>
  <c r="U232" i="11"/>
  <c r="U177" i="11"/>
  <c r="U234" i="11"/>
  <c r="U156" i="11"/>
  <c r="U75" i="11"/>
  <c r="U139" i="11"/>
  <c r="U203" i="11"/>
  <c r="U76" i="11"/>
  <c r="U140" i="11"/>
  <c r="U204" i="11"/>
  <c r="U101" i="11"/>
  <c r="U33" i="11"/>
  <c r="U133" i="11"/>
  <c r="U50" i="11"/>
  <c r="U110" i="11"/>
  <c r="U174" i="11"/>
  <c r="U43" i="11"/>
  <c r="U194" i="11"/>
  <c r="U87" i="11"/>
  <c r="U151" i="11"/>
  <c r="U215" i="11"/>
  <c r="U186" i="11"/>
  <c r="U96" i="11"/>
  <c r="U160" i="11"/>
  <c r="U224" i="11"/>
  <c r="U170" i="11"/>
  <c r="U105" i="11"/>
  <c r="U169" i="11"/>
  <c r="U233" i="11"/>
  <c r="U202" i="11"/>
  <c r="U83" i="11"/>
  <c r="U84" i="11"/>
  <c r="U212" i="11"/>
  <c r="U141" i="11"/>
  <c r="U182" i="11"/>
  <c r="U210" i="11"/>
  <c r="U159" i="11"/>
  <c r="U104" i="11"/>
  <c r="U226" i="11"/>
  <c r="U46" i="11"/>
  <c r="U219" i="11"/>
  <c r="U99" i="11"/>
  <c r="U163" i="11"/>
  <c r="U227" i="11"/>
  <c r="U100" i="11"/>
  <c r="U164" i="11"/>
  <c r="U228" i="11"/>
  <c r="U165" i="11"/>
  <c r="U77" i="11"/>
  <c r="U173" i="11"/>
  <c r="U70" i="11"/>
  <c r="U134" i="11"/>
  <c r="U198" i="11"/>
  <c r="U74" i="11"/>
  <c r="U39" i="11"/>
  <c r="U111" i="11"/>
  <c r="U175" i="11"/>
  <c r="U44" i="11"/>
  <c r="U56" i="11"/>
  <c r="U120" i="11"/>
  <c r="U184" i="11"/>
  <c r="U36" i="11"/>
  <c r="U65" i="11"/>
  <c r="U129" i="11"/>
  <c r="U193" i="11"/>
  <c r="U58" i="11"/>
  <c r="U179" i="11"/>
  <c r="U52" i="11"/>
  <c r="U180" i="11"/>
  <c r="U197" i="11"/>
  <c r="U86" i="11"/>
  <c r="U214" i="11"/>
  <c r="U63" i="11"/>
  <c r="U191" i="11"/>
  <c r="U72" i="11"/>
  <c r="U136" i="11"/>
  <c r="U200" i="11"/>
  <c r="U81" i="11"/>
  <c r="U209" i="11"/>
  <c r="U155" i="11"/>
  <c r="U149" i="11"/>
  <c r="U157" i="11"/>
  <c r="U126" i="11"/>
  <c r="U31" i="11"/>
  <c r="U103" i="11"/>
  <c r="U231" i="11"/>
  <c r="U112" i="11"/>
  <c r="U45" i="11"/>
  <c r="U121" i="11"/>
  <c r="U37" i="11"/>
  <c r="U107" i="11"/>
  <c r="U171" i="11"/>
  <c r="U40" i="11"/>
  <c r="U108" i="11"/>
  <c r="U172" i="11"/>
  <c r="U41" i="11"/>
  <c r="U181" i="11"/>
  <c r="U85" i="11"/>
  <c r="U189" i="11"/>
  <c r="U78" i="11"/>
  <c r="U142" i="11"/>
  <c r="U206" i="11"/>
  <c r="U90" i="11"/>
  <c r="U55" i="11"/>
  <c r="U119" i="11"/>
  <c r="U183" i="11"/>
  <c r="U35" i="11"/>
  <c r="U64" i="11"/>
  <c r="U128" i="11"/>
  <c r="U192" i="11"/>
  <c r="U73" i="11"/>
  <c r="U137" i="11"/>
  <c r="U201" i="11"/>
  <c r="U106" i="11"/>
  <c r="U115" i="11"/>
  <c r="U116" i="11"/>
  <c r="U49" i="11"/>
  <c r="U93" i="11"/>
  <c r="U205" i="11"/>
  <c r="U150" i="11"/>
  <c r="U114" i="11"/>
  <c r="U127" i="11"/>
  <c r="U66" i="11"/>
  <c r="U145" i="11"/>
  <c r="U122" i="11"/>
  <c r="U91" i="11"/>
  <c r="U220" i="11"/>
  <c r="U69" i="11"/>
  <c r="U62" i="11"/>
  <c r="U190" i="11"/>
  <c r="U47" i="11"/>
  <c r="U167" i="11"/>
  <c r="U38" i="11"/>
  <c r="U176" i="11"/>
  <c r="U57" i="11"/>
  <c r="U185" i="11"/>
  <c r="U48" i="11"/>
  <c r="N31" i="11"/>
  <c r="T31" i="11" s="1"/>
  <c r="CC242" i="9"/>
  <c r="BY136" i="9"/>
  <c r="BZ136" i="9"/>
  <c r="T32" i="12"/>
  <c r="BY137" i="9" l="1"/>
  <c r="D12" i="3" l="1"/>
  <c r="D13" i="3"/>
  <c r="C6" i="3"/>
  <c r="C3" i="3"/>
  <c r="C9" i="3" s="1"/>
  <c r="G9" i="3" l="1"/>
  <c r="X9" i="1" l="1"/>
  <c r="X3" i="1" s="1"/>
  <c r="R3" i="1" s="1"/>
  <c r="R9" i="1"/>
  <c r="L9" i="1"/>
  <c r="V8" i="1"/>
  <c r="R8" i="1"/>
  <c r="O8" i="1"/>
  <c r="O9" i="1" s="1"/>
  <c r="L8" i="1"/>
  <c r="X7" i="1"/>
  <c r="X8" i="1" s="1"/>
  <c r="V7" i="1"/>
  <c r="V6" i="1" s="1"/>
  <c r="R7" i="1"/>
  <c r="V9" i="1" s="1"/>
  <c r="O6" i="1"/>
  <c r="L6" i="1"/>
  <c r="V4" i="1" s="1"/>
  <c r="X5" i="1"/>
  <c r="X6" i="1" s="1"/>
  <c r="R5" i="1"/>
  <c r="R6" i="1" s="1"/>
  <c r="L5" i="1"/>
  <c r="O4" i="1" s="1"/>
  <c r="X4" i="1"/>
  <c r="L4" i="1"/>
  <c r="L3" i="1"/>
  <c r="O3" i="1" s="1"/>
  <c r="D7" i="1"/>
  <c r="D4" i="1"/>
  <c r="V5" i="1" l="1"/>
  <c r="L7" i="1"/>
  <c r="O7" i="1" s="1"/>
  <c r="S31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Raffi</author>
  </authors>
  <commentList>
    <comment ref="V4" authorId="0" shapeId="0" xr:uid="{98A54A50-79FB-4492-86F9-026E50A1C1A5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Approximate PNA 92 / BKI 14-2/21</t>
        </r>
      </text>
    </comment>
    <comment ref="X4" authorId="0" shapeId="0" xr:uid="{418E94F4-1526-4BF8-AE34-D01C2A692B31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1,5 Rudder Outside the Prop Jet</t>
        </r>
      </text>
    </comment>
    <comment ref="V5" authorId="0" shapeId="0" xr:uid="{B5110ABB-4251-4C74-9DB4-B8C96B2BD353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Rudder Area (C1,C2,C3,C4)</t>
        </r>
      </text>
    </comment>
    <comment ref="T8" authorId="0" shapeId="0" xr:uid="{F1B088BE-6ED2-4131-AEE0-F1F9A64890EB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Form Factor (PNA 91)</t>
        </r>
      </text>
    </comment>
    <comment ref="V8" authorId="0" shapeId="0" xr:uid="{935F09B0-FB12-43F0-BE81-F92CC89E53EB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1,0 in general</t>
        </r>
      </text>
    </comment>
    <comment ref="V9" authorId="0" shapeId="0" xr:uid="{4A2F9F31-4E5D-4D95-B7D2-B723B24DF106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1,0 in general</t>
        </r>
      </text>
    </comment>
    <comment ref="T10" authorId="0" shapeId="0" xr:uid="{C5D392EB-918E-4989-B07E-125FD0A20665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Bullbous Bow
Luas Permukaan Basah (PNA 91)</t>
        </r>
      </text>
    </comment>
    <comment ref="V10" authorId="0" shapeId="0" xr:uid="{EE08C9B5-5D6D-47DE-9A37-4950B38C3340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1,0 NACA-Profiles &amp; Rudder Plate</t>
        </r>
      </text>
    </comment>
    <comment ref="AI31" authorId="0" shapeId="0" xr:uid="{C4595D9A-A1EE-4410-8C31-37D8FADB5914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Apakah draft kapal disetiap trip menjadi pertimbangan dan selalu berubah disetiap segmen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Raffi</author>
  </authors>
  <commentList>
    <comment ref="V4" authorId="0" shapeId="0" xr:uid="{B46910CB-706D-4F10-BF30-279852158D24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Approximate PNA 92 / BKI 14-2/21</t>
        </r>
      </text>
    </comment>
    <comment ref="X4" authorId="0" shapeId="0" xr:uid="{6A3797BE-6F7B-4F4F-9AA0-4ACB710CB9A8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1,5 Rudder Outside the Prop Jet</t>
        </r>
      </text>
    </comment>
    <comment ref="V5" authorId="0" shapeId="0" xr:uid="{227EE865-A498-4D05-A3A8-0051AEB720EE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Rudder Area (C1,C2,C3,C4)</t>
        </r>
      </text>
    </comment>
    <comment ref="T8" authorId="0" shapeId="0" xr:uid="{14CD8C6B-38C7-4569-9A87-7FD94B82B03D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Form Factor (PNA 91)</t>
        </r>
      </text>
    </comment>
    <comment ref="V8" authorId="0" shapeId="0" xr:uid="{F55B1209-7C5E-4093-8ED4-CF9D9AEA019C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1,0 in general</t>
        </r>
      </text>
    </comment>
    <comment ref="V9" authorId="0" shapeId="0" xr:uid="{884B50A6-B2EC-46EB-8836-1DCDA164EDBE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1,0 in general</t>
        </r>
      </text>
    </comment>
    <comment ref="T10" authorId="0" shapeId="0" xr:uid="{0FD341A4-592B-4E7C-9B08-DBC8ACB4D01F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Bullbous Bow
Luas Permukaan Basah (PNA 91)</t>
        </r>
      </text>
    </comment>
    <comment ref="V10" authorId="0" shapeId="0" xr:uid="{3E773BF6-571F-4190-BD48-A99AA447722D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1,0 NACA-Profiles &amp; Rudder Plate</t>
        </r>
      </text>
    </comment>
    <comment ref="AI31" authorId="0" shapeId="0" xr:uid="{16AD8D2D-4143-410D-94E9-D7FDC08C6D13}">
      <text>
        <r>
          <rPr>
            <b/>
            <sz val="9"/>
            <color indexed="81"/>
            <rFont val="Tahoma"/>
            <family val="2"/>
          </rPr>
          <t>Raffi:</t>
        </r>
        <r>
          <rPr>
            <sz val="9"/>
            <color indexed="81"/>
            <rFont val="Tahoma"/>
            <family val="2"/>
          </rPr>
          <t xml:space="preserve">
Apakah draft kapal disetiap trip menjadi pertimbangan dan selalu berubah disetiap segmen ?</t>
        </r>
      </text>
    </comment>
  </commentList>
</comments>
</file>

<file path=xl/sharedStrings.xml><?xml version="1.0" encoding="utf-8"?>
<sst xmlns="http://schemas.openxmlformats.org/spreadsheetml/2006/main" count="2059" uniqueCount="328">
  <si>
    <t xml:space="preserve">Ukuran Utama Kapal </t>
  </si>
  <si>
    <t>Lwl</t>
  </si>
  <si>
    <t>m</t>
  </si>
  <si>
    <t>LOA</t>
  </si>
  <si>
    <t>B</t>
  </si>
  <si>
    <t>LPP</t>
  </si>
  <si>
    <t>T</t>
  </si>
  <si>
    <t>Displ</t>
  </si>
  <si>
    <t>Ton</t>
  </si>
  <si>
    <t>Cb</t>
  </si>
  <si>
    <t>Cp (ϕ)</t>
  </si>
  <si>
    <t>Gross Tonnage</t>
  </si>
  <si>
    <t>Cm (β)</t>
  </si>
  <si>
    <t>Cwp</t>
  </si>
  <si>
    <t>LCB</t>
  </si>
  <si>
    <t xml:space="preserve">Ldispl </t>
  </si>
  <si>
    <t>𝛿(𝐿𝑊𝐿  )</t>
  </si>
  <si>
    <t>Ca</t>
  </si>
  <si>
    <t>C15</t>
  </si>
  <si>
    <t>-1.69385 + (((L / (Vdispl^1/3)) - 8) / 2.36)</t>
  </si>
  <si>
    <t>C4</t>
  </si>
  <si>
    <t>v</t>
  </si>
  <si>
    <t>C12</t>
  </si>
  <si>
    <t>1 + K2</t>
  </si>
  <si>
    <t>iE</t>
  </si>
  <si>
    <t>T/L</t>
  </si>
  <si>
    <t>m2/s</t>
  </si>
  <si>
    <t>C Stern</t>
  </si>
  <si>
    <t>Sapp</t>
  </si>
  <si>
    <r>
      <t>m</t>
    </r>
    <r>
      <rPr>
        <vertAlign val="superscript"/>
        <sz val="11"/>
        <color theme="1"/>
        <rFont val="Franklin Gothic Book"/>
        <family val="2"/>
      </rPr>
      <t>2</t>
    </r>
  </si>
  <si>
    <t>C1</t>
  </si>
  <si>
    <t>C16</t>
  </si>
  <si>
    <r>
      <t>L</t>
    </r>
    <r>
      <rPr>
        <b/>
        <vertAlign val="subscript"/>
        <sz val="11"/>
        <color theme="1"/>
        <rFont val="Franklin Gothic Book"/>
        <family val="2"/>
      </rPr>
      <t>R</t>
    </r>
  </si>
  <si>
    <t>C13</t>
  </si>
  <si>
    <t>1 + K2 eq</t>
  </si>
  <si>
    <t>C2</t>
  </si>
  <si>
    <t>m1</t>
  </si>
  <si>
    <t>B/LR</t>
  </si>
  <si>
    <t>1 + k1</t>
  </si>
  <si>
    <t>B/L</t>
  </si>
  <si>
    <t>C3</t>
  </si>
  <si>
    <t>L/B</t>
  </si>
  <si>
    <t>L³/Vdisp</t>
  </si>
  <si>
    <t>B/T</t>
  </si>
  <si>
    <t>C5</t>
  </si>
  <si>
    <t>λ</t>
  </si>
  <si>
    <t>1 - Cp</t>
  </si>
  <si>
    <t>S</t>
  </si>
  <si>
    <t>L/(Vdispl^1/3)</t>
  </si>
  <si>
    <t>C7</t>
  </si>
  <si>
    <t>TF/L</t>
  </si>
  <si>
    <t xml:space="preserve">Hasil Perhitungan </t>
  </si>
  <si>
    <t>No</t>
  </si>
  <si>
    <t>From</t>
  </si>
  <si>
    <t>To</t>
  </si>
  <si>
    <t>Ship Course</t>
  </si>
  <si>
    <t>Fn</t>
  </si>
  <si>
    <t xml:space="preserve">Berat Muatan (Ton)
</t>
  </si>
  <si>
    <t xml:space="preserve">Draft Kapal (m)
</t>
  </si>
  <si>
    <r>
      <t>ΔV/V</t>
    </r>
    <r>
      <rPr>
        <b/>
        <vertAlign val="subscript"/>
        <sz val="11"/>
        <color theme="1"/>
        <rFont val="Franklin Gothic Book"/>
        <family val="2"/>
      </rPr>
      <t>1</t>
    </r>
    <r>
      <rPr>
        <b/>
        <sz val="11"/>
        <color theme="1"/>
        <rFont val="Franklin Gothic Book"/>
        <family val="2"/>
      </rPr>
      <t xml:space="preserve"> x 100%</t>
    </r>
  </si>
  <si>
    <r>
      <t>V</t>
    </r>
    <r>
      <rPr>
        <b/>
        <vertAlign val="subscript"/>
        <sz val="11"/>
        <color theme="1"/>
        <rFont val="Franklin Gothic Book"/>
        <family val="2"/>
      </rPr>
      <t>2</t>
    </r>
    <r>
      <rPr>
        <b/>
        <sz val="11"/>
        <color theme="1"/>
        <rFont val="Franklin Gothic Book"/>
        <family val="2"/>
      </rPr>
      <t xml:space="preserve"> (Knot)</t>
    </r>
  </si>
  <si>
    <r>
      <t>V</t>
    </r>
    <r>
      <rPr>
        <b/>
        <vertAlign val="subscript"/>
        <sz val="11"/>
        <color theme="1"/>
        <rFont val="Franklin Gothic Book"/>
        <family val="2"/>
      </rPr>
      <t>2</t>
    </r>
    <r>
      <rPr>
        <b/>
        <sz val="11"/>
        <color theme="1"/>
        <rFont val="Franklin Gothic Book"/>
        <family val="2"/>
      </rPr>
      <t xml:space="preserve"> (m/s)</t>
    </r>
  </si>
  <si>
    <t>Time (h)</t>
  </si>
  <si>
    <t>Rn</t>
  </si>
  <si>
    <t>Cf</t>
  </si>
  <si>
    <t>Rf (N)</t>
  </si>
  <si>
    <r>
      <t>S (m</t>
    </r>
    <r>
      <rPr>
        <b/>
        <vertAlign val="superscript"/>
        <sz val="11"/>
        <color theme="1"/>
        <rFont val="Franklin Gothic Book"/>
        <family val="2"/>
      </rPr>
      <t>2</t>
    </r>
    <r>
      <rPr>
        <b/>
        <sz val="11"/>
        <color theme="1"/>
        <rFont val="Franklin Gothic Book"/>
        <family val="2"/>
      </rPr>
      <t>)</t>
    </r>
  </si>
  <si>
    <t>m2</t>
  </si>
  <si>
    <t>Rw</t>
  </si>
  <si>
    <t>Ra</t>
  </si>
  <si>
    <t>Rt (kN)</t>
  </si>
  <si>
    <t xml:space="preserve">Rt + Sea margin 15%
</t>
  </si>
  <si>
    <t>EHP (kW)</t>
  </si>
  <si>
    <t xml:space="preserve">Va (m/s)
</t>
  </si>
  <si>
    <t>DHP (kW)</t>
  </si>
  <si>
    <t>SHP (kW)</t>
  </si>
  <si>
    <t xml:space="preserve">BHP Mcr (kW)
</t>
  </si>
  <si>
    <t>% Power</t>
  </si>
  <si>
    <t xml:space="preserve">Fuel Consumption HSD M/E (Ton)
</t>
  </si>
  <si>
    <t xml:space="preserve">Fuel Consumption HSD A/E (Ton)
</t>
  </si>
  <si>
    <r>
      <t>(</t>
    </r>
    <r>
      <rPr>
        <b/>
        <vertAlign val="superscript"/>
        <sz val="11"/>
        <color theme="1"/>
        <rFont val="Franklin Gothic Book"/>
        <family val="2"/>
      </rPr>
      <t>o</t>
    </r>
    <r>
      <rPr>
        <b/>
        <sz val="11"/>
        <color theme="1"/>
        <rFont val="Franklin Gothic Book"/>
        <family val="2"/>
      </rPr>
      <t>)</t>
    </r>
  </si>
  <si>
    <t>Padang Bai</t>
  </si>
  <si>
    <t>Lembar</t>
  </si>
  <si>
    <t>Voyage 1</t>
  </si>
  <si>
    <t>Coordinate</t>
  </si>
  <si>
    <t>Lat.</t>
  </si>
  <si>
    <t>.</t>
  </si>
  <si>
    <t>Long.</t>
  </si>
  <si>
    <t>Wind Speed</t>
  </si>
  <si>
    <t>Knot</t>
  </si>
  <si>
    <t>Wind Course</t>
  </si>
  <si>
    <t>Beafort Number (BN)</t>
  </si>
  <si>
    <t>m/s</t>
  </si>
  <si>
    <r>
      <t>C</t>
    </r>
    <r>
      <rPr>
        <b/>
        <vertAlign val="subscript"/>
        <sz val="9"/>
        <color theme="1"/>
        <rFont val="Franklin Gothic Book"/>
        <family val="2"/>
      </rPr>
      <t>u</t>
    </r>
    <r>
      <rPr>
        <b/>
        <sz val="9"/>
        <color theme="1"/>
        <rFont val="Franklin Gothic Book"/>
        <family val="2"/>
      </rPr>
      <t xml:space="preserve"> (Koefisien Pengurangan Kecepatan</t>
    </r>
  </si>
  <si>
    <r>
      <t>C</t>
    </r>
    <r>
      <rPr>
        <b/>
        <vertAlign val="subscript"/>
        <sz val="9"/>
        <color theme="1"/>
        <rFont val="Franklin Gothic Book"/>
        <family val="2"/>
      </rPr>
      <t>β</t>
    </r>
    <r>
      <rPr>
        <b/>
        <sz val="9"/>
        <color theme="1"/>
        <rFont val="Franklin Gothic Book"/>
        <family val="2"/>
      </rPr>
      <t xml:space="preserve"> (Koefisien Pengurangan Akibat Arah)</t>
    </r>
  </si>
  <si>
    <r>
      <t>C</t>
    </r>
    <r>
      <rPr>
        <b/>
        <vertAlign val="subscript"/>
        <sz val="9"/>
        <color theme="1"/>
        <rFont val="Franklin Gothic Book"/>
        <family val="2"/>
      </rPr>
      <t>form</t>
    </r>
    <r>
      <rPr>
        <b/>
        <sz val="9"/>
        <color theme="1"/>
        <rFont val="Franklin Gothic Book"/>
        <family val="2"/>
      </rPr>
      <t xml:space="preserve"> (Koefisien Bentuk Kapal)</t>
    </r>
  </si>
  <si>
    <t>Koefisien Blok</t>
  </si>
  <si>
    <t>Loading Condition</t>
  </si>
  <si>
    <t>Normal</t>
  </si>
  <si>
    <t>Loaded or Normal</t>
  </si>
  <si>
    <t>Ballast</t>
  </si>
  <si>
    <r>
      <t>Speed Reduction Factor (C</t>
    </r>
    <r>
      <rPr>
        <b/>
        <sz val="6"/>
        <color theme="1"/>
        <rFont val="Franklin Gothic Book"/>
        <family val="2"/>
      </rPr>
      <t>u</t>
    </r>
    <r>
      <rPr>
        <b/>
        <sz val="11"/>
        <color theme="1"/>
        <rFont val="Franklin Gothic Book"/>
        <family val="2"/>
      </rPr>
      <t>)</t>
    </r>
  </si>
  <si>
    <t>Weather Direction</t>
  </si>
  <si>
    <t>Encounter Angle</t>
  </si>
  <si>
    <r>
      <t>Direction Reduction Coefficient (C</t>
    </r>
    <r>
      <rPr>
        <b/>
        <sz val="6"/>
        <color theme="1"/>
        <rFont val="Calibri"/>
        <family val="2"/>
      </rPr>
      <t>ß</t>
    </r>
    <r>
      <rPr>
        <b/>
        <sz val="11"/>
        <color theme="1"/>
        <rFont val="Calibri"/>
        <family val="2"/>
      </rPr>
      <t>)</t>
    </r>
  </si>
  <si>
    <t>Head Sea and Wind</t>
  </si>
  <si>
    <t>Bow Sea and Wind</t>
  </si>
  <si>
    <t>Beam Sea and Wind</t>
  </si>
  <si>
    <t>Following Sea and Wind</t>
  </si>
  <si>
    <t>0 - 30</t>
  </si>
  <si>
    <t>30 - 60</t>
  </si>
  <si>
    <t>60 - 150</t>
  </si>
  <si>
    <t>150 - 180</t>
  </si>
  <si>
    <t>2Cβ = 2</t>
  </si>
  <si>
    <r>
      <t>1,7 – 1,4Fn – 7,4Fn</t>
    </r>
    <r>
      <rPr>
        <vertAlign val="superscript"/>
        <sz val="11"/>
        <color theme="1"/>
        <rFont val="Franklin Gothic Book"/>
        <family val="2"/>
      </rPr>
      <t>2</t>
    </r>
  </si>
  <si>
    <r>
      <t>2,2 – 2,5Fn – 9,7Fn</t>
    </r>
    <r>
      <rPr>
        <vertAlign val="superscript"/>
        <sz val="11"/>
        <color theme="1"/>
        <rFont val="Franklin Gothic Book"/>
        <family val="2"/>
      </rPr>
      <t>2</t>
    </r>
  </si>
  <si>
    <r>
      <t>2,6 – 3,7Fn – 11,6Fn</t>
    </r>
    <r>
      <rPr>
        <vertAlign val="superscript"/>
        <sz val="11"/>
        <color theme="1"/>
        <rFont val="Franklin Gothic Book"/>
        <family val="2"/>
      </rPr>
      <t>2</t>
    </r>
  </si>
  <si>
    <r>
      <t>3,1 – 5,3Fn – 12,4Fn</t>
    </r>
    <r>
      <rPr>
        <vertAlign val="superscript"/>
        <sz val="11"/>
        <color theme="1"/>
        <rFont val="Franklin Gothic Book"/>
        <family val="2"/>
      </rPr>
      <t>2</t>
    </r>
  </si>
  <si>
    <r>
      <t>2,4 – 10,6Fn – 9,5Fn</t>
    </r>
    <r>
      <rPr>
        <vertAlign val="superscript"/>
        <sz val="11"/>
        <color theme="1"/>
        <rFont val="Franklin Gothic Book"/>
        <family val="2"/>
      </rPr>
      <t>2</t>
    </r>
  </si>
  <si>
    <r>
      <t>2,6 – 13,1Fn – 15,1Fn</t>
    </r>
    <r>
      <rPr>
        <vertAlign val="superscript"/>
        <sz val="11"/>
        <color theme="1"/>
        <rFont val="Franklin Gothic Book"/>
        <family val="2"/>
      </rPr>
      <t>2</t>
    </r>
  </si>
  <si>
    <r>
      <t>3,1 – 18,7Fn + 28,0Fn</t>
    </r>
    <r>
      <rPr>
        <vertAlign val="superscript"/>
        <sz val="11"/>
        <color theme="1"/>
        <rFont val="Franklin Gothic Book"/>
        <family val="2"/>
      </rPr>
      <t>2</t>
    </r>
  </si>
  <si>
    <r>
      <t>2,6 – 12,5Fn – 13,5Fn</t>
    </r>
    <r>
      <rPr>
        <vertAlign val="superscript"/>
        <sz val="11"/>
        <color theme="1"/>
        <rFont val="Franklin Gothic Book"/>
        <family val="2"/>
      </rPr>
      <t>2</t>
    </r>
  </si>
  <si>
    <r>
      <t>3,0 – 16,3Fn – 21,6Fn</t>
    </r>
    <r>
      <rPr>
        <vertAlign val="superscript"/>
        <sz val="11"/>
        <color theme="1"/>
        <rFont val="Franklin Gothic Book"/>
        <family val="2"/>
      </rPr>
      <t>2</t>
    </r>
  </si>
  <si>
    <r>
      <t>3,4 – 20,9Fn + 31,8Fn</t>
    </r>
    <r>
      <rPr>
        <vertAlign val="superscript"/>
        <sz val="11"/>
        <color theme="1"/>
        <rFont val="Franklin Gothic Book"/>
        <family val="2"/>
      </rPr>
      <t>2</t>
    </r>
  </si>
  <si>
    <r>
      <t>2Cβ = 1,7 – 0,03 ((BN - 4)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</si>
  <si>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2Cβ = 0,9 – 0,06 ((BN - 6)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</si>
  <si>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2Cβ = 0,4 – 0,03 ((BN - 8)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</si>
  <si>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Ship Condition</t>
  </si>
  <si>
    <t>NORMAL</t>
  </si>
  <si>
    <t>AISITS</t>
  </si>
  <si>
    <t>BMKG</t>
  </si>
  <si>
    <t xml:space="preserve">Lu. et al </t>
  </si>
  <si>
    <t>Type of (Discplacement) Ship</t>
  </si>
  <si>
    <t>Ship form Coefficient (Cform)</t>
  </si>
  <si>
    <r>
      <t>0,5BN + BN</t>
    </r>
    <r>
      <rPr>
        <vertAlign val="superscript"/>
        <sz val="11"/>
        <color theme="1"/>
        <rFont val="Calibri"/>
        <family val="2"/>
        <scheme val="minor"/>
      </rPr>
      <t>6,5</t>
    </r>
    <r>
      <rPr>
        <sz val="11"/>
        <color theme="1"/>
        <rFont val="Calibri"/>
        <family val="2"/>
        <scheme val="minor"/>
      </rPr>
      <t xml:space="preserve"> / (2,7 x Δ</t>
    </r>
    <r>
      <rPr>
        <vertAlign val="superscript"/>
        <sz val="11"/>
        <color theme="1"/>
        <rFont val="Calibri"/>
        <family val="2"/>
        <scheme val="minor"/>
      </rPr>
      <t>2/3</t>
    </r>
    <r>
      <rPr>
        <sz val="11"/>
        <color theme="1"/>
        <rFont val="Calibri"/>
        <family val="2"/>
        <scheme val="minor"/>
      </rPr>
      <t>)</t>
    </r>
  </si>
  <si>
    <r>
      <t>0,7BN + BN</t>
    </r>
    <r>
      <rPr>
        <vertAlign val="superscript"/>
        <sz val="11"/>
        <color theme="1"/>
        <rFont val="Calibri"/>
        <family val="2"/>
        <scheme val="minor"/>
      </rPr>
      <t>6,5</t>
    </r>
    <r>
      <rPr>
        <sz val="11"/>
        <color theme="1"/>
        <rFont val="Calibri"/>
        <family val="2"/>
        <scheme val="minor"/>
      </rPr>
      <t xml:space="preserve"> / (2,7 x Δ</t>
    </r>
    <r>
      <rPr>
        <vertAlign val="superscript"/>
        <sz val="11"/>
        <color theme="1"/>
        <rFont val="Calibri"/>
        <family val="2"/>
        <scheme val="minor"/>
      </rPr>
      <t>2/3</t>
    </r>
    <r>
      <rPr>
        <sz val="11"/>
        <color theme="1"/>
        <rFont val="Calibri"/>
        <family val="2"/>
        <scheme val="minor"/>
      </rPr>
      <t>)</t>
    </r>
  </si>
  <si>
    <r>
      <t>0,7BN + BN</t>
    </r>
    <r>
      <rPr>
        <vertAlign val="superscript"/>
        <sz val="11"/>
        <color theme="1"/>
        <rFont val="Calibri"/>
        <family val="2"/>
        <scheme val="minor"/>
      </rPr>
      <t>6,5</t>
    </r>
    <r>
      <rPr>
        <sz val="11"/>
        <color theme="1"/>
        <rFont val="Calibri"/>
        <family val="2"/>
        <scheme val="minor"/>
      </rPr>
      <t xml:space="preserve"> / (2,2 x Δ</t>
    </r>
    <r>
      <rPr>
        <vertAlign val="superscript"/>
        <sz val="11"/>
        <color theme="1"/>
        <rFont val="Calibri"/>
        <family val="2"/>
        <scheme val="minor"/>
      </rPr>
      <t>2/3</t>
    </r>
    <r>
      <rPr>
        <sz val="11"/>
        <color theme="1"/>
        <rFont val="Calibri"/>
        <family val="2"/>
        <scheme val="minor"/>
      </rPr>
      <t>)</t>
    </r>
  </si>
  <si>
    <t>ALL SHIP TYPE LOADED</t>
  </si>
  <si>
    <t>ALL SHIP TYPE BALLAST</t>
  </si>
  <si>
    <t>CONTAINER NORMAL</t>
  </si>
  <si>
    <t>C14</t>
  </si>
  <si>
    <r>
      <t>L/L</t>
    </r>
    <r>
      <rPr>
        <b/>
        <sz val="8"/>
        <color theme="1"/>
        <rFont val="Franklin Gothic Book"/>
        <family val="2"/>
      </rPr>
      <t>R</t>
    </r>
  </si>
  <si>
    <t>Kapal 1</t>
  </si>
  <si>
    <r>
      <t>A</t>
    </r>
    <r>
      <rPr>
        <vertAlign val="subscript"/>
        <sz val="11"/>
        <color theme="1"/>
        <rFont val="Calibri"/>
        <family val="2"/>
        <scheme val="minor"/>
      </rPr>
      <t>BT</t>
    </r>
  </si>
  <si>
    <r>
      <t>L</t>
    </r>
    <r>
      <rPr>
        <vertAlign val="subscript"/>
        <sz val="11"/>
        <color theme="1"/>
        <rFont val="Calibri"/>
        <family val="2"/>
        <scheme val="minor"/>
      </rPr>
      <t>PR</t>
    </r>
  </si>
  <si>
    <r>
      <t>B</t>
    </r>
    <r>
      <rPr>
        <vertAlign val="subscript"/>
        <sz val="11"/>
        <color theme="1"/>
        <rFont val="Calibri"/>
        <family val="2"/>
        <scheme val="minor"/>
      </rPr>
      <t>B</t>
    </r>
  </si>
  <si>
    <t>L Disp</t>
  </si>
  <si>
    <t>V Disp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</si>
  <si>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</si>
  <si>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ITCC57 / PNA 90</t>
  </si>
  <si>
    <r>
      <t xml:space="preserve">Rapp (N) 
</t>
    </r>
    <r>
      <rPr>
        <b/>
        <i/>
        <sz val="9"/>
        <color theme="1"/>
        <rFont val="Franklin Gothic Book"/>
        <family val="2"/>
      </rPr>
      <t>Tahanan Tambahan</t>
    </r>
  </si>
  <si>
    <t>PNA 92 / BKI 14-2</t>
  </si>
  <si>
    <t>Time</t>
  </si>
  <si>
    <t>Vessel Speed</t>
  </si>
  <si>
    <t>Luas Permukaan Basah</t>
  </si>
  <si>
    <t>L Disp (ft)</t>
  </si>
  <si>
    <t>feet</t>
  </si>
  <si>
    <t>Speed Constant</t>
  </si>
  <si>
    <t>V dinas</t>
  </si>
  <si>
    <t>knot</t>
  </si>
  <si>
    <t>Cb NSP</t>
  </si>
  <si>
    <t>Nm</t>
  </si>
  <si>
    <t>Start</t>
  </si>
  <si>
    <t>Perhitungan Power Main Engine</t>
  </si>
  <si>
    <t>w</t>
  </si>
  <si>
    <t xml:space="preserve">ηs </t>
  </si>
  <si>
    <t>t</t>
  </si>
  <si>
    <t>k (0,7 - 0,9) diambil 0,8</t>
  </si>
  <si>
    <t>ηG</t>
  </si>
  <si>
    <t>ηrr</t>
  </si>
  <si>
    <t>(1 - 1,1. Diambil 1,05)</t>
  </si>
  <si>
    <t>Koe. Hull</t>
  </si>
  <si>
    <t>ηh</t>
  </si>
  <si>
    <t>ηo</t>
  </si>
  <si>
    <t>Nilainya berkisar 40% - 70 %</t>
  </si>
  <si>
    <t>PC</t>
  </si>
  <si>
    <t>Data Main Engine &amp; Data AE</t>
  </si>
  <si>
    <t>Data Main Engine</t>
  </si>
  <si>
    <t>Data Main Generator</t>
  </si>
  <si>
    <t>Merk</t>
  </si>
  <si>
    <t>MAN</t>
  </si>
  <si>
    <t>Seri</t>
  </si>
  <si>
    <t>D2866 LE</t>
  </si>
  <si>
    <t>RPM</t>
  </si>
  <si>
    <t>Power</t>
  </si>
  <si>
    <t>kW</t>
  </si>
  <si>
    <t>kWe</t>
  </si>
  <si>
    <t>SFOC at 100%</t>
  </si>
  <si>
    <t>g/Kwh</t>
  </si>
  <si>
    <t>SFOC</t>
  </si>
  <si>
    <t>g/KwH</t>
  </si>
  <si>
    <t>SFOC at 85%</t>
  </si>
  <si>
    <t>SFOC at 75%</t>
  </si>
  <si>
    <t>SFOC at 50%</t>
  </si>
  <si>
    <t>NIIGATA</t>
  </si>
  <si>
    <t>6M28BET</t>
  </si>
  <si>
    <t>rt</t>
  </si>
  <si>
    <t>EHP</t>
  </si>
  <si>
    <t>BHP</t>
  </si>
  <si>
    <t>Engine (PS)</t>
  </si>
  <si>
    <t>Engine (ST)</t>
  </si>
  <si>
    <t>Fuel Consumption HSD M/E (Ton)
Engine (PS)</t>
  </si>
  <si>
    <t>Fuel Consumption HSD M/E (Ton)
Engine (ST)</t>
  </si>
  <si>
    <t>k (0,7 - 0,9) diambil 0,9</t>
  </si>
  <si>
    <t>Coordinates (RAD)</t>
  </si>
  <si>
    <t>Earth Radius</t>
  </si>
  <si>
    <t>Distance
(Calculation)</t>
  </si>
  <si>
    <t>Distance
(Measuring)</t>
  </si>
  <si>
    <t>Deviation</t>
  </si>
  <si>
    <t>%</t>
  </si>
  <si>
    <t>s</t>
  </si>
  <si>
    <t>Avg. Speed</t>
  </si>
  <si>
    <t>Sequential</t>
  </si>
  <si>
    <t>Total</t>
  </si>
  <si>
    <t>Speed Avg.</t>
  </si>
  <si>
    <t>Fuel Consumption</t>
  </si>
  <si>
    <t>ME</t>
  </si>
  <si>
    <t>AE</t>
  </si>
  <si>
    <t>25 L</t>
  </si>
  <si>
    <t>5 L</t>
  </si>
  <si>
    <t>50 L</t>
  </si>
  <si>
    <t>65 L</t>
  </si>
  <si>
    <t>72 L</t>
  </si>
  <si>
    <t>73 L</t>
  </si>
  <si>
    <t>68 L</t>
  </si>
  <si>
    <t>70 L</t>
  </si>
  <si>
    <t>95 L</t>
  </si>
  <si>
    <t>60 L</t>
  </si>
  <si>
    <t>55 L</t>
  </si>
  <si>
    <t>Checkpoint</t>
  </si>
  <si>
    <t>GPS Track</t>
  </si>
  <si>
    <t>foc me</t>
  </si>
  <si>
    <t>foc ae</t>
  </si>
  <si>
    <t>Interval
(Minute)</t>
  </si>
  <si>
    <t>FOC ME
(Litre)</t>
  </si>
  <si>
    <t>FOC AE
(Litre)</t>
  </si>
  <si>
    <t>Total FOC
(Litre)</t>
  </si>
  <si>
    <t>KMP. DF8 LEMBAR - PADANG BAI</t>
  </si>
  <si>
    <t>TOTAL</t>
  </si>
  <si>
    <t>Sum</t>
  </si>
  <si>
    <t>Kekasaran Lambung Kapal 15%</t>
  </si>
  <si>
    <r>
      <t>Vessel Speed
(V</t>
    </r>
    <r>
      <rPr>
        <b/>
        <sz val="6"/>
        <color theme="1"/>
        <rFont val="Franklin Gothic Book"/>
        <family val="2"/>
      </rPr>
      <t>2</t>
    </r>
    <r>
      <rPr>
        <b/>
        <sz val="11"/>
        <color theme="1"/>
        <rFont val="Franklin Gothic Book"/>
        <family val="2"/>
      </rPr>
      <t>)</t>
    </r>
  </si>
  <si>
    <r>
      <t>V</t>
    </r>
    <r>
      <rPr>
        <b/>
        <sz val="8"/>
        <color theme="1"/>
        <rFont val="Franklin Gothic Book"/>
        <family val="2"/>
      </rPr>
      <t>1</t>
    </r>
    <r>
      <rPr>
        <b/>
        <vertAlign val="subscript"/>
        <sz val="11"/>
        <color theme="1"/>
        <rFont val="Franklin Gothic Book"/>
        <family val="2"/>
      </rPr>
      <t xml:space="preserve"> </t>
    </r>
    <r>
      <rPr>
        <b/>
        <sz val="11"/>
        <color theme="1"/>
        <rFont val="Franklin Gothic Book"/>
        <family val="2"/>
      </rPr>
      <t>(Knot)</t>
    </r>
  </si>
  <si>
    <r>
      <t>V</t>
    </r>
    <r>
      <rPr>
        <b/>
        <sz val="8"/>
        <color theme="1"/>
        <rFont val="Franklin Gothic Book"/>
        <family val="2"/>
      </rPr>
      <t>1</t>
    </r>
    <r>
      <rPr>
        <b/>
        <sz val="11"/>
        <color theme="1"/>
        <rFont val="Franklin Gothic Book"/>
        <family val="2"/>
      </rPr>
      <t xml:space="preserve"> (m/s)</t>
    </r>
  </si>
  <si>
    <t>Point-Point</t>
  </si>
  <si>
    <t>Segmentation</t>
  </si>
  <si>
    <r>
      <rPr>
        <b/>
        <sz val="11"/>
        <color theme="1"/>
        <rFont val="Calibri"/>
        <family val="2"/>
      </rPr>
      <t>Δ</t>
    </r>
    <r>
      <rPr>
        <b/>
        <sz val="7.5"/>
        <color theme="1"/>
        <rFont val="Franklin Gothic Book"/>
        <family val="2"/>
      </rPr>
      <t xml:space="preserve"> Latitude</t>
    </r>
  </si>
  <si>
    <r>
      <rPr>
        <b/>
        <sz val="11"/>
        <color theme="1"/>
        <rFont val="Calibri"/>
        <family val="2"/>
      </rPr>
      <t>θ</t>
    </r>
    <r>
      <rPr>
        <b/>
        <sz val="7.5"/>
        <color theme="1"/>
        <rFont val="Franklin Gothic Book"/>
        <family val="2"/>
      </rPr>
      <t xml:space="preserve"> Bearing</t>
    </r>
  </si>
  <si>
    <t>Degrees˚</t>
  </si>
  <si>
    <r>
      <rPr>
        <b/>
        <sz val="11"/>
        <color theme="1"/>
        <rFont val="Calibri"/>
        <family val="2"/>
      </rPr>
      <t>Δ</t>
    </r>
    <r>
      <rPr>
        <b/>
        <sz val="7.5"/>
        <color theme="1"/>
        <rFont val="Franklin Gothic Book"/>
        <family val="2"/>
      </rPr>
      <t xml:space="preserve"> Longitude</t>
    </r>
  </si>
  <si>
    <t>Fuel Consumption HSD M/E (Ton)</t>
  </si>
  <si>
    <t>Fuel Consumption HSD A/E (Ton)</t>
  </si>
  <si>
    <t>Fuel Consumption HSD Summary(Ton)</t>
  </si>
  <si>
    <t>Fuel Type</t>
  </si>
  <si>
    <t>CF</t>
  </si>
  <si>
    <t>Distance</t>
  </si>
  <si>
    <t>Mile</t>
  </si>
  <si>
    <t>HSD</t>
  </si>
  <si>
    <t>C-GT (Ton)</t>
  </si>
  <si>
    <t>CII Calculation</t>
  </si>
  <si>
    <t>Required CII
(C Rating)</t>
  </si>
  <si>
    <t>CII (A rating)</t>
  </si>
  <si>
    <t>CII (B rating)</t>
  </si>
  <si>
    <t>CII (ADrating)</t>
  </si>
  <si>
    <t>CII (D rating)</t>
  </si>
  <si>
    <t>Annual Rating</t>
  </si>
  <si>
    <t>Lat 2 - Lat 1</t>
  </si>
  <si>
    <t>Lon 2 - Lon 1</t>
  </si>
  <si>
    <t>AVG FC</t>
  </si>
  <si>
    <t>REAL FC</t>
  </si>
  <si>
    <t>AVG SPEED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</si>
  <si>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</si>
  <si>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</si>
  <si>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</si>
  <si>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</si>
  <si>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</si>
  <si>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</si>
  <si>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</si>
  <si>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</si>
  <si>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</si>
  <si>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</si>
  <si>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</si>
  <si>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</si>
  <si>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</si>
  <si>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</si>
  <si>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</si>
  <si>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</si>
  <si>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</si>
  <si>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</si>
  <si>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</si>
  <si>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</si>
  <si>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</si>
  <si>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</si>
  <si>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</si>
  <si>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Nilai Korelasi antara x dengan y adalah 0,913 termasuk dalam kategori sangat kuat</t>
  </si>
  <si>
    <t>X = Kecepatan Kapal Relatif</t>
  </si>
  <si>
    <t>Y = Konsumsi Bahan Bakar Kapal</t>
  </si>
  <si>
    <t>Kategori Korelasi</t>
  </si>
  <si>
    <t>0,00-0,199</t>
  </si>
  <si>
    <t>Sangat Rendah</t>
  </si>
  <si>
    <t>0,2-0,399</t>
  </si>
  <si>
    <t>Rendah</t>
  </si>
  <si>
    <t>0,4-0,59</t>
  </si>
  <si>
    <t>Sedang</t>
  </si>
  <si>
    <t>0,6-0,799</t>
  </si>
  <si>
    <t>Kuat</t>
  </si>
  <si>
    <t>0,8-1</t>
  </si>
  <si>
    <t>Sangat Kuat</t>
  </si>
  <si>
    <t>Nilai Koefisien determinasi 0,83 atau 83% yang berarti bahwa x dapat menjelaskan y sebesar 83% dan sisanya dipengaruhi oleh faktor lain</t>
  </si>
  <si>
    <t>y = 8,1424x - 23,678</t>
  </si>
  <si>
    <t>R² = 0,6523</t>
  </si>
  <si>
    <t>Nilai Korelasi antara x dengan y adalah 0,807 termasuk dalam kategori sangat kuat</t>
  </si>
  <si>
    <t>Nilai Koefisien determinasi 0,65 atau 65% yang berarti bahwa x dapat menjelaskan y sebesar 64% dan sisanya dipengaruhi oleh faktor lain</t>
  </si>
  <si>
    <t>Nilai Korelasi antara x dengan y adalah 0,88 termasuk dalam kategori sangat kuat</t>
  </si>
  <si>
    <t>Nilai Koefisien determinasi 0,78 atau 78% yang berarti bahwa x dapat menjelaskan y sebesar 83% dan sisanya dipengaruhi oleh faktor lain</t>
  </si>
  <si>
    <t>Nilai Korelasi antara x dengan y adalah 0,85 termasuk dalam kategori sangat kuat</t>
  </si>
  <si>
    <t>Nilai Koefisien determinasi 0,735 atau 73,5% yang berarti bahwa x dapat menjelaskan y sebesar 73,5% dan sisanya dipengaruhi oleh faktor lain</t>
  </si>
  <si>
    <t>`</t>
  </si>
  <si>
    <t>No.</t>
  </si>
  <si>
    <t>Vs</t>
  </si>
  <si>
    <t>RF</t>
  </si>
  <si>
    <t>RAPP</t>
  </si>
  <si>
    <t>RW</t>
  </si>
  <si>
    <t>RA</t>
  </si>
  <si>
    <t>Rtotal (KN)</t>
  </si>
  <si>
    <t>Rtotal (N)</t>
  </si>
  <si>
    <t>dist</t>
  </si>
  <si>
    <t>Summary 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</si>
</sst>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0.000"/>
    <numFmt numFmtId="165" formatCode="0.0000"/>
    <numFmt numFmtId="166" formatCode="[$-F400]h:mm:ss\ AM/PM"/>
    <numFmt numFmtId="167" formatCode="#,##0.000000"/>
    <numFmt numFmtId="168" formatCode="0.00000"/>
    <numFmt numFmtId="169" formatCode="0.00000000"/>
    <numFmt numFmtId="170" formatCode="_-* #,##0.00_-;\-* #,##0.00_-;_-* &quot;-&quot;_-;_-@_-"/>
    <numFmt numFmtId="171" formatCode="0.0000000000"/>
    <numFmt numFmtId="172" formatCode="0.0000000"/>
    <numFmt numFmtId="173" formatCode="0.000000"/>
    <numFmt numFmtId="174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vertAlign val="superscript"/>
      <sz val="11"/>
      <color theme="1"/>
      <name val="Franklin Gothic Book"/>
      <family val="2"/>
    </font>
    <font>
      <b/>
      <vertAlign val="subscript"/>
      <sz val="11"/>
      <color theme="1"/>
      <name val="Franklin Gothic Book"/>
      <family val="2"/>
    </font>
    <font>
      <b/>
      <vertAlign val="superscript"/>
      <sz val="11"/>
      <color theme="1"/>
      <name val="Franklin Gothic Book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Franklin Gothic Book"/>
      <family val="2"/>
    </font>
    <font>
      <b/>
      <vertAlign val="subscript"/>
      <sz val="9"/>
      <color theme="1"/>
      <name val="Franklin Gothic Book"/>
      <family val="2"/>
    </font>
    <font>
      <b/>
      <sz val="8"/>
      <color theme="1"/>
      <name val="Franklin Gothic Book"/>
      <family val="2"/>
    </font>
    <font>
      <b/>
      <sz val="6"/>
      <color theme="1"/>
      <name val="Franklin Gothic Book"/>
      <family val="2"/>
    </font>
    <font>
      <b/>
      <sz val="6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Franklin Gothic Book"/>
      <family val="2"/>
    </font>
    <font>
      <b/>
      <sz val="35"/>
      <color theme="1"/>
      <name val="Franklin Gothic Book"/>
      <family val="2"/>
    </font>
    <font>
      <b/>
      <sz val="10"/>
      <color theme="1"/>
      <name val="Franklin Gothic Book"/>
      <family val="2"/>
    </font>
    <font>
      <sz val="11"/>
      <color theme="1"/>
      <name val="Calibri"/>
      <family val="2"/>
      <scheme val="minor"/>
    </font>
    <font>
      <b/>
      <sz val="7.5"/>
      <color theme="1"/>
      <name val="Franklin Gothic Book"/>
      <family val="2"/>
    </font>
    <font>
      <b/>
      <sz val="8"/>
      <color theme="1"/>
      <name val="Calibri"/>
      <family val="2"/>
    </font>
    <font>
      <i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1" fillId="0" borderId="0" applyFont="0" applyFill="0" applyBorder="0" applyAlignment="0" applyProtection="0"/>
    <xf numFmtId="41" fontId="21" fillId="0" borderId="0" applyFont="0" applyFill="0" applyBorder="0" applyAlignment="0" applyProtection="0"/>
  </cellStyleXfs>
  <cellXfs count="463">
    <xf numFmtId="0" fontId="0" fillId="0" borderId="0" xfId="0"/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1" fillId="0" borderId="5" xfId="0" applyFont="1" applyBorder="1"/>
    <xf numFmtId="0" fontId="2" fillId="0" borderId="6" xfId="0" applyFont="1" applyBorder="1"/>
    <xf numFmtId="164" fontId="2" fillId="0" borderId="5" xfId="0" applyNumberFormat="1" applyFont="1" applyBorder="1" applyAlignment="1">
      <alignment horizontal="center"/>
    </xf>
    <xf numFmtId="0" fontId="1" fillId="0" borderId="7" xfId="0" applyFont="1" applyBorder="1"/>
    <xf numFmtId="164" fontId="2" fillId="0" borderId="8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2" fillId="0" borderId="5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0" fillId="0" borderId="5" xfId="0" applyFont="1" applyBorder="1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1" fillId="5" borderId="19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/>
    <xf numFmtId="0" fontId="2" fillId="0" borderId="21" xfId="0" applyFont="1" applyBorder="1"/>
    <xf numFmtId="9" fontId="2" fillId="0" borderId="21" xfId="0" applyNumberFormat="1" applyFont="1" applyBorder="1" applyAlignment="1">
      <alignment horizontal="center"/>
    </xf>
    <xf numFmtId="0" fontId="2" fillId="0" borderId="4" xfId="0" applyFont="1" applyBorder="1"/>
    <xf numFmtId="9" fontId="2" fillId="0" borderId="5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23" xfId="0" applyFont="1" applyBorder="1"/>
    <xf numFmtId="164" fontId="2" fillId="0" borderId="13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textRotation="180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167" fontId="2" fillId="0" borderId="5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2" fillId="0" borderId="15" xfId="0" applyNumberFormat="1" applyFont="1" applyBorder="1" applyAlignment="1">
      <alignment horizontal="center" vertical="center"/>
    </xf>
    <xf numFmtId="169" fontId="2" fillId="0" borderId="5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3" xfId="0" applyFont="1" applyBorder="1" applyAlignment="1">
      <alignment vertical="center"/>
    </xf>
    <xf numFmtId="1" fontId="2" fillId="0" borderId="17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0" borderId="13" xfId="0" applyNumberFormat="1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164" fontId="2" fillId="0" borderId="17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164" fontId="0" fillId="2" borderId="0" xfId="0" applyNumberFormat="1" applyFill="1"/>
    <xf numFmtId="2" fontId="2" fillId="2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/>
    <xf numFmtId="169" fontId="2" fillId="2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vertical="center"/>
    </xf>
    <xf numFmtId="0" fontId="0" fillId="2" borderId="0" xfId="0" applyFill="1"/>
    <xf numFmtId="166" fontId="2" fillId="2" borderId="12" xfId="0" applyNumberFormat="1" applyFont="1" applyFill="1" applyBorder="1" applyAlignment="1">
      <alignment horizontal="center" vertical="center"/>
    </xf>
    <xf numFmtId="166" fontId="2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2" fillId="0" borderId="13" xfId="0" applyNumberFormat="1" applyFont="1" applyBorder="1" applyAlignment="1">
      <alignment vertical="center"/>
    </xf>
    <xf numFmtId="166" fontId="2" fillId="0" borderId="17" xfId="0" applyNumberFormat="1" applyFont="1" applyBorder="1" applyAlignment="1">
      <alignment vertical="center"/>
    </xf>
    <xf numFmtId="173" fontId="0" fillId="0" borderId="0" xfId="0" applyNumberFormat="1"/>
    <xf numFmtId="174" fontId="0" fillId="0" borderId="0" xfId="0" applyNumberFormat="1"/>
    <xf numFmtId="173" fontId="0" fillId="2" borderId="0" xfId="0" applyNumberFormat="1" applyFill="1"/>
    <xf numFmtId="0" fontId="0" fillId="0" borderId="0" xfId="0" applyAlignment="1">
      <alignment vertical="center"/>
    </xf>
    <xf numFmtId="21" fontId="0" fillId="0" borderId="0" xfId="0" applyNumberFormat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 wrapText="1"/>
    </xf>
    <xf numFmtId="0" fontId="0" fillId="9" borderId="5" xfId="0" applyFill="1" applyBorder="1"/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9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4" fontId="2" fillId="0" borderId="17" xfId="0" applyNumberFormat="1" applyFont="1" applyBorder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174" fontId="2" fillId="0" borderId="5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1" xfId="0" applyBorder="1"/>
    <xf numFmtId="0" fontId="2" fillId="2" borderId="11" xfId="0" applyFont="1" applyFill="1" applyBorder="1" applyAlignment="1">
      <alignment horizontal="center" vertical="center"/>
    </xf>
    <xf numFmtId="167" fontId="2" fillId="2" borderId="5" xfId="0" applyNumberFormat="1" applyFont="1" applyFill="1" applyBorder="1" applyAlignment="1">
      <alignment horizontal="center" vertical="center"/>
    </xf>
    <xf numFmtId="168" fontId="2" fillId="2" borderId="5" xfId="0" applyNumberFormat="1" applyFont="1" applyFill="1" applyBorder="1" applyAlignment="1">
      <alignment horizontal="center" vertical="center"/>
    </xf>
    <xf numFmtId="173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74" fontId="2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166" fontId="2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ill="1"/>
    <xf numFmtId="2" fontId="2" fillId="6" borderId="5" xfId="0" applyNumberFormat="1" applyFont="1" applyFill="1" applyBorder="1" applyAlignment="1">
      <alignment horizontal="center" vertical="center"/>
    </xf>
    <xf numFmtId="168" fontId="2" fillId="6" borderId="5" xfId="0" applyNumberFormat="1" applyFont="1" applyFill="1" applyBorder="1" applyAlignment="1">
      <alignment horizontal="center" vertical="center"/>
    </xf>
    <xf numFmtId="173" fontId="2" fillId="6" borderId="0" xfId="0" applyNumberFormat="1" applyFont="1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165" fontId="2" fillId="6" borderId="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vertical="center"/>
    </xf>
    <xf numFmtId="0" fontId="0" fillId="6" borderId="0" xfId="0" applyFill="1"/>
    <xf numFmtId="173" fontId="0" fillId="6" borderId="0" xfId="0" applyNumberFormat="1" applyFill="1"/>
    <xf numFmtId="167" fontId="2" fillId="6" borderId="5" xfId="0" applyNumberFormat="1" applyFont="1" applyFill="1" applyBorder="1" applyAlignment="1">
      <alignment horizontal="center" vertical="center"/>
    </xf>
    <xf numFmtId="168" fontId="0" fillId="2" borderId="0" xfId="1" applyNumberFormat="1" applyFont="1" applyFill="1"/>
    <xf numFmtId="164" fontId="0" fillId="2" borderId="5" xfId="0" applyNumberFormat="1" applyFill="1" applyBorder="1" applyAlignment="1">
      <alignment vertical="center"/>
    </xf>
    <xf numFmtId="1" fontId="0" fillId="0" borderId="0" xfId="0" applyNumberFormat="1"/>
    <xf numFmtId="1" fontId="2" fillId="0" borderId="5" xfId="0" applyNumberFormat="1" applyFont="1" applyBorder="1" applyAlignment="1">
      <alignment horizontal="center" vertical="center"/>
    </xf>
    <xf numFmtId="0" fontId="0" fillId="0" borderId="23" xfId="0" applyBorder="1"/>
    <xf numFmtId="0" fontId="24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Continuous"/>
    </xf>
    <xf numFmtId="171" fontId="0" fillId="0" borderId="0" xfId="0" applyNumberFormat="1"/>
    <xf numFmtId="0" fontId="25" fillId="0" borderId="0" xfId="0" applyFont="1" applyAlignment="1">
      <alignment horizontal="center" vertical="center" readingOrder="1"/>
    </xf>
    <xf numFmtId="0" fontId="2" fillId="12" borderId="5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166" fontId="2" fillId="12" borderId="5" xfId="0" applyNumberFormat="1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164" fontId="2" fillId="12" borderId="5" xfId="0" applyNumberFormat="1" applyFont="1" applyFill="1" applyBorder="1" applyAlignment="1">
      <alignment horizontal="center" vertical="center"/>
    </xf>
    <xf numFmtId="2" fontId="2" fillId="12" borderId="5" xfId="0" applyNumberFormat="1" applyFont="1" applyFill="1" applyBorder="1" applyAlignment="1">
      <alignment horizontal="center" vertical="center"/>
    </xf>
    <xf numFmtId="0" fontId="0" fillId="12" borderId="5" xfId="0" applyFill="1" applyBorder="1"/>
    <xf numFmtId="164" fontId="2" fillId="12" borderId="5" xfId="0" applyNumberFormat="1" applyFont="1" applyFill="1" applyBorder="1" applyAlignment="1">
      <alignment horizontal="center"/>
    </xf>
    <xf numFmtId="0" fontId="0" fillId="12" borderId="0" xfId="0" applyFill="1"/>
    <xf numFmtId="166" fontId="2" fillId="12" borderId="12" xfId="0" applyNumberFormat="1" applyFont="1" applyFill="1" applyBorder="1" applyAlignment="1">
      <alignment horizontal="center" vertical="center"/>
    </xf>
    <xf numFmtId="173" fontId="2" fillId="0" borderId="5" xfId="0" applyNumberFormat="1" applyFont="1" applyBorder="1" applyAlignment="1">
      <alignment horizontal="center" vertical="center"/>
    </xf>
    <xf numFmtId="168" fontId="2" fillId="12" borderId="5" xfId="0" applyNumberFormat="1" applyFont="1" applyFill="1" applyBorder="1" applyAlignment="1">
      <alignment horizontal="center" vertical="center"/>
    </xf>
    <xf numFmtId="167" fontId="2" fillId="12" borderId="5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0" fillId="0" borderId="5" xfId="0" applyNumberFormat="1" applyBorder="1"/>
    <xf numFmtId="0" fontId="0" fillId="13" borderId="0" xfId="0" applyFill="1"/>
    <xf numFmtId="0" fontId="2" fillId="13" borderId="5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166" fontId="2" fillId="13" borderId="5" xfId="0" applyNumberFormat="1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164" fontId="0" fillId="13" borderId="0" xfId="0" applyNumberFormat="1" applyFill="1"/>
    <xf numFmtId="2" fontId="2" fillId="13" borderId="5" xfId="0" applyNumberFormat="1" applyFont="1" applyFill="1" applyBorder="1" applyAlignment="1">
      <alignment horizontal="center" vertical="center"/>
    </xf>
    <xf numFmtId="164" fontId="2" fillId="13" borderId="5" xfId="0" applyNumberFormat="1" applyFont="1" applyFill="1" applyBorder="1" applyAlignment="1">
      <alignment horizontal="center" vertical="center"/>
    </xf>
    <xf numFmtId="168" fontId="2" fillId="13" borderId="5" xfId="0" applyNumberFormat="1" applyFont="1" applyFill="1" applyBorder="1" applyAlignment="1">
      <alignment horizontal="center" vertical="center"/>
    </xf>
    <xf numFmtId="173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2" fontId="0" fillId="13" borderId="5" xfId="0" applyNumberFormat="1" applyFill="1" applyBorder="1" applyAlignment="1">
      <alignment horizontal="center" vertical="center"/>
    </xf>
    <xf numFmtId="169" fontId="2" fillId="13" borderId="5" xfId="0" applyNumberFormat="1" applyFont="1" applyFill="1" applyBorder="1" applyAlignment="1">
      <alignment horizontal="center" vertical="center"/>
    </xf>
    <xf numFmtId="164" fontId="2" fillId="13" borderId="5" xfId="0" applyNumberFormat="1" applyFont="1" applyFill="1" applyBorder="1" applyAlignment="1">
      <alignment horizontal="center"/>
    </xf>
    <xf numFmtId="164" fontId="2" fillId="13" borderId="13" xfId="0" applyNumberFormat="1" applyFont="1" applyFill="1" applyBorder="1" applyAlignment="1">
      <alignment horizontal="center" vertical="center"/>
    </xf>
    <xf numFmtId="1" fontId="2" fillId="13" borderId="5" xfId="0" applyNumberFormat="1" applyFont="1" applyFill="1" applyBorder="1" applyAlignment="1">
      <alignment horizontal="center" vertical="center"/>
    </xf>
    <xf numFmtId="164" fontId="0" fillId="13" borderId="5" xfId="0" applyNumberFormat="1" applyFill="1" applyBorder="1"/>
    <xf numFmtId="166" fontId="2" fillId="13" borderId="12" xfId="0" applyNumberFormat="1" applyFont="1" applyFill="1" applyBorder="1" applyAlignment="1">
      <alignment horizontal="center" vertical="center"/>
    </xf>
    <xf numFmtId="174" fontId="2" fillId="13" borderId="5" xfId="0" applyNumberFormat="1" applyFont="1" applyFill="1" applyBorder="1" applyAlignment="1">
      <alignment horizontal="center" vertical="center"/>
    </xf>
    <xf numFmtId="173" fontId="0" fillId="13" borderId="0" xfId="0" applyNumberFormat="1" applyFill="1"/>
    <xf numFmtId="172" fontId="2" fillId="13" borderId="5" xfId="0" applyNumberFormat="1" applyFont="1" applyFill="1" applyBorder="1" applyAlignment="1">
      <alignment horizontal="center" vertical="center"/>
    </xf>
    <xf numFmtId="174" fontId="0" fillId="0" borderId="5" xfId="0" applyNumberFormat="1" applyBorder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174" fontId="2" fillId="2" borderId="12" xfId="0" applyNumberFormat="1" applyFont="1" applyFill="1" applyBorder="1" applyAlignment="1">
      <alignment horizontal="center" vertical="center"/>
    </xf>
    <xf numFmtId="174" fontId="2" fillId="6" borderId="1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textRotation="180"/>
    </xf>
    <xf numFmtId="0" fontId="2" fillId="0" borderId="8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 textRotation="180"/>
    </xf>
    <xf numFmtId="166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65" fontId="0" fillId="0" borderId="0" xfId="0" applyNumberFormat="1"/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4" borderId="11" xfId="0" applyNumberFormat="1" applyFont="1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/>
    </xf>
    <xf numFmtId="166" fontId="2" fillId="4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6" fontId="0" fillId="9" borderId="5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/>
    </xf>
    <xf numFmtId="164" fontId="2" fillId="13" borderId="11" xfId="0" applyNumberFormat="1" applyFont="1" applyFill="1" applyBorder="1" applyAlignment="1">
      <alignment horizontal="center" vertical="center"/>
    </xf>
    <xf numFmtId="164" fontId="2" fillId="13" borderId="13" xfId="0" applyNumberFormat="1" applyFont="1" applyFill="1" applyBorder="1" applyAlignment="1">
      <alignment horizontal="center" vertical="center"/>
    </xf>
    <xf numFmtId="164" fontId="2" fillId="13" borderId="19" xfId="0" applyNumberFormat="1" applyFont="1" applyFill="1" applyBorder="1" applyAlignment="1">
      <alignment horizontal="center" vertical="center"/>
    </xf>
    <xf numFmtId="164" fontId="2" fillId="13" borderId="27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6" fontId="2" fillId="2" borderId="11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66" fontId="2" fillId="2" borderId="12" xfId="0" applyNumberFormat="1" applyFont="1" applyFill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27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170" fontId="2" fillId="0" borderId="11" xfId="2" applyNumberFormat="1" applyFont="1" applyFill="1" applyBorder="1" applyAlignment="1">
      <alignment horizontal="center" vertical="center"/>
    </xf>
    <xf numFmtId="170" fontId="2" fillId="0" borderId="13" xfId="2" applyNumberFormat="1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8" fontId="2" fillId="0" borderId="11" xfId="0" applyNumberFormat="1" applyFont="1" applyBorder="1" applyAlignment="1">
      <alignment horizontal="center" vertical="center"/>
    </xf>
    <xf numFmtId="168" fontId="2" fillId="0" borderId="13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2" fontId="2" fillId="13" borderId="12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textRotation="180"/>
    </xf>
    <xf numFmtId="0" fontId="19" fillId="0" borderId="13" xfId="0" applyFont="1" applyBorder="1" applyAlignment="1">
      <alignment horizontal="center" vertical="center" textRotation="180"/>
    </xf>
    <xf numFmtId="0" fontId="19" fillId="2" borderId="13" xfId="0" applyFont="1" applyFill="1" applyBorder="1" applyAlignment="1">
      <alignment horizontal="center" vertical="center" textRotation="180"/>
    </xf>
    <xf numFmtId="1" fontId="2" fillId="0" borderId="16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6" fontId="2" fillId="6" borderId="11" xfId="0" applyNumberFormat="1" applyFont="1" applyFill="1" applyBorder="1" applyAlignment="1">
      <alignment horizontal="center" vertical="center"/>
    </xf>
    <xf numFmtId="166" fontId="2" fillId="6" borderId="13" xfId="0" applyNumberFormat="1" applyFont="1" applyFill="1" applyBorder="1" applyAlignment="1">
      <alignment horizontal="center" vertical="center"/>
    </xf>
    <xf numFmtId="166" fontId="2" fillId="6" borderId="1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8" fontId="2" fillId="2" borderId="11" xfId="0" applyNumberFormat="1" applyFont="1" applyFill="1" applyBorder="1" applyAlignment="1">
      <alignment horizontal="center" vertical="center"/>
    </xf>
    <xf numFmtId="168" fontId="2" fillId="2" borderId="13" xfId="0" applyNumberFormat="1" applyFont="1" applyFill="1" applyBorder="1" applyAlignment="1">
      <alignment horizontal="center" vertical="center"/>
    </xf>
    <xf numFmtId="168" fontId="2" fillId="2" borderId="12" xfId="0" applyNumberFormat="1" applyFont="1" applyFill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72" fontId="2" fillId="0" borderId="5" xfId="0" applyNumberFormat="1" applyFont="1" applyBorder="1" applyAlignment="1">
      <alignment horizontal="center" vertical="center"/>
    </xf>
    <xf numFmtId="172" fontId="2" fillId="0" borderId="11" xfId="0" applyNumberFormat="1" applyFont="1" applyBorder="1" applyAlignment="1">
      <alignment horizontal="center" vertical="center"/>
    </xf>
    <xf numFmtId="172" fontId="2" fillId="0" borderId="13" xfId="0" applyNumberFormat="1" applyFont="1" applyBorder="1" applyAlignment="1">
      <alignment horizontal="center" vertical="center"/>
    </xf>
    <xf numFmtId="172" fontId="2" fillId="0" borderId="12" xfId="0" applyNumberFormat="1" applyFont="1" applyBorder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wrapText="1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9" fontId="2" fillId="4" borderId="11" xfId="0" applyNumberFormat="1" applyFont="1" applyFill="1" applyBorder="1" applyAlignment="1">
      <alignment horizontal="center" vertical="center"/>
    </xf>
    <xf numFmtId="9" fontId="2" fillId="4" borderId="13" xfId="0" applyNumberFormat="1" applyFont="1" applyFill="1" applyBorder="1" applyAlignment="1">
      <alignment horizontal="center" vertical="center"/>
    </xf>
    <xf numFmtId="9" fontId="2" fillId="4" borderId="12" xfId="0" applyNumberFormat="1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3" xfId="0" applyNumberFormat="1" applyBorder="1" applyAlignment="1">
      <alignment horizontal="center" vertical="center"/>
    </xf>
    <xf numFmtId="166" fontId="2" fillId="12" borderId="11" xfId="0" applyNumberFormat="1" applyFont="1" applyFill="1" applyBorder="1" applyAlignment="1">
      <alignment horizontal="center" vertical="center"/>
    </xf>
    <xf numFmtId="166" fontId="2" fillId="12" borderId="13" xfId="0" applyNumberFormat="1" applyFont="1" applyFill="1" applyBorder="1" applyAlignment="1">
      <alignment horizontal="center" vertical="center"/>
    </xf>
    <xf numFmtId="166" fontId="2" fillId="12" borderId="12" xfId="0" applyNumberFormat="1" applyFont="1" applyFill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8" fontId="2" fillId="12" borderId="11" xfId="0" applyNumberFormat="1" applyFont="1" applyFill="1" applyBorder="1" applyAlignment="1">
      <alignment horizontal="center" vertical="center"/>
    </xf>
    <xf numFmtId="168" fontId="2" fillId="12" borderId="13" xfId="0" applyNumberFormat="1" applyFont="1" applyFill="1" applyBorder="1" applyAlignment="1">
      <alignment horizontal="center" vertical="center"/>
    </xf>
    <xf numFmtId="168" fontId="2" fillId="12" borderId="12" xfId="0" applyNumberFormat="1" applyFont="1" applyFill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12" borderId="11" xfId="0" applyNumberFormat="1" applyFont="1" applyFill="1" applyBorder="1" applyAlignment="1">
      <alignment horizontal="center" vertical="center"/>
    </xf>
    <xf numFmtId="1" fontId="2" fillId="12" borderId="13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textRotation="180"/>
    </xf>
    <xf numFmtId="166" fontId="2" fillId="0" borderId="5" xfId="0" applyNumberFormat="1" applyFont="1" applyBorder="1" applyAlignment="1">
      <alignment horizontal="center" vertical="center"/>
    </xf>
    <xf numFmtId="166" fontId="2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textRotation="180"/>
    </xf>
    <xf numFmtId="0" fontId="19" fillId="0" borderId="8" xfId="0" applyFont="1" applyBorder="1" applyAlignment="1">
      <alignment horizontal="center" vertical="center" textRotation="180"/>
    </xf>
    <xf numFmtId="166" fontId="2" fillId="0" borderId="8" xfId="0" applyNumberFormat="1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FOC DF8 Lembar - P.Bai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FOC 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DF8'!$T$41:$T$62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52</c:v>
                </c:pt>
                <c:pt idx="5">
                  <c:v>103</c:v>
                </c:pt>
                <c:pt idx="6">
                  <c:v>183</c:v>
                </c:pt>
                <c:pt idx="7">
                  <c:v>248</c:v>
                </c:pt>
                <c:pt idx="8">
                  <c:v>348</c:v>
                </c:pt>
                <c:pt idx="9">
                  <c:v>410</c:v>
                </c:pt>
                <c:pt idx="10">
                  <c:v>472</c:v>
                </c:pt>
                <c:pt idx="11">
                  <c:v>534</c:v>
                </c:pt>
                <c:pt idx="12">
                  <c:v>594</c:v>
                </c:pt>
                <c:pt idx="13">
                  <c:v>644</c:v>
                </c:pt>
                <c:pt idx="14">
                  <c:v>704</c:v>
                </c:pt>
                <c:pt idx="15">
                  <c:v>752</c:v>
                </c:pt>
                <c:pt idx="16">
                  <c:v>802</c:v>
                </c:pt>
                <c:pt idx="17">
                  <c:v>902</c:v>
                </c:pt>
                <c:pt idx="18">
                  <c:v>962</c:v>
                </c:pt>
                <c:pt idx="19">
                  <c:v>1002</c:v>
                </c:pt>
                <c:pt idx="20">
                  <c:v>1002</c:v>
                </c:pt>
                <c:pt idx="21">
                  <c:v>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E-4667-A177-F68F6C926CF4}"/>
            </c:ext>
          </c:extLst>
        </c:ser>
        <c:ser>
          <c:idx val="1"/>
          <c:order val="1"/>
          <c:tx>
            <c:v>FOC AE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DF8'!$U$41:$U$62</c:f>
              <c:numCache>
                <c:formatCode>General</c:formatCode>
                <c:ptCount val="22"/>
                <c:pt idx="0">
                  <c:v>0</c:v>
                </c:pt>
                <c:pt idx="1">
                  <c:v>26</c:v>
                </c:pt>
                <c:pt idx="2">
                  <c:v>31</c:v>
                </c:pt>
                <c:pt idx="3">
                  <c:v>55</c:v>
                </c:pt>
                <c:pt idx="4">
                  <c:v>77</c:v>
                </c:pt>
                <c:pt idx="5">
                  <c:v>91</c:v>
                </c:pt>
                <c:pt idx="6">
                  <c:v>105</c:v>
                </c:pt>
                <c:pt idx="7">
                  <c:v>118</c:v>
                </c:pt>
                <c:pt idx="8">
                  <c:v>131</c:v>
                </c:pt>
                <c:pt idx="9">
                  <c:v>142</c:v>
                </c:pt>
                <c:pt idx="10">
                  <c:v>153</c:v>
                </c:pt>
                <c:pt idx="11">
                  <c:v>164</c:v>
                </c:pt>
                <c:pt idx="12">
                  <c:v>176</c:v>
                </c:pt>
                <c:pt idx="13">
                  <c:v>188</c:v>
                </c:pt>
                <c:pt idx="14">
                  <c:v>201</c:v>
                </c:pt>
                <c:pt idx="15">
                  <c:v>213</c:v>
                </c:pt>
                <c:pt idx="16">
                  <c:v>226</c:v>
                </c:pt>
                <c:pt idx="17">
                  <c:v>238</c:v>
                </c:pt>
                <c:pt idx="18">
                  <c:v>251</c:v>
                </c:pt>
                <c:pt idx="19">
                  <c:v>271</c:v>
                </c:pt>
                <c:pt idx="20">
                  <c:v>293</c:v>
                </c:pt>
                <c:pt idx="2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E-4667-A177-F68F6C926CF4}"/>
            </c:ext>
          </c:extLst>
        </c:ser>
        <c:ser>
          <c:idx val="2"/>
          <c:order val="2"/>
          <c:tx>
            <c:v>Kumulatif FOC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DF8'!$V$41:$V$62</c:f>
              <c:numCache>
                <c:formatCode>General</c:formatCode>
                <c:ptCount val="22"/>
                <c:pt idx="0">
                  <c:v>0</c:v>
                </c:pt>
                <c:pt idx="1">
                  <c:v>26</c:v>
                </c:pt>
                <c:pt idx="2">
                  <c:v>31</c:v>
                </c:pt>
                <c:pt idx="3">
                  <c:v>81</c:v>
                </c:pt>
                <c:pt idx="4">
                  <c:v>129</c:v>
                </c:pt>
                <c:pt idx="5">
                  <c:v>194</c:v>
                </c:pt>
                <c:pt idx="6">
                  <c:v>288</c:v>
                </c:pt>
                <c:pt idx="7">
                  <c:v>366</c:v>
                </c:pt>
                <c:pt idx="8">
                  <c:v>479</c:v>
                </c:pt>
                <c:pt idx="9">
                  <c:v>552</c:v>
                </c:pt>
                <c:pt idx="10">
                  <c:v>625</c:v>
                </c:pt>
                <c:pt idx="11">
                  <c:v>698</c:v>
                </c:pt>
                <c:pt idx="12">
                  <c:v>770</c:v>
                </c:pt>
                <c:pt idx="13">
                  <c:v>832</c:v>
                </c:pt>
                <c:pt idx="14">
                  <c:v>905</c:v>
                </c:pt>
                <c:pt idx="15">
                  <c:v>965</c:v>
                </c:pt>
                <c:pt idx="16">
                  <c:v>1028</c:v>
                </c:pt>
                <c:pt idx="17">
                  <c:v>1140</c:v>
                </c:pt>
                <c:pt idx="18">
                  <c:v>1213</c:v>
                </c:pt>
                <c:pt idx="19">
                  <c:v>1273</c:v>
                </c:pt>
                <c:pt idx="20">
                  <c:v>1295</c:v>
                </c:pt>
                <c:pt idx="21">
                  <c:v>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E-4667-A177-F68F6C92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755464"/>
        <c:axId val="680747920"/>
      </c:barChart>
      <c:catAx>
        <c:axId val="68075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0747920"/>
        <c:crosses val="autoZero"/>
        <c:auto val="1"/>
        <c:lblAlgn val="ctr"/>
        <c:lblOffset val="100"/>
        <c:noMultiLvlLbl val="0"/>
      </c:catAx>
      <c:valAx>
        <c:axId val="680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07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CII DF 8</a:t>
            </a:r>
            <a:r>
              <a:rPr lang="en-ID" baseline="0"/>
              <a:t> Lembar - P.Bai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ferry!$F$134:$F$234</c:f>
              <c:numCache>
                <c:formatCode>[$-F400]h:mm:ss\ AM/PM</c:formatCode>
                <c:ptCount val="101"/>
                <c:pt idx="0">
                  <c:v>9.0277777777777776E-2</c:v>
                </c:pt>
                <c:pt idx="1">
                  <c:v>9.2361111111111116E-2</c:v>
                </c:pt>
                <c:pt idx="2">
                  <c:v>9.4444444444444442E-2</c:v>
                </c:pt>
                <c:pt idx="3">
                  <c:v>9.6527777777777796E-2</c:v>
                </c:pt>
                <c:pt idx="4">
                  <c:v>9.8611111111111094E-2</c:v>
                </c:pt>
                <c:pt idx="5">
                  <c:v>0.100694444444444</c:v>
                </c:pt>
                <c:pt idx="6">
                  <c:v>0.102777777777778</c:v>
                </c:pt>
                <c:pt idx="7">
                  <c:v>0.104861111111111</c:v>
                </c:pt>
                <c:pt idx="8">
                  <c:v>0.106944444444444</c:v>
                </c:pt>
                <c:pt idx="9">
                  <c:v>0.109027777777778</c:v>
                </c:pt>
                <c:pt idx="10">
                  <c:v>0.11111111111111099</c:v>
                </c:pt>
                <c:pt idx="11">
                  <c:v>0.113194444444444</c:v>
                </c:pt>
                <c:pt idx="12">
                  <c:v>0.11527777777777801</c:v>
                </c:pt>
                <c:pt idx="13">
                  <c:v>0.117361111111111</c:v>
                </c:pt>
                <c:pt idx="14">
                  <c:v>0.11944444444444501</c:v>
                </c:pt>
                <c:pt idx="15">
                  <c:v>0.121527777777778</c:v>
                </c:pt>
                <c:pt idx="16">
                  <c:v>0.12361111111111101</c:v>
                </c:pt>
                <c:pt idx="17">
                  <c:v>0.125694444444445</c:v>
                </c:pt>
                <c:pt idx="18">
                  <c:v>0.12777777777777799</c:v>
                </c:pt>
                <c:pt idx="19">
                  <c:v>0.12986111111111101</c:v>
                </c:pt>
                <c:pt idx="20">
                  <c:v>0.131944444444445</c:v>
                </c:pt>
                <c:pt idx="21">
                  <c:v>0.134027777777778</c:v>
                </c:pt>
                <c:pt idx="22">
                  <c:v>0.13611111111111099</c:v>
                </c:pt>
                <c:pt idx="23">
                  <c:v>0.13819444444444501</c:v>
                </c:pt>
                <c:pt idx="24">
                  <c:v>0.140277777777778</c:v>
                </c:pt>
                <c:pt idx="25">
                  <c:v>0.14236111111111099</c:v>
                </c:pt>
                <c:pt idx="26">
                  <c:v>0.14444444444444501</c:v>
                </c:pt>
                <c:pt idx="27">
                  <c:v>0.14652777777777801</c:v>
                </c:pt>
                <c:pt idx="28">
                  <c:v>0.148611111111111</c:v>
                </c:pt>
                <c:pt idx="29">
                  <c:v>0.15069444444444499</c:v>
                </c:pt>
                <c:pt idx="30">
                  <c:v>0.15277777777777801</c:v>
                </c:pt>
                <c:pt idx="31">
                  <c:v>0.15486111111111101</c:v>
                </c:pt>
                <c:pt idx="32">
                  <c:v>0.156944444444445</c:v>
                </c:pt>
                <c:pt idx="33">
                  <c:v>0.15902777777777799</c:v>
                </c:pt>
                <c:pt idx="34">
                  <c:v>0.16111111111111101</c:v>
                </c:pt>
                <c:pt idx="35">
                  <c:v>0.163194444444445</c:v>
                </c:pt>
                <c:pt idx="36">
                  <c:v>0.165277777777778</c:v>
                </c:pt>
                <c:pt idx="37">
                  <c:v>0.16736111111111099</c:v>
                </c:pt>
                <c:pt idx="38">
                  <c:v>0.16944444444444501</c:v>
                </c:pt>
                <c:pt idx="39">
                  <c:v>0.171527777777778</c:v>
                </c:pt>
                <c:pt idx="40">
                  <c:v>0.17361111111111099</c:v>
                </c:pt>
                <c:pt idx="41">
                  <c:v>0.17569444444444501</c:v>
                </c:pt>
                <c:pt idx="42">
                  <c:v>0.17777777777777801</c:v>
                </c:pt>
                <c:pt idx="43">
                  <c:v>0.179861111111111</c:v>
                </c:pt>
                <c:pt idx="44">
                  <c:v>0.18194444444444499</c:v>
                </c:pt>
                <c:pt idx="45">
                  <c:v>0.18402777777777801</c:v>
                </c:pt>
                <c:pt idx="46">
                  <c:v>0.18611111111111101</c:v>
                </c:pt>
                <c:pt idx="47">
                  <c:v>0.188194444444445</c:v>
                </c:pt>
                <c:pt idx="48">
                  <c:v>0.19027777777777799</c:v>
                </c:pt>
                <c:pt idx="49">
                  <c:v>0.19236111111111201</c:v>
                </c:pt>
                <c:pt idx="50">
                  <c:v>0.194444444444445</c:v>
                </c:pt>
                <c:pt idx="51">
                  <c:v>0.196527777777778</c:v>
                </c:pt>
                <c:pt idx="52">
                  <c:v>0.19861111111111199</c:v>
                </c:pt>
                <c:pt idx="53">
                  <c:v>0.20069444444444501</c:v>
                </c:pt>
                <c:pt idx="54">
                  <c:v>0.202777777777778</c:v>
                </c:pt>
                <c:pt idx="55">
                  <c:v>0.20486111111111199</c:v>
                </c:pt>
                <c:pt idx="56">
                  <c:v>0.20694444444444501</c:v>
                </c:pt>
                <c:pt idx="57">
                  <c:v>0.20902777777777801</c:v>
                </c:pt>
                <c:pt idx="58">
                  <c:v>0.211111111111112</c:v>
                </c:pt>
                <c:pt idx="59">
                  <c:v>0.21319444444444499</c:v>
                </c:pt>
                <c:pt idx="60">
                  <c:v>0.21527777777777801</c:v>
                </c:pt>
                <c:pt idx="61">
                  <c:v>0.217361111111112</c:v>
                </c:pt>
                <c:pt idx="62">
                  <c:v>0.219444444444445</c:v>
                </c:pt>
                <c:pt idx="63">
                  <c:v>0.22152777777777799</c:v>
                </c:pt>
                <c:pt idx="64">
                  <c:v>0.22361111111111201</c:v>
                </c:pt>
                <c:pt idx="65">
                  <c:v>0.225694444444445</c:v>
                </c:pt>
                <c:pt idx="66">
                  <c:v>0.227777777777778</c:v>
                </c:pt>
                <c:pt idx="67">
                  <c:v>0.22986111111111199</c:v>
                </c:pt>
                <c:pt idx="68">
                  <c:v>0.23194444444444501</c:v>
                </c:pt>
                <c:pt idx="69">
                  <c:v>0.234027777777778</c:v>
                </c:pt>
                <c:pt idx="70">
                  <c:v>0.23611111111111199</c:v>
                </c:pt>
                <c:pt idx="71">
                  <c:v>0.23819444444444501</c:v>
                </c:pt>
                <c:pt idx="72">
                  <c:v>0.24027777777777801</c:v>
                </c:pt>
                <c:pt idx="73">
                  <c:v>0.242361111111112</c:v>
                </c:pt>
                <c:pt idx="74">
                  <c:v>0.24444444444444499</c:v>
                </c:pt>
                <c:pt idx="75">
                  <c:v>0.24652777777777801</c:v>
                </c:pt>
                <c:pt idx="76">
                  <c:v>0.248611111111112</c:v>
                </c:pt>
                <c:pt idx="77">
                  <c:v>0.250694444444445</c:v>
                </c:pt>
                <c:pt idx="78">
                  <c:v>0.25277777777777899</c:v>
                </c:pt>
                <c:pt idx="79">
                  <c:v>0.25486111111111198</c:v>
                </c:pt>
                <c:pt idx="80">
                  <c:v>0.25694444444444497</c:v>
                </c:pt>
                <c:pt idx="81">
                  <c:v>0.25902777777777902</c:v>
                </c:pt>
                <c:pt idx="82">
                  <c:v>0.26111111111111202</c:v>
                </c:pt>
                <c:pt idx="83">
                  <c:v>0.26319444444444501</c:v>
                </c:pt>
                <c:pt idx="84">
                  <c:v>0.265277777777779</c:v>
                </c:pt>
                <c:pt idx="85">
                  <c:v>0.26736111111111199</c:v>
                </c:pt>
                <c:pt idx="86">
                  <c:v>0.26944444444444499</c:v>
                </c:pt>
                <c:pt idx="87">
                  <c:v>0.27152777777777898</c:v>
                </c:pt>
                <c:pt idx="88">
                  <c:v>0.27361111111111203</c:v>
                </c:pt>
                <c:pt idx="89">
                  <c:v>0.27569444444444502</c:v>
                </c:pt>
                <c:pt idx="90">
                  <c:v>0.27777777777777901</c:v>
                </c:pt>
                <c:pt idx="91">
                  <c:v>0.279861111111112</c:v>
                </c:pt>
                <c:pt idx="92">
                  <c:v>0.281944444444445</c:v>
                </c:pt>
                <c:pt idx="93">
                  <c:v>0.28402777777777899</c:v>
                </c:pt>
                <c:pt idx="94">
                  <c:v>0.28611111111111198</c:v>
                </c:pt>
                <c:pt idx="95">
                  <c:v>0.28819444444444497</c:v>
                </c:pt>
                <c:pt idx="96">
                  <c:v>0.29027777777777902</c:v>
                </c:pt>
                <c:pt idx="97">
                  <c:v>0.29236111111111202</c:v>
                </c:pt>
                <c:pt idx="98">
                  <c:v>0.29444444444444501</c:v>
                </c:pt>
                <c:pt idx="99">
                  <c:v>0.296527777777779</c:v>
                </c:pt>
                <c:pt idx="100">
                  <c:v>0.29861111111111199</c:v>
                </c:pt>
              </c:numCache>
            </c:numRef>
          </c:cat>
          <c:val>
            <c:numRef>
              <c:f>ferry!$N$134:$N$234</c:f>
              <c:numCache>
                <c:formatCode>General</c:formatCode>
                <c:ptCount val="101"/>
                <c:pt idx="0">
                  <c:v>5.3489051094890508E-5</c:v>
                </c:pt>
                <c:pt idx="1">
                  <c:v>5.3489051094890508E-5</c:v>
                </c:pt>
                <c:pt idx="2" formatCode="0.00000000">
                  <c:v>161.13412870600843</c:v>
                </c:pt>
                <c:pt idx="3" formatCode="0.00000000">
                  <c:v>46.943662505317349</c:v>
                </c:pt>
                <c:pt idx="4" formatCode="0.00000000">
                  <c:v>70.513054782280179</c:v>
                </c:pt>
                <c:pt idx="5" formatCode="0.00000000">
                  <c:v>47.539390154518713</c:v>
                </c:pt>
                <c:pt idx="6" formatCode="0.00000000">
                  <c:v>33.365903650047073</c:v>
                </c:pt>
                <c:pt idx="7" formatCode="0.00000000">
                  <c:v>43.337355970763156</c:v>
                </c:pt>
                <c:pt idx="8" formatCode="0.00000000">
                  <c:v>35.015159747377524</c:v>
                </c:pt>
                <c:pt idx="9" formatCode="0.00000000">
                  <c:v>35.532009120928429</c:v>
                </c:pt>
                <c:pt idx="10" formatCode="0.00000000">
                  <c:v>37.671076426506737</c:v>
                </c:pt>
                <c:pt idx="11" formatCode="0.00000000">
                  <c:v>51.125344798454989</c:v>
                </c:pt>
                <c:pt idx="12" formatCode="0.00000000">
                  <c:v>36.016353564760308</c:v>
                </c:pt>
                <c:pt idx="13" formatCode="0.00000000">
                  <c:v>34.304221008550876</c:v>
                </c:pt>
                <c:pt idx="14" formatCode="0.00000000">
                  <c:v>53.751111219816927</c:v>
                </c:pt>
                <c:pt idx="15" formatCode="0.00000000">
                  <c:v>51.961086035516132</c:v>
                </c:pt>
                <c:pt idx="16" formatCode="0.00000000">
                  <c:v>30.594164120428111</c:v>
                </c:pt>
                <c:pt idx="17" formatCode="0.00000000">
                  <c:v>41.52068986172506</c:v>
                </c:pt>
                <c:pt idx="18" formatCode="0.00000000">
                  <c:v>33.294148231359536</c:v>
                </c:pt>
                <c:pt idx="19" formatCode="0.00000000">
                  <c:v>33.865748790086293</c:v>
                </c:pt>
                <c:pt idx="20" formatCode="0.00000000">
                  <c:v>35.535182949569055</c:v>
                </c:pt>
                <c:pt idx="21" formatCode="0.00000000">
                  <c:v>47.861403570988855</c:v>
                </c:pt>
                <c:pt idx="22" formatCode="0.00000000">
                  <c:v>33.996512784124292</c:v>
                </c:pt>
                <c:pt idx="23" formatCode="0.00000000">
                  <c:v>35.813887348907684</c:v>
                </c:pt>
                <c:pt idx="24" formatCode="0.00000000">
                  <c:v>50.722827878869978</c:v>
                </c:pt>
                <c:pt idx="25" formatCode="0.00000000">
                  <c:v>38.60396445502878</c:v>
                </c:pt>
                <c:pt idx="26" formatCode="0.00000000">
                  <c:v>26.204245565779424</c:v>
                </c:pt>
                <c:pt idx="27" formatCode="0.00000000">
                  <c:v>27.227786955939063</c:v>
                </c:pt>
                <c:pt idx="28" formatCode="0.00000000">
                  <c:v>36.737961889143875</c:v>
                </c:pt>
                <c:pt idx="29" formatCode="0.00000000">
                  <c:v>31.107046442517657</c:v>
                </c:pt>
                <c:pt idx="30" formatCode="0.00000000">
                  <c:v>29.314232547202455</c:v>
                </c:pt>
                <c:pt idx="31" formatCode="0.00000000">
                  <c:v>29.665216228002517</c:v>
                </c:pt>
                <c:pt idx="32" formatCode="0.00000000">
                  <c:v>37.933435359809955</c:v>
                </c:pt>
                <c:pt idx="33" formatCode="0.00000000">
                  <c:v>30.512969367116547</c:v>
                </c:pt>
                <c:pt idx="34" formatCode="0.00000000">
                  <c:v>30.785395623853073</c:v>
                </c:pt>
                <c:pt idx="35" formatCode="0.00000000">
                  <c:v>29.564489570095095</c:v>
                </c:pt>
                <c:pt idx="36" formatCode="0.00000000">
                  <c:v>66.922263129178532</c:v>
                </c:pt>
                <c:pt idx="37" formatCode="0.00000000">
                  <c:v>47.35040205617053</c:v>
                </c:pt>
                <c:pt idx="38" formatCode="0.00000000">
                  <c:v>32.492464059124643</c:v>
                </c:pt>
                <c:pt idx="39" formatCode="0.00000000">
                  <c:v>45.235339799751507</c:v>
                </c:pt>
                <c:pt idx="40" formatCode="0.00000000">
                  <c:v>33.917445465516664</c:v>
                </c:pt>
                <c:pt idx="41" formatCode="0.00000000">
                  <c:v>31.561950530006929</c:v>
                </c:pt>
                <c:pt idx="42" formatCode="0.00000000">
                  <c:v>32.914679467416434</c:v>
                </c:pt>
                <c:pt idx="43" formatCode="0.00000000">
                  <c:v>40.885389600305054</c:v>
                </c:pt>
                <c:pt idx="44" formatCode="0.00000000">
                  <c:v>34.453892857983512</c:v>
                </c:pt>
                <c:pt idx="45" formatCode="0.00000000">
                  <c:v>29.466765124450944</c:v>
                </c:pt>
                <c:pt idx="46" formatCode="0.00000000">
                  <c:v>58.878363111484347</c:v>
                </c:pt>
                <c:pt idx="47" formatCode="0.00000000">
                  <c:v>31.574229027449675</c:v>
                </c:pt>
                <c:pt idx="48" formatCode="0.00000000">
                  <c:v>35.087403260433767</c:v>
                </c:pt>
                <c:pt idx="49" formatCode="0.00000000">
                  <c:v>38.067481412341813</c:v>
                </c:pt>
                <c:pt idx="50" formatCode="0.00000000">
                  <c:v>34.993886019324975</c:v>
                </c:pt>
                <c:pt idx="51" formatCode="0.00000000">
                  <c:v>27.483124198921566</c:v>
                </c:pt>
                <c:pt idx="52" formatCode="0.00000000">
                  <c:v>28.419161790910771</c:v>
                </c:pt>
                <c:pt idx="53" formatCode="0.00000000">
                  <c:v>33.461658239554701</c:v>
                </c:pt>
                <c:pt idx="54" formatCode="0.00000000">
                  <c:v>28.214984704904708</c:v>
                </c:pt>
                <c:pt idx="55" formatCode="0.00000000">
                  <c:v>38.786629109432113</c:v>
                </c:pt>
                <c:pt idx="56" formatCode="0.00000000">
                  <c:v>35.64047859453332</c:v>
                </c:pt>
                <c:pt idx="57" formatCode="0.00000000">
                  <c:v>26.849953850247118</c:v>
                </c:pt>
                <c:pt idx="58" formatCode="0.00000000">
                  <c:v>25.353687433252464</c:v>
                </c:pt>
                <c:pt idx="59" formatCode="0.00000000">
                  <c:v>30.037618555402318</c:v>
                </c:pt>
                <c:pt idx="60" formatCode="0.00000000">
                  <c:v>32.74678329087228</c:v>
                </c:pt>
                <c:pt idx="61" formatCode="0.00000000">
                  <c:v>26.798590344326058</c:v>
                </c:pt>
                <c:pt idx="62" formatCode="0.00000000">
                  <c:v>28.95723598627119</c:v>
                </c:pt>
                <c:pt idx="63" formatCode="0.00000000">
                  <c:v>31.060037549823043</c:v>
                </c:pt>
                <c:pt idx="64" formatCode="0.00000000">
                  <c:v>34.697938107677842</c:v>
                </c:pt>
                <c:pt idx="65" formatCode="0.00000000">
                  <c:v>30.346528254149298</c:v>
                </c:pt>
                <c:pt idx="66" formatCode="0.00000000">
                  <c:v>31.53957004288451</c:v>
                </c:pt>
                <c:pt idx="67" formatCode="0.00000000">
                  <c:v>58.39241064076991</c:v>
                </c:pt>
                <c:pt idx="68" formatCode="0.00000000">
                  <c:v>38.03622520381937</c:v>
                </c:pt>
                <c:pt idx="69" formatCode="0.00000000">
                  <c:v>28.089104175008341</c:v>
                </c:pt>
                <c:pt idx="70" formatCode="0.00000000">
                  <c:v>28.739294455399733</c:v>
                </c:pt>
                <c:pt idx="71" formatCode="0.00000000">
                  <c:v>32.109371656480128</c:v>
                </c:pt>
                <c:pt idx="72" formatCode="0.00000000">
                  <c:v>33.034663702614019</c:v>
                </c:pt>
                <c:pt idx="73" formatCode="0.00000000">
                  <c:v>29.20641134621188</c:v>
                </c:pt>
                <c:pt idx="74" formatCode="0.00000000">
                  <c:v>35.198355323459182</c:v>
                </c:pt>
                <c:pt idx="75" formatCode="0.00000000">
                  <c:v>29.85217691770179</c:v>
                </c:pt>
                <c:pt idx="76" formatCode="0.00000000">
                  <c:v>25.770042186287473</c:v>
                </c:pt>
                <c:pt idx="77" formatCode="0.00000000">
                  <c:v>30.49542142245539</c:v>
                </c:pt>
                <c:pt idx="78" formatCode="0.00000000">
                  <c:v>59.636520600894499</c:v>
                </c:pt>
                <c:pt idx="79" formatCode="0.00000000">
                  <c:v>30.515872997563545</c:v>
                </c:pt>
                <c:pt idx="80" formatCode="0.00000000">
                  <c:v>29.131369461506935</c:v>
                </c:pt>
                <c:pt idx="81" formatCode="0.00000000">
                  <c:v>33.501074234825346</c:v>
                </c:pt>
                <c:pt idx="82" formatCode="0.00000000">
                  <c:v>37.214533869744827</c:v>
                </c:pt>
                <c:pt idx="83" formatCode="0.00000000">
                  <c:v>37.412530243649584</c:v>
                </c:pt>
                <c:pt idx="84" formatCode="0.00000000">
                  <c:v>34.761722677554246</c:v>
                </c:pt>
                <c:pt idx="85" formatCode="0.00000000">
                  <c:v>49.989627437657248</c:v>
                </c:pt>
                <c:pt idx="86" formatCode="0.00000000">
                  <c:v>33.944127818619592</c:v>
                </c:pt>
                <c:pt idx="87" formatCode="0.00000000">
                  <c:v>33.27039494980751</c:v>
                </c:pt>
                <c:pt idx="88" formatCode="0.00000000">
                  <c:v>34.504315476193</c:v>
                </c:pt>
                <c:pt idx="89" formatCode="0.00000000">
                  <c:v>32.171510858992121</c:v>
                </c:pt>
                <c:pt idx="90" formatCode="0.00000000">
                  <c:v>62.828942745607577</c:v>
                </c:pt>
                <c:pt idx="91" formatCode="0.00000000">
                  <c:v>57.080094719382721</c:v>
                </c:pt>
                <c:pt idx="92" formatCode="0.00000000">
                  <c:v>39.73819775103</c:v>
                </c:pt>
                <c:pt idx="93" formatCode="0.00000000">
                  <c:v>40.841252014210575</c:v>
                </c:pt>
                <c:pt idx="94" formatCode="0.00000000">
                  <c:v>38.131516034434362</c:v>
                </c:pt>
                <c:pt idx="95" formatCode="0.00000000">
                  <c:v>40.233244307213901</c:v>
                </c:pt>
                <c:pt idx="96" formatCode="0.00000000">
                  <c:v>56.028045020570389</c:v>
                </c:pt>
                <c:pt idx="97" formatCode="0.00000000">
                  <c:v>63.96019166160719</c:v>
                </c:pt>
                <c:pt idx="98" formatCode="0.00000000">
                  <c:v>64.458708734553852</c:v>
                </c:pt>
                <c:pt idx="99" formatCode="0.00000000">
                  <c:v>55.407169215717097</c:v>
                </c:pt>
                <c:pt idx="100" formatCode="0.00000000">
                  <c:v>68.104743167349028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8-4B4A-9F9A-3B5FC14121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ferry!$F$134:$F$234</c:f>
              <c:numCache>
                <c:formatCode>[$-F400]h:mm:ss\ AM/PM</c:formatCode>
                <c:ptCount val="101"/>
                <c:pt idx="0">
                  <c:v>9.0277777777777776E-2</c:v>
                </c:pt>
                <c:pt idx="1">
                  <c:v>9.2361111111111116E-2</c:v>
                </c:pt>
                <c:pt idx="2">
                  <c:v>9.4444444444444442E-2</c:v>
                </c:pt>
                <c:pt idx="3">
                  <c:v>9.6527777777777796E-2</c:v>
                </c:pt>
                <c:pt idx="4">
                  <c:v>9.8611111111111094E-2</c:v>
                </c:pt>
                <c:pt idx="5">
                  <c:v>0.100694444444444</c:v>
                </c:pt>
                <c:pt idx="6">
                  <c:v>0.102777777777778</c:v>
                </c:pt>
                <c:pt idx="7">
                  <c:v>0.104861111111111</c:v>
                </c:pt>
                <c:pt idx="8">
                  <c:v>0.106944444444444</c:v>
                </c:pt>
                <c:pt idx="9">
                  <c:v>0.109027777777778</c:v>
                </c:pt>
                <c:pt idx="10">
                  <c:v>0.11111111111111099</c:v>
                </c:pt>
                <c:pt idx="11">
                  <c:v>0.113194444444444</c:v>
                </c:pt>
                <c:pt idx="12">
                  <c:v>0.11527777777777801</c:v>
                </c:pt>
                <c:pt idx="13">
                  <c:v>0.117361111111111</c:v>
                </c:pt>
                <c:pt idx="14">
                  <c:v>0.11944444444444501</c:v>
                </c:pt>
                <c:pt idx="15">
                  <c:v>0.121527777777778</c:v>
                </c:pt>
                <c:pt idx="16">
                  <c:v>0.12361111111111101</c:v>
                </c:pt>
                <c:pt idx="17">
                  <c:v>0.125694444444445</c:v>
                </c:pt>
                <c:pt idx="18">
                  <c:v>0.12777777777777799</c:v>
                </c:pt>
                <c:pt idx="19">
                  <c:v>0.12986111111111101</c:v>
                </c:pt>
                <c:pt idx="20">
                  <c:v>0.131944444444445</c:v>
                </c:pt>
                <c:pt idx="21">
                  <c:v>0.134027777777778</c:v>
                </c:pt>
                <c:pt idx="22">
                  <c:v>0.13611111111111099</c:v>
                </c:pt>
                <c:pt idx="23">
                  <c:v>0.13819444444444501</c:v>
                </c:pt>
                <c:pt idx="24">
                  <c:v>0.140277777777778</c:v>
                </c:pt>
                <c:pt idx="25">
                  <c:v>0.14236111111111099</c:v>
                </c:pt>
                <c:pt idx="26">
                  <c:v>0.14444444444444501</c:v>
                </c:pt>
                <c:pt idx="27">
                  <c:v>0.14652777777777801</c:v>
                </c:pt>
                <c:pt idx="28">
                  <c:v>0.148611111111111</c:v>
                </c:pt>
                <c:pt idx="29">
                  <c:v>0.15069444444444499</c:v>
                </c:pt>
                <c:pt idx="30">
                  <c:v>0.15277777777777801</c:v>
                </c:pt>
                <c:pt idx="31">
                  <c:v>0.15486111111111101</c:v>
                </c:pt>
                <c:pt idx="32">
                  <c:v>0.156944444444445</c:v>
                </c:pt>
                <c:pt idx="33">
                  <c:v>0.15902777777777799</c:v>
                </c:pt>
                <c:pt idx="34">
                  <c:v>0.16111111111111101</c:v>
                </c:pt>
                <c:pt idx="35">
                  <c:v>0.163194444444445</c:v>
                </c:pt>
                <c:pt idx="36">
                  <c:v>0.165277777777778</c:v>
                </c:pt>
                <c:pt idx="37">
                  <c:v>0.16736111111111099</c:v>
                </c:pt>
                <c:pt idx="38">
                  <c:v>0.16944444444444501</c:v>
                </c:pt>
                <c:pt idx="39">
                  <c:v>0.171527777777778</c:v>
                </c:pt>
                <c:pt idx="40">
                  <c:v>0.17361111111111099</c:v>
                </c:pt>
                <c:pt idx="41">
                  <c:v>0.17569444444444501</c:v>
                </c:pt>
                <c:pt idx="42">
                  <c:v>0.17777777777777801</c:v>
                </c:pt>
                <c:pt idx="43">
                  <c:v>0.179861111111111</c:v>
                </c:pt>
                <c:pt idx="44">
                  <c:v>0.18194444444444499</c:v>
                </c:pt>
                <c:pt idx="45">
                  <c:v>0.18402777777777801</c:v>
                </c:pt>
                <c:pt idx="46">
                  <c:v>0.18611111111111101</c:v>
                </c:pt>
                <c:pt idx="47">
                  <c:v>0.188194444444445</c:v>
                </c:pt>
                <c:pt idx="48">
                  <c:v>0.19027777777777799</c:v>
                </c:pt>
                <c:pt idx="49">
                  <c:v>0.19236111111111201</c:v>
                </c:pt>
                <c:pt idx="50">
                  <c:v>0.194444444444445</c:v>
                </c:pt>
                <c:pt idx="51">
                  <c:v>0.196527777777778</c:v>
                </c:pt>
                <c:pt idx="52">
                  <c:v>0.19861111111111199</c:v>
                </c:pt>
                <c:pt idx="53">
                  <c:v>0.20069444444444501</c:v>
                </c:pt>
                <c:pt idx="54">
                  <c:v>0.202777777777778</c:v>
                </c:pt>
                <c:pt idx="55">
                  <c:v>0.20486111111111199</c:v>
                </c:pt>
                <c:pt idx="56">
                  <c:v>0.20694444444444501</c:v>
                </c:pt>
                <c:pt idx="57">
                  <c:v>0.20902777777777801</c:v>
                </c:pt>
                <c:pt idx="58">
                  <c:v>0.211111111111112</c:v>
                </c:pt>
                <c:pt idx="59">
                  <c:v>0.21319444444444499</c:v>
                </c:pt>
                <c:pt idx="60">
                  <c:v>0.21527777777777801</c:v>
                </c:pt>
                <c:pt idx="61">
                  <c:v>0.217361111111112</c:v>
                </c:pt>
                <c:pt idx="62">
                  <c:v>0.219444444444445</c:v>
                </c:pt>
                <c:pt idx="63">
                  <c:v>0.22152777777777799</c:v>
                </c:pt>
                <c:pt idx="64">
                  <c:v>0.22361111111111201</c:v>
                </c:pt>
                <c:pt idx="65">
                  <c:v>0.225694444444445</c:v>
                </c:pt>
                <c:pt idx="66">
                  <c:v>0.227777777777778</c:v>
                </c:pt>
                <c:pt idx="67">
                  <c:v>0.22986111111111199</c:v>
                </c:pt>
                <c:pt idx="68">
                  <c:v>0.23194444444444501</c:v>
                </c:pt>
                <c:pt idx="69">
                  <c:v>0.234027777777778</c:v>
                </c:pt>
                <c:pt idx="70">
                  <c:v>0.23611111111111199</c:v>
                </c:pt>
                <c:pt idx="71">
                  <c:v>0.23819444444444501</c:v>
                </c:pt>
                <c:pt idx="72">
                  <c:v>0.24027777777777801</c:v>
                </c:pt>
                <c:pt idx="73">
                  <c:v>0.242361111111112</c:v>
                </c:pt>
                <c:pt idx="74">
                  <c:v>0.24444444444444499</c:v>
                </c:pt>
                <c:pt idx="75">
                  <c:v>0.24652777777777801</c:v>
                </c:pt>
                <c:pt idx="76">
                  <c:v>0.248611111111112</c:v>
                </c:pt>
                <c:pt idx="77">
                  <c:v>0.250694444444445</c:v>
                </c:pt>
                <c:pt idx="78">
                  <c:v>0.25277777777777899</c:v>
                </c:pt>
                <c:pt idx="79">
                  <c:v>0.25486111111111198</c:v>
                </c:pt>
                <c:pt idx="80">
                  <c:v>0.25694444444444497</c:v>
                </c:pt>
                <c:pt idx="81">
                  <c:v>0.25902777777777902</c:v>
                </c:pt>
                <c:pt idx="82">
                  <c:v>0.26111111111111202</c:v>
                </c:pt>
                <c:pt idx="83">
                  <c:v>0.26319444444444501</c:v>
                </c:pt>
                <c:pt idx="84">
                  <c:v>0.265277777777779</c:v>
                </c:pt>
                <c:pt idx="85">
                  <c:v>0.26736111111111199</c:v>
                </c:pt>
                <c:pt idx="86">
                  <c:v>0.26944444444444499</c:v>
                </c:pt>
                <c:pt idx="87">
                  <c:v>0.27152777777777898</c:v>
                </c:pt>
                <c:pt idx="88">
                  <c:v>0.27361111111111203</c:v>
                </c:pt>
                <c:pt idx="89">
                  <c:v>0.27569444444444502</c:v>
                </c:pt>
                <c:pt idx="90">
                  <c:v>0.27777777777777901</c:v>
                </c:pt>
                <c:pt idx="91">
                  <c:v>0.279861111111112</c:v>
                </c:pt>
                <c:pt idx="92">
                  <c:v>0.281944444444445</c:v>
                </c:pt>
                <c:pt idx="93">
                  <c:v>0.28402777777777899</c:v>
                </c:pt>
                <c:pt idx="94">
                  <c:v>0.28611111111111198</c:v>
                </c:pt>
                <c:pt idx="95">
                  <c:v>0.28819444444444497</c:v>
                </c:pt>
                <c:pt idx="96">
                  <c:v>0.29027777777777902</c:v>
                </c:pt>
                <c:pt idx="97">
                  <c:v>0.29236111111111202</c:v>
                </c:pt>
                <c:pt idx="98">
                  <c:v>0.29444444444444501</c:v>
                </c:pt>
                <c:pt idx="99">
                  <c:v>0.296527777777779</c:v>
                </c:pt>
                <c:pt idx="100">
                  <c:v>0.29861111111111199</c:v>
                </c:pt>
              </c:numCache>
            </c:numRef>
          </c:cat>
          <c:val>
            <c:numRef>
              <c:f>ferry!$Q$134:$Q$234</c:f>
              <c:numCache>
                <c:formatCode>0.000</c:formatCode>
                <c:ptCount val="101"/>
                <c:pt idx="0">
                  <c:v>51.866094417517445</c:v>
                </c:pt>
                <c:pt idx="1">
                  <c:v>51.866094417517445</c:v>
                </c:pt>
                <c:pt idx="2">
                  <c:v>51.866094417517445</c:v>
                </c:pt>
                <c:pt idx="3">
                  <c:v>51.866094417517445</c:v>
                </c:pt>
                <c:pt idx="4">
                  <c:v>51.866094417517445</c:v>
                </c:pt>
                <c:pt idx="5">
                  <c:v>51.866094417517445</c:v>
                </c:pt>
                <c:pt idx="6">
                  <c:v>51.866094417517445</c:v>
                </c:pt>
                <c:pt idx="7">
                  <c:v>51.866094417517445</c:v>
                </c:pt>
                <c:pt idx="8">
                  <c:v>51.866094417517445</c:v>
                </c:pt>
                <c:pt idx="9">
                  <c:v>51.866094417517445</c:v>
                </c:pt>
                <c:pt idx="10">
                  <c:v>51.866094417517445</c:v>
                </c:pt>
                <c:pt idx="11">
                  <c:v>51.866094417517445</c:v>
                </c:pt>
                <c:pt idx="12">
                  <c:v>51.866094417517445</c:v>
                </c:pt>
                <c:pt idx="13">
                  <c:v>51.866094417517445</c:v>
                </c:pt>
                <c:pt idx="14">
                  <c:v>51.866094417517445</c:v>
                </c:pt>
                <c:pt idx="15">
                  <c:v>51.866094417517445</c:v>
                </c:pt>
                <c:pt idx="16">
                  <c:v>51.866094417517445</c:v>
                </c:pt>
                <c:pt idx="17">
                  <c:v>51.866094417517445</c:v>
                </c:pt>
                <c:pt idx="18">
                  <c:v>51.866094417517445</c:v>
                </c:pt>
                <c:pt idx="19">
                  <c:v>51.866094417517445</c:v>
                </c:pt>
                <c:pt idx="20">
                  <c:v>51.866094417517445</c:v>
                </c:pt>
                <c:pt idx="21">
                  <c:v>51.866094417517445</c:v>
                </c:pt>
                <c:pt idx="22">
                  <c:v>51.866094417517445</c:v>
                </c:pt>
                <c:pt idx="23">
                  <c:v>51.866094417517445</c:v>
                </c:pt>
                <c:pt idx="24">
                  <c:v>51.866094417517445</c:v>
                </c:pt>
                <c:pt idx="25">
                  <c:v>51.866094417517445</c:v>
                </c:pt>
                <c:pt idx="26">
                  <c:v>51.866094417517445</c:v>
                </c:pt>
                <c:pt idx="27">
                  <c:v>51.866094417517445</c:v>
                </c:pt>
                <c:pt idx="28">
                  <c:v>51.866094417517445</c:v>
                </c:pt>
                <c:pt idx="29">
                  <c:v>51.866094417517445</c:v>
                </c:pt>
                <c:pt idx="30">
                  <c:v>51.866094417517445</c:v>
                </c:pt>
                <c:pt idx="31">
                  <c:v>51.866094417517445</c:v>
                </c:pt>
                <c:pt idx="32">
                  <c:v>51.866094417517445</c:v>
                </c:pt>
                <c:pt idx="33">
                  <c:v>51.866094417517445</c:v>
                </c:pt>
                <c:pt idx="34">
                  <c:v>51.866094417517445</c:v>
                </c:pt>
                <c:pt idx="35">
                  <c:v>51.866094417517445</c:v>
                </c:pt>
                <c:pt idx="36">
                  <c:v>51.866094417517445</c:v>
                </c:pt>
                <c:pt idx="37">
                  <c:v>51.866094417517445</c:v>
                </c:pt>
                <c:pt idx="38">
                  <c:v>51.866094417517445</c:v>
                </c:pt>
                <c:pt idx="39">
                  <c:v>51.866094417517445</c:v>
                </c:pt>
                <c:pt idx="40">
                  <c:v>51.866094417517445</c:v>
                </c:pt>
                <c:pt idx="41">
                  <c:v>51.866094417517445</c:v>
                </c:pt>
                <c:pt idx="42">
                  <c:v>51.866094417517445</c:v>
                </c:pt>
                <c:pt idx="43">
                  <c:v>51.866094417517445</c:v>
                </c:pt>
                <c:pt idx="44">
                  <c:v>51.866094417517445</c:v>
                </c:pt>
                <c:pt idx="45">
                  <c:v>51.866094417517445</c:v>
                </c:pt>
                <c:pt idx="46">
                  <c:v>51.866094417517445</c:v>
                </c:pt>
                <c:pt idx="47">
                  <c:v>51.866094417517445</c:v>
                </c:pt>
                <c:pt idx="48">
                  <c:v>51.866094417517445</c:v>
                </c:pt>
                <c:pt idx="49">
                  <c:v>51.866094417517445</c:v>
                </c:pt>
                <c:pt idx="50">
                  <c:v>51.866094417517445</c:v>
                </c:pt>
                <c:pt idx="51">
                  <c:v>51.866094417517445</c:v>
                </c:pt>
                <c:pt idx="52">
                  <c:v>51.866094417517445</c:v>
                </c:pt>
                <c:pt idx="53">
                  <c:v>51.866094417517445</c:v>
                </c:pt>
                <c:pt idx="54">
                  <c:v>51.866094417517445</c:v>
                </c:pt>
                <c:pt idx="55">
                  <c:v>51.866094417517445</c:v>
                </c:pt>
                <c:pt idx="56">
                  <c:v>51.866094417517445</c:v>
                </c:pt>
                <c:pt idx="57">
                  <c:v>51.866094417517445</c:v>
                </c:pt>
                <c:pt idx="58">
                  <c:v>51.866094417517445</c:v>
                </c:pt>
                <c:pt idx="59">
                  <c:v>51.866094417517445</c:v>
                </c:pt>
                <c:pt idx="60">
                  <c:v>51.866094417517445</c:v>
                </c:pt>
                <c:pt idx="61">
                  <c:v>51.866094417517445</c:v>
                </c:pt>
                <c:pt idx="62">
                  <c:v>51.866094417517445</c:v>
                </c:pt>
                <c:pt idx="63">
                  <c:v>51.866094417517445</c:v>
                </c:pt>
                <c:pt idx="64">
                  <c:v>51.866094417517445</c:v>
                </c:pt>
                <c:pt idx="65">
                  <c:v>51.866094417517445</c:v>
                </c:pt>
                <c:pt idx="66">
                  <c:v>51.866094417517445</c:v>
                </c:pt>
                <c:pt idx="67">
                  <c:v>51.866094417517445</c:v>
                </c:pt>
                <c:pt idx="68">
                  <c:v>51.866094417517445</c:v>
                </c:pt>
                <c:pt idx="69">
                  <c:v>51.866094417517445</c:v>
                </c:pt>
                <c:pt idx="70">
                  <c:v>51.866094417517445</c:v>
                </c:pt>
                <c:pt idx="71">
                  <c:v>51.866094417517445</c:v>
                </c:pt>
                <c:pt idx="72">
                  <c:v>51.866094417517445</c:v>
                </c:pt>
                <c:pt idx="73">
                  <c:v>51.866094417517445</c:v>
                </c:pt>
                <c:pt idx="74">
                  <c:v>51.866094417517445</c:v>
                </c:pt>
                <c:pt idx="75">
                  <c:v>51.866094417517445</c:v>
                </c:pt>
                <c:pt idx="76">
                  <c:v>51.866094417517445</c:v>
                </c:pt>
                <c:pt idx="77">
                  <c:v>51.866094417517445</c:v>
                </c:pt>
                <c:pt idx="78">
                  <c:v>51.866094417517445</c:v>
                </c:pt>
                <c:pt idx="79">
                  <c:v>51.866094417517445</c:v>
                </c:pt>
                <c:pt idx="80">
                  <c:v>51.866094417517445</c:v>
                </c:pt>
                <c:pt idx="81">
                  <c:v>51.866094417517445</c:v>
                </c:pt>
                <c:pt idx="82">
                  <c:v>51.866094417517445</c:v>
                </c:pt>
                <c:pt idx="83">
                  <c:v>51.866094417517445</c:v>
                </c:pt>
                <c:pt idx="84">
                  <c:v>51.866094417517445</c:v>
                </c:pt>
                <c:pt idx="85">
                  <c:v>51.866094417517445</c:v>
                </c:pt>
                <c:pt idx="86">
                  <c:v>51.866094417517445</c:v>
                </c:pt>
                <c:pt idx="87">
                  <c:v>51.866094417517445</c:v>
                </c:pt>
                <c:pt idx="88">
                  <c:v>51.866094417517445</c:v>
                </c:pt>
                <c:pt idx="89">
                  <c:v>51.866094417517445</c:v>
                </c:pt>
                <c:pt idx="90">
                  <c:v>51.866094417517445</c:v>
                </c:pt>
                <c:pt idx="91">
                  <c:v>51.866094417517445</c:v>
                </c:pt>
                <c:pt idx="92">
                  <c:v>51.866094417517445</c:v>
                </c:pt>
                <c:pt idx="93">
                  <c:v>51.866094417517445</c:v>
                </c:pt>
                <c:pt idx="94">
                  <c:v>51.866094417517445</c:v>
                </c:pt>
                <c:pt idx="95">
                  <c:v>51.866094417517445</c:v>
                </c:pt>
                <c:pt idx="96">
                  <c:v>51.866094417517445</c:v>
                </c:pt>
                <c:pt idx="97">
                  <c:v>51.866094417517445</c:v>
                </c:pt>
                <c:pt idx="98">
                  <c:v>51.866094417517445</c:v>
                </c:pt>
                <c:pt idx="99">
                  <c:v>51.866094417517445</c:v>
                </c:pt>
                <c:pt idx="100">
                  <c:v>51.866094417517445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8-4B4A-9F9A-3B5FC14121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ferry!$F$134:$F$234</c:f>
              <c:numCache>
                <c:formatCode>[$-F400]h:mm:ss\ AM/PM</c:formatCode>
                <c:ptCount val="101"/>
                <c:pt idx="0">
                  <c:v>9.0277777777777776E-2</c:v>
                </c:pt>
                <c:pt idx="1">
                  <c:v>9.2361111111111116E-2</c:v>
                </c:pt>
                <c:pt idx="2">
                  <c:v>9.4444444444444442E-2</c:v>
                </c:pt>
                <c:pt idx="3">
                  <c:v>9.6527777777777796E-2</c:v>
                </c:pt>
                <c:pt idx="4">
                  <c:v>9.8611111111111094E-2</c:v>
                </c:pt>
                <c:pt idx="5">
                  <c:v>0.100694444444444</c:v>
                </c:pt>
                <c:pt idx="6">
                  <c:v>0.102777777777778</c:v>
                </c:pt>
                <c:pt idx="7">
                  <c:v>0.104861111111111</c:v>
                </c:pt>
                <c:pt idx="8">
                  <c:v>0.106944444444444</c:v>
                </c:pt>
                <c:pt idx="9">
                  <c:v>0.109027777777778</c:v>
                </c:pt>
                <c:pt idx="10">
                  <c:v>0.11111111111111099</c:v>
                </c:pt>
                <c:pt idx="11">
                  <c:v>0.113194444444444</c:v>
                </c:pt>
                <c:pt idx="12">
                  <c:v>0.11527777777777801</c:v>
                </c:pt>
                <c:pt idx="13">
                  <c:v>0.117361111111111</c:v>
                </c:pt>
                <c:pt idx="14">
                  <c:v>0.11944444444444501</c:v>
                </c:pt>
                <c:pt idx="15">
                  <c:v>0.121527777777778</c:v>
                </c:pt>
                <c:pt idx="16">
                  <c:v>0.12361111111111101</c:v>
                </c:pt>
                <c:pt idx="17">
                  <c:v>0.125694444444445</c:v>
                </c:pt>
                <c:pt idx="18">
                  <c:v>0.12777777777777799</c:v>
                </c:pt>
                <c:pt idx="19">
                  <c:v>0.12986111111111101</c:v>
                </c:pt>
                <c:pt idx="20">
                  <c:v>0.131944444444445</c:v>
                </c:pt>
                <c:pt idx="21">
                  <c:v>0.134027777777778</c:v>
                </c:pt>
                <c:pt idx="22">
                  <c:v>0.13611111111111099</c:v>
                </c:pt>
                <c:pt idx="23">
                  <c:v>0.13819444444444501</c:v>
                </c:pt>
                <c:pt idx="24">
                  <c:v>0.140277777777778</c:v>
                </c:pt>
                <c:pt idx="25">
                  <c:v>0.14236111111111099</c:v>
                </c:pt>
                <c:pt idx="26">
                  <c:v>0.14444444444444501</c:v>
                </c:pt>
                <c:pt idx="27">
                  <c:v>0.14652777777777801</c:v>
                </c:pt>
                <c:pt idx="28">
                  <c:v>0.148611111111111</c:v>
                </c:pt>
                <c:pt idx="29">
                  <c:v>0.15069444444444499</c:v>
                </c:pt>
                <c:pt idx="30">
                  <c:v>0.15277777777777801</c:v>
                </c:pt>
                <c:pt idx="31">
                  <c:v>0.15486111111111101</c:v>
                </c:pt>
                <c:pt idx="32">
                  <c:v>0.156944444444445</c:v>
                </c:pt>
                <c:pt idx="33">
                  <c:v>0.15902777777777799</c:v>
                </c:pt>
                <c:pt idx="34">
                  <c:v>0.16111111111111101</c:v>
                </c:pt>
                <c:pt idx="35">
                  <c:v>0.163194444444445</c:v>
                </c:pt>
                <c:pt idx="36">
                  <c:v>0.165277777777778</c:v>
                </c:pt>
                <c:pt idx="37">
                  <c:v>0.16736111111111099</c:v>
                </c:pt>
                <c:pt idx="38">
                  <c:v>0.16944444444444501</c:v>
                </c:pt>
                <c:pt idx="39">
                  <c:v>0.171527777777778</c:v>
                </c:pt>
                <c:pt idx="40">
                  <c:v>0.17361111111111099</c:v>
                </c:pt>
                <c:pt idx="41">
                  <c:v>0.17569444444444501</c:v>
                </c:pt>
                <c:pt idx="42">
                  <c:v>0.17777777777777801</c:v>
                </c:pt>
                <c:pt idx="43">
                  <c:v>0.179861111111111</c:v>
                </c:pt>
                <c:pt idx="44">
                  <c:v>0.18194444444444499</c:v>
                </c:pt>
                <c:pt idx="45">
                  <c:v>0.18402777777777801</c:v>
                </c:pt>
                <c:pt idx="46">
                  <c:v>0.18611111111111101</c:v>
                </c:pt>
                <c:pt idx="47">
                  <c:v>0.188194444444445</c:v>
                </c:pt>
                <c:pt idx="48">
                  <c:v>0.19027777777777799</c:v>
                </c:pt>
                <c:pt idx="49">
                  <c:v>0.19236111111111201</c:v>
                </c:pt>
                <c:pt idx="50">
                  <c:v>0.194444444444445</c:v>
                </c:pt>
                <c:pt idx="51">
                  <c:v>0.196527777777778</c:v>
                </c:pt>
                <c:pt idx="52">
                  <c:v>0.19861111111111199</c:v>
                </c:pt>
                <c:pt idx="53">
                  <c:v>0.20069444444444501</c:v>
                </c:pt>
                <c:pt idx="54">
                  <c:v>0.202777777777778</c:v>
                </c:pt>
                <c:pt idx="55">
                  <c:v>0.20486111111111199</c:v>
                </c:pt>
                <c:pt idx="56">
                  <c:v>0.20694444444444501</c:v>
                </c:pt>
                <c:pt idx="57">
                  <c:v>0.20902777777777801</c:v>
                </c:pt>
                <c:pt idx="58">
                  <c:v>0.211111111111112</c:v>
                </c:pt>
                <c:pt idx="59">
                  <c:v>0.21319444444444499</c:v>
                </c:pt>
                <c:pt idx="60">
                  <c:v>0.21527777777777801</c:v>
                </c:pt>
                <c:pt idx="61">
                  <c:v>0.217361111111112</c:v>
                </c:pt>
                <c:pt idx="62">
                  <c:v>0.219444444444445</c:v>
                </c:pt>
                <c:pt idx="63">
                  <c:v>0.22152777777777799</c:v>
                </c:pt>
                <c:pt idx="64">
                  <c:v>0.22361111111111201</c:v>
                </c:pt>
                <c:pt idx="65">
                  <c:v>0.225694444444445</c:v>
                </c:pt>
                <c:pt idx="66">
                  <c:v>0.227777777777778</c:v>
                </c:pt>
                <c:pt idx="67">
                  <c:v>0.22986111111111199</c:v>
                </c:pt>
                <c:pt idx="68">
                  <c:v>0.23194444444444501</c:v>
                </c:pt>
                <c:pt idx="69">
                  <c:v>0.234027777777778</c:v>
                </c:pt>
                <c:pt idx="70">
                  <c:v>0.23611111111111199</c:v>
                </c:pt>
                <c:pt idx="71">
                  <c:v>0.23819444444444501</c:v>
                </c:pt>
                <c:pt idx="72">
                  <c:v>0.24027777777777801</c:v>
                </c:pt>
                <c:pt idx="73">
                  <c:v>0.242361111111112</c:v>
                </c:pt>
                <c:pt idx="74">
                  <c:v>0.24444444444444499</c:v>
                </c:pt>
                <c:pt idx="75">
                  <c:v>0.24652777777777801</c:v>
                </c:pt>
                <c:pt idx="76">
                  <c:v>0.248611111111112</c:v>
                </c:pt>
                <c:pt idx="77">
                  <c:v>0.250694444444445</c:v>
                </c:pt>
                <c:pt idx="78">
                  <c:v>0.25277777777777899</c:v>
                </c:pt>
                <c:pt idx="79">
                  <c:v>0.25486111111111198</c:v>
                </c:pt>
                <c:pt idx="80">
                  <c:v>0.25694444444444497</c:v>
                </c:pt>
                <c:pt idx="81">
                  <c:v>0.25902777777777902</c:v>
                </c:pt>
                <c:pt idx="82">
                  <c:v>0.26111111111111202</c:v>
                </c:pt>
                <c:pt idx="83">
                  <c:v>0.26319444444444501</c:v>
                </c:pt>
                <c:pt idx="84">
                  <c:v>0.265277777777779</c:v>
                </c:pt>
                <c:pt idx="85">
                  <c:v>0.26736111111111199</c:v>
                </c:pt>
                <c:pt idx="86">
                  <c:v>0.26944444444444499</c:v>
                </c:pt>
                <c:pt idx="87">
                  <c:v>0.27152777777777898</c:v>
                </c:pt>
                <c:pt idx="88">
                  <c:v>0.27361111111111203</c:v>
                </c:pt>
                <c:pt idx="89">
                  <c:v>0.27569444444444502</c:v>
                </c:pt>
                <c:pt idx="90">
                  <c:v>0.27777777777777901</c:v>
                </c:pt>
                <c:pt idx="91">
                  <c:v>0.279861111111112</c:v>
                </c:pt>
                <c:pt idx="92">
                  <c:v>0.281944444444445</c:v>
                </c:pt>
                <c:pt idx="93">
                  <c:v>0.28402777777777899</c:v>
                </c:pt>
                <c:pt idx="94">
                  <c:v>0.28611111111111198</c:v>
                </c:pt>
                <c:pt idx="95">
                  <c:v>0.28819444444444497</c:v>
                </c:pt>
                <c:pt idx="96">
                  <c:v>0.29027777777777902</c:v>
                </c:pt>
                <c:pt idx="97">
                  <c:v>0.29236111111111202</c:v>
                </c:pt>
                <c:pt idx="98">
                  <c:v>0.29444444444444501</c:v>
                </c:pt>
                <c:pt idx="99">
                  <c:v>0.296527777777779</c:v>
                </c:pt>
                <c:pt idx="100">
                  <c:v>0.29861111111111199</c:v>
                </c:pt>
              </c:numCache>
            </c:numRef>
          </c:cat>
          <c:val>
            <c:numRef>
              <c:f>ferry!$O$134:$O$234</c:f>
              <c:numCache>
                <c:formatCode>0.000</c:formatCode>
                <c:ptCount val="101"/>
                <c:pt idx="0">
                  <c:v>39.418231757313258</c:v>
                </c:pt>
                <c:pt idx="1">
                  <c:v>39.418231757313258</c:v>
                </c:pt>
                <c:pt idx="2">
                  <c:v>39.418231757313258</c:v>
                </c:pt>
                <c:pt idx="3">
                  <c:v>39.418231757313258</c:v>
                </c:pt>
                <c:pt idx="4">
                  <c:v>39.418231757313258</c:v>
                </c:pt>
                <c:pt idx="5">
                  <c:v>39.418231757313258</c:v>
                </c:pt>
                <c:pt idx="6">
                  <c:v>39.418231757313258</c:v>
                </c:pt>
                <c:pt idx="7">
                  <c:v>39.418231757313258</c:v>
                </c:pt>
                <c:pt idx="8">
                  <c:v>39.418231757313258</c:v>
                </c:pt>
                <c:pt idx="9">
                  <c:v>39.418231757313258</c:v>
                </c:pt>
                <c:pt idx="10">
                  <c:v>39.418231757313258</c:v>
                </c:pt>
                <c:pt idx="11">
                  <c:v>39.418231757313258</c:v>
                </c:pt>
                <c:pt idx="12">
                  <c:v>39.418231757313258</c:v>
                </c:pt>
                <c:pt idx="13">
                  <c:v>39.418231757313258</c:v>
                </c:pt>
                <c:pt idx="14">
                  <c:v>39.418231757313258</c:v>
                </c:pt>
                <c:pt idx="15">
                  <c:v>39.418231757313258</c:v>
                </c:pt>
                <c:pt idx="16">
                  <c:v>39.418231757313258</c:v>
                </c:pt>
                <c:pt idx="17">
                  <c:v>39.418231757313258</c:v>
                </c:pt>
                <c:pt idx="18">
                  <c:v>39.418231757313258</c:v>
                </c:pt>
                <c:pt idx="19">
                  <c:v>39.418231757313258</c:v>
                </c:pt>
                <c:pt idx="20">
                  <c:v>39.418231757313258</c:v>
                </c:pt>
                <c:pt idx="21">
                  <c:v>39.418231757313258</c:v>
                </c:pt>
                <c:pt idx="22">
                  <c:v>39.418231757313258</c:v>
                </c:pt>
                <c:pt idx="23">
                  <c:v>39.418231757313258</c:v>
                </c:pt>
                <c:pt idx="24">
                  <c:v>39.418231757313258</c:v>
                </c:pt>
                <c:pt idx="25">
                  <c:v>39.418231757313258</c:v>
                </c:pt>
                <c:pt idx="26">
                  <c:v>39.418231757313258</c:v>
                </c:pt>
                <c:pt idx="27">
                  <c:v>39.418231757313258</c:v>
                </c:pt>
                <c:pt idx="28">
                  <c:v>39.418231757313258</c:v>
                </c:pt>
                <c:pt idx="29">
                  <c:v>39.418231757313258</c:v>
                </c:pt>
                <c:pt idx="30">
                  <c:v>39.418231757313258</c:v>
                </c:pt>
                <c:pt idx="31">
                  <c:v>39.418231757313258</c:v>
                </c:pt>
                <c:pt idx="32">
                  <c:v>39.418231757313258</c:v>
                </c:pt>
                <c:pt idx="33">
                  <c:v>39.418231757313258</c:v>
                </c:pt>
                <c:pt idx="34">
                  <c:v>39.418231757313258</c:v>
                </c:pt>
                <c:pt idx="35">
                  <c:v>39.418231757313258</c:v>
                </c:pt>
                <c:pt idx="36">
                  <c:v>39.418231757313258</c:v>
                </c:pt>
                <c:pt idx="37">
                  <c:v>39.418231757313258</c:v>
                </c:pt>
                <c:pt idx="38">
                  <c:v>39.418231757313258</c:v>
                </c:pt>
                <c:pt idx="39">
                  <c:v>39.418231757313258</c:v>
                </c:pt>
                <c:pt idx="40">
                  <c:v>39.418231757313258</c:v>
                </c:pt>
                <c:pt idx="41">
                  <c:v>39.418231757313258</c:v>
                </c:pt>
                <c:pt idx="42">
                  <c:v>39.418231757313258</c:v>
                </c:pt>
                <c:pt idx="43">
                  <c:v>39.418231757313258</c:v>
                </c:pt>
                <c:pt idx="44">
                  <c:v>39.418231757313258</c:v>
                </c:pt>
                <c:pt idx="45">
                  <c:v>39.418231757313258</c:v>
                </c:pt>
                <c:pt idx="46">
                  <c:v>39.418231757313258</c:v>
                </c:pt>
                <c:pt idx="47">
                  <c:v>39.418231757313258</c:v>
                </c:pt>
                <c:pt idx="48">
                  <c:v>39.418231757313258</c:v>
                </c:pt>
                <c:pt idx="49">
                  <c:v>39.418231757313258</c:v>
                </c:pt>
                <c:pt idx="50">
                  <c:v>39.418231757313258</c:v>
                </c:pt>
                <c:pt idx="51">
                  <c:v>39.418231757313258</c:v>
                </c:pt>
                <c:pt idx="52">
                  <c:v>39.418231757313258</c:v>
                </c:pt>
                <c:pt idx="53">
                  <c:v>39.418231757313258</c:v>
                </c:pt>
                <c:pt idx="54">
                  <c:v>39.418231757313258</c:v>
                </c:pt>
                <c:pt idx="55">
                  <c:v>39.418231757313258</c:v>
                </c:pt>
                <c:pt idx="56">
                  <c:v>39.418231757313258</c:v>
                </c:pt>
                <c:pt idx="57">
                  <c:v>39.418231757313258</c:v>
                </c:pt>
                <c:pt idx="58">
                  <c:v>39.418231757313258</c:v>
                </c:pt>
                <c:pt idx="59">
                  <c:v>39.418231757313258</c:v>
                </c:pt>
                <c:pt idx="60">
                  <c:v>39.418231757313258</c:v>
                </c:pt>
                <c:pt idx="61">
                  <c:v>39.418231757313258</c:v>
                </c:pt>
                <c:pt idx="62">
                  <c:v>39.418231757313258</c:v>
                </c:pt>
                <c:pt idx="63">
                  <c:v>39.418231757313258</c:v>
                </c:pt>
                <c:pt idx="64">
                  <c:v>39.418231757313258</c:v>
                </c:pt>
                <c:pt idx="65">
                  <c:v>39.418231757313258</c:v>
                </c:pt>
                <c:pt idx="66">
                  <c:v>39.418231757313258</c:v>
                </c:pt>
                <c:pt idx="67">
                  <c:v>39.418231757313258</c:v>
                </c:pt>
                <c:pt idx="68">
                  <c:v>39.418231757313258</c:v>
                </c:pt>
                <c:pt idx="69">
                  <c:v>39.418231757313258</c:v>
                </c:pt>
                <c:pt idx="70">
                  <c:v>39.418231757313258</c:v>
                </c:pt>
                <c:pt idx="71">
                  <c:v>39.418231757313258</c:v>
                </c:pt>
                <c:pt idx="72">
                  <c:v>39.418231757313258</c:v>
                </c:pt>
                <c:pt idx="73">
                  <c:v>39.418231757313258</c:v>
                </c:pt>
                <c:pt idx="74">
                  <c:v>39.418231757313258</c:v>
                </c:pt>
                <c:pt idx="75">
                  <c:v>39.418231757313258</c:v>
                </c:pt>
                <c:pt idx="76">
                  <c:v>39.418231757313258</c:v>
                </c:pt>
                <c:pt idx="77">
                  <c:v>39.418231757313258</c:v>
                </c:pt>
                <c:pt idx="78">
                  <c:v>39.418231757313258</c:v>
                </c:pt>
                <c:pt idx="79">
                  <c:v>39.418231757313258</c:v>
                </c:pt>
                <c:pt idx="80">
                  <c:v>39.418231757313258</c:v>
                </c:pt>
                <c:pt idx="81">
                  <c:v>39.418231757313258</c:v>
                </c:pt>
                <c:pt idx="82">
                  <c:v>39.418231757313258</c:v>
                </c:pt>
                <c:pt idx="83">
                  <c:v>39.418231757313258</c:v>
                </c:pt>
                <c:pt idx="84">
                  <c:v>39.418231757313258</c:v>
                </c:pt>
                <c:pt idx="85">
                  <c:v>39.418231757313258</c:v>
                </c:pt>
                <c:pt idx="86">
                  <c:v>39.418231757313258</c:v>
                </c:pt>
                <c:pt idx="87">
                  <c:v>39.418231757313258</c:v>
                </c:pt>
                <c:pt idx="88">
                  <c:v>39.418231757313258</c:v>
                </c:pt>
                <c:pt idx="89">
                  <c:v>39.418231757313258</c:v>
                </c:pt>
                <c:pt idx="90">
                  <c:v>39.418231757313258</c:v>
                </c:pt>
                <c:pt idx="91">
                  <c:v>39.418231757313258</c:v>
                </c:pt>
                <c:pt idx="92">
                  <c:v>39.418231757313258</c:v>
                </c:pt>
                <c:pt idx="93">
                  <c:v>39.418231757313258</c:v>
                </c:pt>
                <c:pt idx="94">
                  <c:v>39.418231757313258</c:v>
                </c:pt>
                <c:pt idx="95">
                  <c:v>39.418231757313258</c:v>
                </c:pt>
                <c:pt idx="96">
                  <c:v>39.418231757313258</c:v>
                </c:pt>
                <c:pt idx="97">
                  <c:v>39.418231757313258</c:v>
                </c:pt>
                <c:pt idx="98">
                  <c:v>39.418231757313258</c:v>
                </c:pt>
                <c:pt idx="99">
                  <c:v>39.418231757313258</c:v>
                </c:pt>
                <c:pt idx="100">
                  <c:v>39.418231757313258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8-4B4A-9F9A-3B5FC14121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ferry!$F$134:$F$234</c:f>
              <c:numCache>
                <c:formatCode>[$-F400]h:mm:ss\ AM/PM</c:formatCode>
                <c:ptCount val="101"/>
                <c:pt idx="0">
                  <c:v>9.0277777777777776E-2</c:v>
                </c:pt>
                <c:pt idx="1">
                  <c:v>9.2361111111111116E-2</c:v>
                </c:pt>
                <c:pt idx="2">
                  <c:v>9.4444444444444442E-2</c:v>
                </c:pt>
                <c:pt idx="3">
                  <c:v>9.6527777777777796E-2</c:v>
                </c:pt>
                <c:pt idx="4">
                  <c:v>9.8611111111111094E-2</c:v>
                </c:pt>
                <c:pt idx="5">
                  <c:v>0.100694444444444</c:v>
                </c:pt>
                <c:pt idx="6">
                  <c:v>0.102777777777778</c:v>
                </c:pt>
                <c:pt idx="7">
                  <c:v>0.104861111111111</c:v>
                </c:pt>
                <c:pt idx="8">
                  <c:v>0.106944444444444</c:v>
                </c:pt>
                <c:pt idx="9">
                  <c:v>0.109027777777778</c:v>
                </c:pt>
                <c:pt idx="10">
                  <c:v>0.11111111111111099</c:v>
                </c:pt>
                <c:pt idx="11">
                  <c:v>0.113194444444444</c:v>
                </c:pt>
                <c:pt idx="12">
                  <c:v>0.11527777777777801</c:v>
                </c:pt>
                <c:pt idx="13">
                  <c:v>0.117361111111111</c:v>
                </c:pt>
                <c:pt idx="14">
                  <c:v>0.11944444444444501</c:v>
                </c:pt>
                <c:pt idx="15">
                  <c:v>0.121527777777778</c:v>
                </c:pt>
                <c:pt idx="16">
                  <c:v>0.12361111111111101</c:v>
                </c:pt>
                <c:pt idx="17">
                  <c:v>0.125694444444445</c:v>
                </c:pt>
                <c:pt idx="18">
                  <c:v>0.12777777777777799</c:v>
                </c:pt>
                <c:pt idx="19">
                  <c:v>0.12986111111111101</c:v>
                </c:pt>
                <c:pt idx="20">
                  <c:v>0.131944444444445</c:v>
                </c:pt>
                <c:pt idx="21">
                  <c:v>0.134027777777778</c:v>
                </c:pt>
                <c:pt idx="22">
                  <c:v>0.13611111111111099</c:v>
                </c:pt>
                <c:pt idx="23">
                  <c:v>0.13819444444444501</c:v>
                </c:pt>
                <c:pt idx="24">
                  <c:v>0.140277777777778</c:v>
                </c:pt>
                <c:pt idx="25">
                  <c:v>0.14236111111111099</c:v>
                </c:pt>
                <c:pt idx="26">
                  <c:v>0.14444444444444501</c:v>
                </c:pt>
                <c:pt idx="27">
                  <c:v>0.14652777777777801</c:v>
                </c:pt>
                <c:pt idx="28">
                  <c:v>0.148611111111111</c:v>
                </c:pt>
                <c:pt idx="29">
                  <c:v>0.15069444444444499</c:v>
                </c:pt>
                <c:pt idx="30">
                  <c:v>0.15277777777777801</c:v>
                </c:pt>
                <c:pt idx="31">
                  <c:v>0.15486111111111101</c:v>
                </c:pt>
                <c:pt idx="32">
                  <c:v>0.156944444444445</c:v>
                </c:pt>
                <c:pt idx="33">
                  <c:v>0.15902777777777799</c:v>
                </c:pt>
                <c:pt idx="34">
                  <c:v>0.16111111111111101</c:v>
                </c:pt>
                <c:pt idx="35">
                  <c:v>0.163194444444445</c:v>
                </c:pt>
                <c:pt idx="36">
                  <c:v>0.165277777777778</c:v>
                </c:pt>
                <c:pt idx="37">
                  <c:v>0.16736111111111099</c:v>
                </c:pt>
                <c:pt idx="38">
                  <c:v>0.16944444444444501</c:v>
                </c:pt>
                <c:pt idx="39">
                  <c:v>0.171527777777778</c:v>
                </c:pt>
                <c:pt idx="40">
                  <c:v>0.17361111111111099</c:v>
                </c:pt>
                <c:pt idx="41">
                  <c:v>0.17569444444444501</c:v>
                </c:pt>
                <c:pt idx="42">
                  <c:v>0.17777777777777801</c:v>
                </c:pt>
                <c:pt idx="43">
                  <c:v>0.179861111111111</c:v>
                </c:pt>
                <c:pt idx="44">
                  <c:v>0.18194444444444499</c:v>
                </c:pt>
                <c:pt idx="45">
                  <c:v>0.18402777777777801</c:v>
                </c:pt>
                <c:pt idx="46">
                  <c:v>0.18611111111111101</c:v>
                </c:pt>
                <c:pt idx="47">
                  <c:v>0.188194444444445</c:v>
                </c:pt>
                <c:pt idx="48">
                  <c:v>0.19027777777777799</c:v>
                </c:pt>
                <c:pt idx="49">
                  <c:v>0.19236111111111201</c:v>
                </c:pt>
                <c:pt idx="50">
                  <c:v>0.194444444444445</c:v>
                </c:pt>
                <c:pt idx="51">
                  <c:v>0.196527777777778</c:v>
                </c:pt>
                <c:pt idx="52">
                  <c:v>0.19861111111111199</c:v>
                </c:pt>
                <c:pt idx="53">
                  <c:v>0.20069444444444501</c:v>
                </c:pt>
                <c:pt idx="54">
                  <c:v>0.202777777777778</c:v>
                </c:pt>
                <c:pt idx="55">
                  <c:v>0.20486111111111199</c:v>
                </c:pt>
                <c:pt idx="56">
                  <c:v>0.20694444444444501</c:v>
                </c:pt>
                <c:pt idx="57">
                  <c:v>0.20902777777777801</c:v>
                </c:pt>
                <c:pt idx="58">
                  <c:v>0.211111111111112</c:v>
                </c:pt>
                <c:pt idx="59">
                  <c:v>0.21319444444444499</c:v>
                </c:pt>
                <c:pt idx="60">
                  <c:v>0.21527777777777801</c:v>
                </c:pt>
                <c:pt idx="61">
                  <c:v>0.217361111111112</c:v>
                </c:pt>
                <c:pt idx="62">
                  <c:v>0.219444444444445</c:v>
                </c:pt>
                <c:pt idx="63">
                  <c:v>0.22152777777777799</c:v>
                </c:pt>
                <c:pt idx="64">
                  <c:v>0.22361111111111201</c:v>
                </c:pt>
                <c:pt idx="65">
                  <c:v>0.225694444444445</c:v>
                </c:pt>
                <c:pt idx="66">
                  <c:v>0.227777777777778</c:v>
                </c:pt>
                <c:pt idx="67">
                  <c:v>0.22986111111111199</c:v>
                </c:pt>
                <c:pt idx="68">
                  <c:v>0.23194444444444501</c:v>
                </c:pt>
                <c:pt idx="69">
                  <c:v>0.234027777777778</c:v>
                </c:pt>
                <c:pt idx="70">
                  <c:v>0.23611111111111199</c:v>
                </c:pt>
                <c:pt idx="71">
                  <c:v>0.23819444444444501</c:v>
                </c:pt>
                <c:pt idx="72">
                  <c:v>0.24027777777777801</c:v>
                </c:pt>
                <c:pt idx="73">
                  <c:v>0.242361111111112</c:v>
                </c:pt>
                <c:pt idx="74">
                  <c:v>0.24444444444444499</c:v>
                </c:pt>
                <c:pt idx="75">
                  <c:v>0.24652777777777801</c:v>
                </c:pt>
                <c:pt idx="76">
                  <c:v>0.248611111111112</c:v>
                </c:pt>
                <c:pt idx="77">
                  <c:v>0.250694444444445</c:v>
                </c:pt>
                <c:pt idx="78">
                  <c:v>0.25277777777777899</c:v>
                </c:pt>
                <c:pt idx="79">
                  <c:v>0.25486111111111198</c:v>
                </c:pt>
                <c:pt idx="80">
                  <c:v>0.25694444444444497</c:v>
                </c:pt>
                <c:pt idx="81">
                  <c:v>0.25902777777777902</c:v>
                </c:pt>
                <c:pt idx="82">
                  <c:v>0.26111111111111202</c:v>
                </c:pt>
                <c:pt idx="83">
                  <c:v>0.26319444444444501</c:v>
                </c:pt>
                <c:pt idx="84">
                  <c:v>0.265277777777779</c:v>
                </c:pt>
                <c:pt idx="85">
                  <c:v>0.26736111111111199</c:v>
                </c:pt>
                <c:pt idx="86">
                  <c:v>0.26944444444444499</c:v>
                </c:pt>
                <c:pt idx="87">
                  <c:v>0.27152777777777898</c:v>
                </c:pt>
                <c:pt idx="88">
                  <c:v>0.27361111111111203</c:v>
                </c:pt>
                <c:pt idx="89">
                  <c:v>0.27569444444444502</c:v>
                </c:pt>
                <c:pt idx="90">
                  <c:v>0.27777777777777901</c:v>
                </c:pt>
                <c:pt idx="91">
                  <c:v>0.279861111111112</c:v>
                </c:pt>
                <c:pt idx="92">
                  <c:v>0.281944444444445</c:v>
                </c:pt>
                <c:pt idx="93">
                  <c:v>0.28402777777777899</c:v>
                </c:pt>
                <c:pt idx="94">
                  <c:v>0.28611111111111198</c:v>
                </c:pt>
                <c:pt idx="95">
                  <c:v>0.28819444444444497</c:v>
                </c:pt>
                <c:pt idx="96">
                  <c:v>0.29027777777777902</c:v>
                </c:pt>
                <c:pt idx="97">
                  <c:v>0.29236111111111202</c:v>
                </c:pt>
                <c:pt idx="98">
                  <c:v>0.29444444444444501</c:v>
                </c:pt>
                <c:pt idx="99">
                  <c:v>0.296527777777779</c:v>
                </c:pt>
                <c:pt idx="100">
                  <c:v>0.29861111111111199</c:v>
                </c:pt>
              </c:numCache>
            </c:numRef>
          </c:cat>
          <c:val>
            <c:numRef>
              <c:f>ferry!$P$134:$P$234</c:f>
              <c:numCache>
                <c:formatCode>0.000</c:formatCode>
                <c:ptCount val="101"/>
                <c:pt idx="0">
                  <c:v>47.716806864116052</c:v>
                </c:pt>
                <c:pt idx="1">
                  <c:v>47.716806864116052</c:v>
                </c:pt>
                <c:pt idx="2">
                  <c:v>47.716806864116052</c:v>
                </c:pt>
                <c:pt idx="3">
                  <c:v>47.716806864116052</c:v>
                </c:pt>
                <c:pt idx="4">
                  <c:v>47.716806864116052</c:v>
                </c:pt>
                <c:pt idx="5">
                  <c:v>47.716806864116052</c:v>
                </c:pt>
                <c:pt idx="6">
                  <c:v>47.716806864116052</c:v>
                </c:pt>
                <c:pt idx="7">
                  <c:v>47.716806864116052</c:v>
                </c:pt>
                <c:pt idx="8">
                  <c:v>47.716806864116052</c:v>
                </c:pt>
                <c:pt idx="9">
                  <c:v>47.716806864116052</c:v>
                </c:pt>
                <c:pt idx="10">
                  <c:v>47.716806864116052</c:v>
                </c:pt>
                <c:pt idx="11">
                  <c:v>47.716806864116052</c:v>
                </c:pt>
                <c:pt idx="12">
                  <c:v>47.716806864116052</c:v>
                </c:pt>
                <c:pt idx="13">
                  <c:v>47.716806864116052</c:v>
                </c:pt>
                <c:pt idx="14">
                  <c:v>47.716806864116052</c:v>
                </c:pt>
                <c:pt idx="15">
                  <c:v>47.716806864116052</c:v>
                </c:pt>
                <c:pt idx="16">
                  <c:v>47.716806864116052</c:v>
                </c:pt>
                <c:pt idx="17">
                  <c:v>47.716806864116052</c:v>
                </c:pt>
                <c:pt idx="18">
                  <c:v>47.716806864116052</c:v>
                </c:pt>
                <c:pt idx="19">
                  <c:v>47.716806864116052</c:v>
                </c:pt>
                <c:pt idx="20">
                  <c:v>47.716806864116052</c:v>
                </c:pt>
                <c:pt idx="21">
                  <c:v>47.716806864116052</c:v>
                </c:pt>
                <c:pt idx="22">
                  <c:v>47.716806864116052</c:v>
                </c:pt>
                <c:pt idx="23">
                  <c:v>47.716806864116052</c:v>
                </c:pt>
                <c:pt idx="24">
                  <c:v>47.716806864116052</c:v>
                </c:pt>
                <c:pt idx="25">
                  <c:v>47.716806864116052</c:v>
                </c:pt>
                <c:pt idx="26">
                  <c:v>47.716806864116052</c:v>
                </c:pt>
                <c:pt idx="27">
                  <c:v>47.716806864116052</c:v>
                </c:pt>
                <c:pt idx="28">
                  <c:v>47.716806864116052</c:v>
                </c:pt>
                <c:pt idx="29">
                  <c:v>47.716806864116052</c:v>
                </c:pt>
                <c:pt idx="30">
                  <c:v>47.716806864116052</c:v>
                </c:pt>
                <c:pt idx="31">
                  <c:v>47.716806864116052</c:v>
                </c:pt>
                <c:pt idx="32">
                  <c:v>47.716806864116052</c:v>
                </c:pt>
                <c:pt idx="33">
                  <c:v>47.716806864116052</c:v>
                </c:pt>
                <c:pt idx="34">
                  <c:v>47.716806864116052</c:v>
                </c:pt>
                <c:pt idx="35">
                  <c:v>47.716806864116052</c:v>
                </c:pt>
                <c:pt idx="36">
                  <c:v>47.716806864116052</c:v>
                </c:pt>
                <c:pt idx="37">
                  <c:v>47.716806864116052</c:v>
                </c:pt>
                <c:pt idx="38">
                  <c:v>47.716806864116052</c:v>
                </c:pt>
                <c:pt idx="39">
                  <c:v>47.716806864116052</c:v>
                </c:pt>
                <c:pt idx="40">
                  <c:v>47.716806864116052</c:v>
                </c:pt>
                <c:pt idx="41">
                  <c:v>47.716806864116052</c:v>
                </c:pt>
                <c:pt idx="42">
                  <c:v>47.716806864116052</c:v>
                </c:pt>
                <c:pt idx="43">
                  <c:v>47.716806864116052</c:v>
                </c:pt>
                <c:pt idx="44">
                  <c:v>47.716806864116052</c:v>
                </c:pt>
                <c:pt idx="45">
                  <c:v>47.716806864116052</c:v>
                </c:pt>
                <c:pt idx="46">
                  <c:v>47.716806864116052</c:v>
                </c:pt>
                <c:pt idx="47">
                  <c:v>47.716806864116052</c:v>
                </c:pt>
                <c:pt idx="48">
                  <c:v>47.716806864116052</c:v>
                </c:pt>
                <c:pt idx="49">
                  <c:v>47.716806864116052</c:v>
                </c:pt>
                <c:pt idx="50">
                  <c:v>47.716806864116052</c:v>
                </c:pt>
                <c:pt idx="51">
                  <c:v>47.716806864116052</c:v>
                </c:pt>
                <c:pt idx="52">
                  <c:v>47.716806864116052</c:v>
                </c:pt>
                <c:pt idx="53">
                  <c:v>47.716806864116052</c:v>
                </c:pt>
                <c:pt idx="54">
                  <c:v>47.716806864116052</c:v>
                </c:pt>
                <c:pt idx="55">
                  <c:v>47.716806864116052</c:v>
                </c:pt>
                <c:pt idx="56">
                  <c:v>47.716806864116052</c:v>
                </c:pt>
                <c:pt idx="57">
                  <c:v>47.716806864116052</c:v>
                </c:pt>
                <c:pt idx="58">
                  <c:v>47.716806864116052</c:v>
                </c:pt>
                <c:pt idx="59">
                  <c:v>47.716806864116052</c:v>
                </c:pt>
                <c:pt idx="60">
                  <c:v>47.716806864116052</c:v>
                </c:pt>
                <c:pt idx="61">
                  <c:v>47.716806864116052</c:v>
                </c:pt>
                <c:pt idx="62">
                  <c:v>47.716806864116052</c:v>
                </c:pt>
                <c:pt idx="63">
                  <c:v>47.716806864116052</c:v>
                </c:pt>
                <c:pt idx="64">
                  <c:v>47.716806864116052</c:v>
                </c:pt>
                <c:pt idx="65">
                  <c:v>47.716806864116052</c:v>
                </c:pt>
                <c:pt idx="66">
                  <c:v>47.716806864116052</c:v>
                </c:pt>
                <c:pt idx="67">
                  <c:v>47.716806864116052</c:v>
                </c:pt>
                <c:pt idx="68">
                  <c:v>47.716806864116052</c:v>
                </c:pt>
                <c:pt idx="69">
                  <c:v>47.716806864116052</c:v>
                </c:pt>
                <c:pt idx="70">
                  <c:v>47.716806864116052</c:v>
                </c:pt>
                <c:pt idx="71">
                  <c:v>47.716806864116052</c:v>
                </c:pt>
                <c:pt idx="72">
                  <c:v>47.716806864116052</c:v>
                </c:pt>
                <c:pt idx="73">
                  <c:v>47.716806864116052</c:v>
                </c:pt>
                <c:pt idx="74">
                  <c:v>47.716806864116052</c:v>
                </c:pt>
                <c:pt idx="75">
                  <c:v>47.716806864116052</c:v>
                </c:pt>
                <c:pt idx="76">
                  <c:v>47.716806864116052</c:v>
                </c:pt>
                <c:pt idx="77">
                  <c:v>47.716806864116052</c:v>
                </c:pt>
                <c:pt idx="78">
                  <c:v>47.716806864116052</c:v>
                </c:pt>
                <c:pt idx="79">
                  <c:v>47.716806864116052</c:v>
                </c:pt>
                <c:pt idx="80">
                  <c:v>47.716806864116052</c:v>
                </c:pt>
                <c:pt idx="81">
                  <c:v>47.716806864116052</c:v>
                </c:pt>
                <c:pt idx="82">
                  <c:v>47.716806864116052</c:v>
                </c:pt>
                <c:pt idx="83">
                  <c:v>47.716806864116052</c:v>
                </c:pt>
                <c:pt idx="84">
                  <c:v>47.716806864116052</c:v>
                </c:pt>
                <c:pt idx="85">
                  <c:v>47.716806864116052</c:v>
                </c:pt>
                <c:pt idx="86">
                  <c:v>47.716806864116052</c:v>
                </c:pt>
                <c:pt idx="87">
                  <c:v>47.716806864116052</c:v>
                </c:pt>
                <c:pt idx="88">
                  <c:v>47.716806864116052</c:v>
                </c:pt>
                <c:pt idx="89">
                  <c:v>47.716806864116052</c:v>
                </c:pt>
                <c:pt idx="90">
                  <c:v>47.716806864116052</c:v>
                </c:pt>
                <c:pt idx="91">
                  <c:v>47.716806864116052</c:v>
                </c:pt>
                <c:pt idx="92">
                  <c:v>47.716806864116052</c:v>
                </c:pt>
                <c:pt idx="93">
                  <c:v>47.716806864116052</c:v>
                </c:pt>
                <c:pt idx="94">
                  <c:v>47.716806864116052</c:v>
                </c:pt>
                <c:pt idx="95">
                  <c:v>47.716806864116052</c:v>
                </c:pt>
                <c:pt idx="96">
                  <c:v>47.716806864116052</c:v>
                </c:pt>
                <c:pt idx="97">
                  <c:v>47.716806864116052</c:v>
                </c:pt>
                <c:pt idx="98">
                  <c:v>47.716806864116052</c:v>
                </c:pt>
                <c:pt idx="99">
                  <c:v>47.716806864116052</c:v>
                </c:pt>
                <c:pt idx="100">
                  <c:v>47.716806864116052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8-4B4A-9F9A-3B5FC14121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ferry!$F$134:$F$234</c:f>
              <c:numCache>
                <c:formatCode>[$-F400]h:mm:ss\ AM/PM</c:formatCode>
                <c:ptCount val="101"/>
                <c:pt idx="0">
                  <c:v>9.0277777777777776E-2</c:v>
                </c:pt>
                <c:pt idx="1">
                  <c:v>9.2361111111111116E-2</c:v>
                </c:pt>
                <c:pt idx="2">
                  <c:v>9.4444444444444442E-2</c:v>
                </c:pt>
                <c:pt idx="3">
                  <c:v>9.6527777777777796E-2</c:v>
                </c:pt>
                <c:pt idx="4">
                  <c:v>9.8611111111111094E-2</c:v>
                </c:pt>
                <c:pt idx="5">
                  <c:v>0.100694444444444</c:v>
                </c:pt>
                <c:pt idx="6">
                  <c:v>0.102777777777778</c:v>
                </c:pt>
                <c:pt idx="7">
                  <c:v>0.104861111111111</c:v>
                </c:pt>
                <c:pt idx="8">
                  <c:v>0.106944444444444</c:v>
                </c:pt>
                <c:pt idx="9">
                  <c:v>0.109027777777778</c:v>
                </c:pt>
                <c:pt idx="10">
                  <c:v>0.11111111111111099</c:v>
                </c:pt>
                <c:pt idx="11">
                  <c:v>0.113194444444444</c:v>
                </c:pt>
                <c:pt idx="12">
                  <c:v>0.11527777777777801</c:v>
                </c:pt>
                <c:pt idx="13">
                  <c:v>0.117361111111111</c:v>
                </c:pt>
                <c:pt idx="14">
                  <c:v>0.11944444444444501</c:v>
                </c:pt>
                <c:pt idx="15">
                  <c:v>0.121527777777778</c:v>
                </c:pt>
                <c:pt idx="16">
                  <c:v>0.12361111111111101</c:v>
                </c:pt>
                <c:pt idx="17">
                  <c:v>0.125694444444445</c:v>
                </c:pt>
                <c:pt idx="18">
                  <c:v>0.12777777777777799</c:v>
                </c:pt>
                <c:pt idx="19">
                  <c:v>0.12986111111111101</c:v>
                </c:pt>
                <c:pt idx="20">
                  <c:v>0.131944444444445</c:v>
                </c:pt>
                <c:pt idx="21">
                  <c:v>0.134027777777778</c:v>
                </c:pt>
                <c:pt idx="22">
                  <c:v>0.13611111111111099</c:v>
                </c:pt>
                <c:pt idx="23">
                  <c:v>0.13819444444444501</c:v>
                </c:pt>
                <c:pt idx="24">
                  <c:v>0.140277777777778</c:v>
                </c:pt>
                <c:pt idx="25">
                  <c:v>0.14236111111111099</c:v>
                </c:pt>
                <c:pt idx="26">
                  <c:v>0.14444444444444501</c:v>
                </c:pt>
                <c:pt idx="27">
                  <c:v>0.14652777777777801</c:v>
                </c:pt>
                <c:pt idx="28">
                  <c:v>0.148611111111111</c:v>
                </c:pt>
                <c:pt idx="29">
                  <c:v>0.15069444444444499</c:v>
                </c:pt>
                <c:pt idx="30">
                  <c:v>0.15277777777777801</c:v>
                </c:pt>
                <c:pt idx="31">
                  <c:v>0.15486111111111101</c:v>
                </c:pt>
                <c:pt idx="32">
                  <c:v>0.156944444444445</c:v>
                </c:pt>
                <c:pt idx="33">
                  <c:v>0.15902777777777799</c:v>
                </c:pt>
                <c:pt idx="34">
                  <c:v>0.16111111111111101</c:v>
                </c:pt>
                <c:pt idx="35">
                  <c:v>0.163194444444445</c:v>
                </c:pt>
                <c:pt idx="36">
                  <c:v>0.165277777777778</c:v>
                </c:pt>
                <c:pt idx="37">
                  <c:v>0.16736111111111099</c:v>
                </c:pt>
                <c:pt idx="38">
                  <c:v>0.16944444444444501</c:v>
                </c:pt>
                <c:pt idx="39">
                  <c:v>0.171527777777778</c:v>
                </c:pt>
                <c:pt idx="40">
                  <c:v>0.17361111111111099</c:v>
                </c:pt>
                <c:pt idx="41">
                  <c:v>0.17569444444444501</c:v>
                </c:pt>
                <c:pt idx="42">
                  <c:v>0.17777777777777801</c:v>
                </c:pt>
                <c:pt idx="43">
                  <c:v>0.179861111111111</c:v>
                </c:pt>
                <c:pt idx="44">
                  <c:v>0.18194444444444499</c:v>
                </c:pt>
                <c:pt idx="45">
                  <c:v>0.18402777777777801</c:v>
                </c:pt>
                <c:pt idx="46">
                  <c:v>0.18611111111111101</c:v>
                </c:pt>
                <c:pt idx="47">
                  <c:v>0.188194444444445</c:v>
                </c:pt>
                <c:pt idx="48">
                  <c:v>0.19027777777777799</c:v>
                </c:pt>
                <c:pt idx="49">
                  <c:v>0.19236111111111201</c:v>
                </c:pt>
                <c:pt idx="50">
                  <c:v>0.194444444444445</c:v>
                </c:pt>
                <c:pt idx="51">
                  <c:v>0.196527777777778</c:v>
                </c:pt>
                <c:pt idx="52">
                  <c:v>0.19861111111111199</c:v>
                </c:pt>
                <c:pt idx="53">
                  <c:v>0.20069444444444501</c:v>
                </c:pt>
                <c:pt idx="54">
                  <c:v>0.202777777777778</c:v>
                </c:pt>
                <c:pt idx="55">
                  <c:v>0.20486111111111199</c:v>
                </c:pt>
                <c:pt idx="56">
                  <c:v>0.20694444444444501</c:v>
                </c:pt>
                <c:pt idx="57">
                  <c:v>0.20902777777777801</c:v>
                </c:pt>
                <c:pt idx="58">
                  <c:v>0.211111111111112</c:v>
                </c:pt>
                <c:pt idx="59">
                  <c:v>0.21319444444444499</c:v>
                </c:pt>
                <c:pt idx="60">
                  <c:v>0.21527777777777801</c:v>
                </c:pt>
                <c:pt idx="61">
                  <c:v>0.217361111111112</c:v>
                </c:pt>
                <c:pt idx="62">
                  <c:v>0.219444444444445</c:v>
                </c:pt>
                <c:pt idx="63">
                  <c:v>0.22152777777777799</c:v>
                </c:pt>
                <c:pt idx="64">
                  <c:v>0.22361111111111201</c:v>
                </c:pt>
                <c:pt idx="65">
                  <c:v>0.225694444444445</c:v>
                </c:pt>
                <c:pt idx="66">
                  <c:v>0.227777777777778</c:v>
                </c:pt>
                <c:pt idx="67">
                  <c:v>0.22986111111111199</c:v>
                </c:pt>
                <c:pt idx="68">
                  <c:v>0.23194444444444501</c:v>
                </c:pt>
                <c:pt idx="69">
                  <c:v>0.234027777777778</c:v>
                </c:pt>
                <c:pt idx="70">
                  <c:v>0.23611111111111199</c:v>
                </c:pt>
                <c:pt idx="71">
                  <c:v>0.23819444444444501</c:v>
                </c:pt>
                <c:pt idx="72">
                  <c:v>0.24027777777777801</c:v>
                </c:pt>
                <c:pt idx="73">
                  <c:v>0.242361111111112</c:v>
                </c:pt>
                <c:pt idx="74">
                  <c:v>0.24444444444444499</c:v>
                </c:pt>
                <c:pt idx="75">
                  <c:v>0.24652777777777801</c:v>
                </c:pt>
                <c:pt idx="76">
                  <c:v>0.248611111111112</c:v>
                </c:pt>
                <c:pt idx="77">
                  <c:v>0.250694444444445</c:v>
                </c:pt>
                <c:pt idx="78">
                  <c:v>0.25277777777777899</c:v>
                </c:pt>
                <c:pt idx="79">
                  <c:v>0.25486111111111198</c:v>
                </c:pt>
                <c:pt idx="80">
                  <c:v>0.25694444444444497</c:v>
                </c:pt>
                <c:pt idx="81">
                  <c:v>0.25902777777777902</c:v>
                </c:pt>
                <c:pt idx="82">
                  <c:v>0.26111111111111202</c:v>
                </c:pt>
                <c:pt idx="83">
                  <c:v>0.26319444444444501</c:v>
                </c:pt>
                <c:pt idx="84">
                  <c:v>0.265277777777779</c:v>
                </c:pt>
                <c:pt idx="85">
                  <c:v>0.26736111111111199</c:v>
                </c:pt>
                <c:pt idx="86">
                  <c:v>0.26944444444444499</c:v>
                </c:pt>
                <c:pt idx="87">
                  <c:v>0.27152777777777898</c:v>
                </c:pt>
                <c:pt idx="88">
                  <c:v>0.27361111111111203</c:v>
                </c:pt>
                <c:pt idx="89">
                  <c:v>0.27569444444444502</c:v>
                </c:pt>
                <c:pt idx="90">
                  <c:v>0.27777777777777901</c:v>
                </c:pt>
                <c:pt idx="91">
                  <c:v>0.279861111111112</c:v>
                </c:pt>
                <c:pt idx="92">
                  <c:v>0.281944444444445</c:v>
                </c:pt>
                <c:pt idx="93">
                  <c:v>0.28402777777777899</c:v>
                </c:pt>
                <c:pt idx="94">
                  <c:v>0.28611111111111198</c:v>
                </c:pt>
                <c:pt idx="95">
                  <c:v>0.28819444444444497</c:v>
                </c:pt>
                <c:pt idx="96">
                  <c:v>0.29027777777777902</c:v>
                </c:pt>
                <c:pt idx="97">
                  <c:v>0.29236111111111202</c:v>
                </c:pt>
                <c:pt idx="98">
                  <c:v>0.29444444444444501</c:v>
                </c:pt>
                <c:pt idx="99">
                  <c:v>0.296527777777779</c:v>
                </c:pt>
                <c:pt idx="100">
                  <c:v>0.29861111111111199</c:v>
                </c:pt>
              </c:numCache>
            </c:numRef>
          </c:cat>
          <c:val>
            <c:numRef>
              <c:f>ferry!$R$134:$R$234</c:f>
              <c:numCache>
                <c:formatCode>0.000</c:formatCode>
                <c:ptCount val="101"/>
                <c:pt idx="0">
                  <c:v>59.127347635969883</c:v>
                </c:pt>
                <c:pt idx="1">
                  <c:v>59.127347635969883</c:v>
                </c:pt>
                <c:pt idx="2">
                  <c:v>59.127347635969883</c:v>
                </c:pt>
                <c:pt idx="3">
                  <c:v>59.127347635969883</c:v>
                </c:pt>
                <c:pt idx="4">
                  <c:v>59.127347635969883</c:v>
                </c:pt>
                <c:pt idx="5">
                  <c:v>59.127347635969883</c:v>
                </c:pt>
                <c:pt idx="6">
                  <c:v>59.127347635969883</c:v>
                </c:pt>
                <c:pt idx="7">
                  <c:v>59.127347635969883</c:v>
                </c:pt>
                <c:pt idx="8">
                  <c:v>59.127347635969883</c:v>
                </c:pt>
                <c:pt idx="9">
                  <c:v>59.127347635969883</c:v>
                </c:pt>
                <c:pt idx="10">
                  <c:v>59.127347635969883</c:v>
                </c:pt>
                <c:pt idx="11">
                  <c:v>59.127347635969883</c:v>
                </c:pt>
                <c:pt idx="12">
                  <c:v>59.127347635969883</c:v>
                </c:pt>
                <c:pt idx="13">
                  <c:v>59.127347635969883</c:v>
                </c:pt>
                <c:pt idx="14">
                  <c:v>59.127347635969883</c:v>
                </c:pt>
                <c:pt idx="15">
                  <c:v>59.127347635969883</c:v>
                </c:pt>
                <c:pt idx="16">
                  <c:v>59.127347635969883</c:v>
                </c:pt>
                <c:pt idx="17">
                  <c:v>59.127347635969883</c:v>
                </c:pt>
                <c:pt idx="18">
                  <c:v>59.127347635969883</c:v>
                </c:pt>
                <c:pt idx="19">
                  <c:v>59.127347635969883</c:v>
                </c:pt>
                <c:pt idx="20">
                  <c:v>59.127347635969883</c:v>
                </c:pt>
                <c:pt idx="21">
                  <c:v>59.127347635969883</c:v>
                </c:pt>
                <c:pt idx="22">
                  <c:v>59.127347635969883</c:v>
                </c:pt>
                <c:pt idx="23">
                  <c:v>59.127347635969883</c:v>
                </c:pt>
                <c:pt idx="24">
                  <c:v>59.127347635969883</c:v>
                </c:pt>
                <c:pt idx="25">
                  <c:v>59.127347635969883</c:v>
                </c:pt>
                <c:pt idx="26">
                  <c:v>59.127347635969883</c:v>
                </c:pt>
                <c:pt idx="27">
                  <c:v>59.127347635969883</c:v>
                </c:pt>
                <c:pt idx="28">
                  <c:v>59.127347635969883</c:v>
                </c:pt>
                <c:pt idx="29">
                  <c:v>59.127347635969883</c:v>
                </c:pt>
                <c:pt idx="30">
                  <c:v>59.127347635969883</c:v>
                </c:pt>
                <c:pt idx="31">
                  <c:v>59.127347635969883</c:v>
                </c:pt>
                <c:pt idx="32">
                  <c:v>59.127347635969883</c:v>
                </c:pt>
                <c:pt idx="33">
                  <c:v>59.127347635969883</c:v>
                </c:pt>
                <c:pt idx="34">
                  <c:v>59.127347635969883</c:v>
                </c:pt>
                <c:pt idx="35">
                  <c:v>59.127347635969883</c:v>
                </c:pt>
                <c:pt idx="36">
                  <c:v>59.127347635969883</c:v>
                </c:pt>
                <c:pt idx="37">
                  <c:v>59.127347635969883</c:v>
                </c:pt>
                <c:pt idx="38">
                  <c:v>59.127347635969883</c:v>
                </c:pt>
                <c:pt idx="39">
                  <c:v>59.127347635969883</c:v>
                </c:pt>
                <c:pt idx="40">
                  <c:v>59.127347635969883</c:v>
                </c:pt>
                <c:pt idx="41">
                  <c:v>59.127347635969883</c:v>
                </c:pt>
                <c:pt idx="42">
                  <c:v>59.127347635969883</c:v>
                </c:pt>
                <c:pt idx="43">
                  <c:v>59.127347635969883</c:v>
                </c:pt>
                <c:pt idx="44">
                  <c:v>59.127347635969883</c:v>
                </c:pt>
                <c:pt idx="45">
                  <c:v>59.127347635969883</c:v>
                </c:pt>
                <c:pt idx="46">
                  <c:v>59.127347635969883</c:v>
                </c:pt>
                <c:pt idx="47">
                  <c:v>59.127347635969883</c:v>
                </c:pt>
                <c:pt idx="48">
                  <c:v>59.127347635969883</c:v>
                </c:pt>
                <c:pt idx="49">
                  <c:v>59.127347635969883</c:v>
                </c:pt>
                <c:pt idx="50">
                  <c:v>59.127347635969883</c:v>
                </c:pt>
                <c:pt idx="51">
                  <c:v>59.127347635969883</c:v>
                </c:pt>
                <c:pt idx="52">
                  <c:v>59.127347635969883</c:v>
                </c:pt>
                <c:pt idx="53">
                  <c:v>59.127347635969883</c:v>
                </c:pt>
                <c:pt idx="54">
                  <c:v>59.127347635969883</c:v>
                </c:pt>
                <c:pt idx="55">
                  <c:v>59.127347635969883</c:v>
                </c:pt>
                <c:pt idx="56">
                  <c:v>59.127347635969883</c:v>
                </c:pt>
                <c:pt idx="57">
                  <c:v>59.127347635969883</c:v>
                </c:pt>
                <c:pt idx="58">
                  <c:v>59.127347635969883</c:v>
                </c:pt>
                <c:pt idx="59">
                  <c:v>59.127347635969883</c:v>
                </c:pt>
                <c:pt idx="60">
                  <c:v>59.127347635969883</c:v>
                </c:pt>
                <c:pt idx="61">
                  <c:v>59.127347635969883</c:v>
                </c:pt>
                <c:pt idx="62">
                  <c:v>59.127347635969883</c:v>
                </c:pt>
                <c:pt idx="63">
                  <c:v>59.127347635969883</c:v>
                </c:pt>
                <c:pt idx="64">
                  <c:v>59.127347635969883</c:v>
                </c:pt>
                <c:pt idx="65">
                  <c:v>59.127347635969883</c:v>
                </c:pt>
                <c:pt idx="66">
                  <c:v>59.127347635969883</c:v>
                </c:pt>
                <c:pt idx="67">
                  <c:v>59.127347635969883</c:v>
                </c:pt>
                <c:pt idx="68">
                  <c:v>59.127347635969883</c:v>
                </c:pt>
                <c:pt idx="69">
                  <c:v>59.127347635969883</c:v>
                </c:pt>
                <c:pt idx="70">
                  <c:v>59.127347635969883</c:v>
                </c:pt>
                <c:pt idx="71">
                  <c:v>59.127347635969883</c:v>
                </c:pt>
                <c:pt idx="72">
                  <c:v>59.127347635969883</c:v>
                </c:pt>
                <c:pt idx="73">
                  <c:v>59.127347635969883</c:v>
                </c:pt>
                <c:pt idx="74">
                  <c:v>59.127347635969883</c:v>
                </c:pt>
                <c:pt idx="75">
                  <c:v>59.127347635969883</c:v>
                </c:pt>
                <c:pt idx="76">
                  <c:v>59.127347635969883</c:v>
                </c:pt>
                <c:pt idx="77">
                  <c:v>59.127347635969883</c:v>
                </c:pt>
                <c:pt idx="78">
                  <c:v>59.127347635969883</c:v>
                </c:pt>
                <c:pt idx="79">
                  <c:v>59.127347635969883</c:v>
                </c:pt>
                <c:pt idx="80">
                  <c:v>59.127347635969883</c:v>
                </c:pt>
                <c:pt idx="81">
                  <c:v>59.127347635969883</c:v>
                </c:pt>
                <c:pt idx="82">
                  <c:v>59.127347635969883</c:v>
                </c:pt>
                <c:pt idx="83">
                  <c:v>59.127347635969883</c:v>
                </c:pt>
                <c:pt idx="84">
                  <c:v>59.127347635969883</c:v>
                </c:pt>
                <c:pt idx="85">
                  <c:v>59.127347635969883</c:v>
                </c:pt>
                <c:pt idx="86">
                  <c:v>59.127347635969883</c:v>
                </c:pt>
                <c:pt idx="87">
                  <c:v>59.127347635969883</c:v>
                </c:pt>
                <c:pt idx="88">
                  <c:v>59.127347635969883</c:v>
                </c:pt>
                <c:pt idx="89">
                  <c:v>59.127347635969883</c:v>
                </c:pt>
                <c:pt idx="90">
                  <c:v>59.127347635969883</c:v>
                </c:pt>
                <c:pt idx="91">
                  <c:v>59.127347635969883</c:v>
                </c:pt>
                <c:pt idx="92">
                  <c:v>59.127347635969883</c:v>
                </c:pt>
                <c:pt idx="93">
                  <c:v>59.127347635969883</c:v>
                </c:pt>
                <c:pt idx="94">
                  <c:v>59.127347635969883</c:v>
                </c:pt>
                <c:pt idx="95">
                  <c:v>59.127347635969883</c:v>
                </c:pt>
                <c:pt idx="96">
                  <c:v>59.127347635969883</c:v>
                </c:pt>
                <c:pt idx="97">
                  <c:v>59.127347635969883</c:v>
                </c:pt>
                <c:pt idx="98">
                  <c:v>59.127347635969883</c:v>
                </c:pt>
                <c:pt idx="99">
                  <c:v>59.127347635969883</c:v>
                </c:pt>
                <c:pt idx="100">
                  <c:v>59.127347635969883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8-4B4A-9F9A-3B5FC14121C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ferry!$F$134:$F$234</c:f>
              <c:numCache>
                <c:formatCode>[$-F400]h:mm:ss\ AM/PM</c:formatCode>
                <c:ptCount val="101"/>
                <c:pt idx="0">
                  <c:v>9.0277777777777776E-2</c:v>
                </c:pt>
                <c:pt idx="1">
                  <c:v>9.2361111111111116E-2</c:v>
                </c:pt>
                <c:pt idx="2">
                  <c:v>9.4444444444444442E-2</c:v>
                </c:pt>
                <c:pt idx="3">
                  <c:v>9.6527777777777796E-2</c:v>
                </c:pt>
                <c:pt idx="4">
                  <c:v>9.8611111111111094E-2</c:v>
                </c:pt>
                <c:pt idx="5">
                  <c:v>0.100694444444444</c:v>
                </c:pt>
                <c:pt idx="6">
                  <c:v>0.102777777777778</c:v>
                </c:pt>
                <c:pt idx="7">
                  <c:v>0.104861111111111</c:v>
                </c:pt>
                <c:pt idx="8">
                  <c:v>0.106944444444444</c:v>
                </c:pt>
                <c:pt idx="9">
                  <c:v>0.109027777777778</c:v>
                </c:pt>
                <c:pt idx="10">
                  <c:v>0.11111111111111099</c:v>
                </c:pt>
                <c:pt idx="11">
                  <c:v>0.113194444444444</c:v>
                </c:pt>
                <c:pt idx="12">
                  <c:v>0.11527777777777801</c:v>
                </c:pt>
                <c:pt idx="13">
                  <c:v>0.117361111111111</c:v>
                </c:pt>
                <c:pt idx="14">
                  <c:v>0.11944444444444501</c:v>
                </c:pt>
                <c:pt idx="15">
                  <c:v>0.121527777777778</c:v>
                </c:pt>
                <c:pt idx="16">
                  <c:v>0.12361111111111101</c:v>
                </c:pt>
                <c:pt idx="17">
                  <c:v>0.125694444444445</c:v>
                </c:pt>
                <c:pt idx="18">
                  <c:v>0.12777777777777799</c:v>
                </c:pt>
                <c:pt idx="19">
                  <c:v>0.12986111111111101</c:v>
                </c:pt>
                <c:pt idx="20">
                  <c:v>0.131944444444445</c:v>
                </c:pt>
                <c:pt idx="21">
                  <c:v>0.134027777777778</c:v>
                </c:pt>
                <c:pt idx="22">
                  <c:v>0.13611111111111099</c:v>
                </c:pt>
                <c:pt idx="23">
                  <c:v>0.13819444444444501</c:v>
                </c:pt>
                <c:pt idx="24">
                  <c:v>0.140277777777778</c:v>
                </c:pt>
                <c:pt idx="25">
                  <c:v>0.14236111111111099</c:v>
                </c:pt>
                <c:pt idx="26">
                  <c:v>0.14444444444444501</c:v>
                </c:pt>
                <c:pt idx="27">
                  <c:v>0.14652777777777801</c:v>
                </c:pt>
                <c:pt idx="28">
                  <c:v>0.148611111111111</c:v>
                </c:pt>
                <c:pt idx="29">
                  <c:v>0.15069444444444499</c:v>
                </c:pt>
                <c:pt idx="30">
                  <c:v>0.15277777777777801</c:v>
                </c:pt>
                <c:pt idx="31">
                  <c:v>0.15486111111111101</c:v>
                </c:pt>
                <c:pt idx="32">
                  <c:v>0.156944444444445</c:v>
                </c:pt>
                <c:pt idx="33">
                  <c:v>0.15902777777777799</c:v>
                </c:pt>
                <c:pt idx="34">
                  <c:v>0.16111111111111101</c:v>
                </c:pt>
                <c:pt idx="35">
                  <c:v>0.163194444444445</c:v>
                </c:pt>
                <c:pt idx="36">
                  <c:v>0.165277777777778</c:v>
                </c:pt>
                <c:pt idx="37">
                  <c:v>0.16736111111111099</c:v>
                </c:pt>
                <c:pt idx="38">
                  <c:v>0.16944444444444501</c:v>
                </c:pt>
                <c:pt idx="39">
                  <c:v>0.171527777777778</c:v>
                </c:pt>
                <c:pt idx="40">
                  <c:v>0.17361111111111099</c:v>
                </c:pt>
                <c:pt idx="41">
                  <c:v>0.17569444444444501</c:v>
                </c:pt>
                <c:pt idx="42">
                  <c:v>0.17777777777777801</c:v>
                </c:pt>
                <c:pt idx="43">
                  <c:v>0.179861111111111</c:v>
                </c:pt>
                <c:pt idx="44">
                  <c:v>0.18194444444444499</c:v>
                </c:pt>
                <c:pt idx="45">
                  <c:v>0.18402777777777801</c:v>
                </c:pt>
                <c:pt idx="46">
                  <c:v>0.18611111111111101</c:v>
                </c:pt>
                <c:pt idx="47">
                  <c:v>0.188194444444445</c:v>
                </c:pt>
                <c:pt idx="48">
                  <c:v>0.19027777777777799</c:v>
                </c:pt>
                <c:pt idx="49">
                  <c:v>0.19236111111111201</c:v>
                </c:pt>
                <c:pt idx="50">
                  <c:v>0.194444444444445</c:v>
                </c:pt>
                <c:pt idx="51">
                  <c:v>0.196527777777778</c:v>
                </c:pt>
                <c:pt idx="52">
                  <c:v>0.19861111111111199</c:v>
                </c:pt>
                <c:pt idx="53">
                  <c:v>0.20069444444444501</c:v>
                </c:pt>
                <c:pt idx="54">
                  <c:v>0.202777777777778</c:v>
                </c:pt>
                <c:pt idx="55">
                  <c:v>0.20486111111111199</c:v>
                </c:pt>
                <c:pt idx="56">
                  <c:v>0.20694444444444501</c:v>
                </c:pt>
                <c:pt idx="57">
                  <c:v>0.20902777777777801</c:v>
                </c:pt>
                <c:pt idx="58">
                  <c:v>0.211111111111112</c:v>
                </c:pt>
                <c:pt idx="59">
                  <c:v>0.21319444444444499</c:v>
                </c:pt>
                <c:pt idx="60">
                  <c:v>0.21527777777777801</c:v>
                </c:pt>
                <c:pt idx="61">
                  <c:v>0.217361111111112</c:v>
                </c:pt>
                <c:pt idx="62">
                  <c:v>0.219444444444445</c:v>
                </c:pt>
                <c:pt idx="63">
                  <c:v>0.22152777777777799</c:v>
                </c:pt>
                <c:pt idx="64">
                  <c:v>0.22361111111111201</c:v>
                </c:pt>
                <c:pt idx="65">
                  <c:v>0.225694444444445</c:v>
                </c:pt>
                <c:pt idx="66">
                  <c:v>0.227777777777778</c:v>
                </c:pt>
                <c:pt idx="67">
                  <c:v>0.22986111111111199</c:v>
                </c:pt>
                <c:pt idx="68">
                  <c:v>0.23194444444444501</c:v>
                </c:pt>
                <c:pt idx="69">
                  <c:v>0.234027777777778</c:v>
                </c:pt>
                <c:pt idx="70">
                  <c:v>0.23611111111111199</c:v>
                </c:pt>
                <c:pt idx="71">
                  <c:v>0.23819444444444501</c:v>
                </c:pt>
                <c:pt idx="72">
                  <c:v>0.24027777777777801</c:v>
                </c:pt>
                <c:pt idx="73">
                  <c:v>0.242361111111112</c:v>
                </c:pt>
                <c:pt idx="74">
                  <c:v>0.24444444444444499</c:v>
                </c:pt>
                <c:pt idx="75">
                  <c:v>0.24652777777777801</c:v>
                </c:pt>
                <c:pt idx="76">
                  <c:v>0.248611111111112</c:v>
                </c:pt>
                <c:pt idx="77">
                  <c:v>0.250694444444445</c:v>
                </c:pt>
                <c:pt idx="78">
                  <c:v>0.25277777777777899</c:v>
                </c:pt>
                <c:pt idx="79">
                  <c:v>0.25486111111111198</c:v>
                </c:pt>
                <c:pt idx="80">
                  <c:v>0.25694444444444497</c:v>
                </c:pt>
                <c:pt idx="81">
                  <c:v>0.25902777777777902</c:v>
                </c:pt>
                <c:pt idx="82">
                  <c:v>0.26111111111111202</c:v>
                </c:pt>
                <c:pt idx="83">
                  <c:v>0.26319444444444501</c:v>
                </c:pt>
                <c:pt idx="84">
                  <c:v>0.265277777777779</c:v>
                </c:pt>
                <c:pt idx="85">
                  <c:v>0.26736111111111199</c:v>
                </c:pt>
                <c:pt idx="86">
                  <c:v>0.26944444444444499</c:v>
                </c:pt>
                <c:pt idx="87">
                  <c:v>0.27152777777777898</c:v>
                </c:pt>
                <c:pt idx="88">
                  <c:v>0.27361111111111203</c:v>
                </c:pt>
                <c:pt idx="89">
                  <c:v>0.27569444444444502</c:v>
                </c:pt>
                <c:pt idx="90">
                  <c:v>0.27777777777777901</c:v>
                </c:pt>
                <c:pt idx="91">
                  <c:v>0.279861111111112</c:v>
                </c:pt>
                <c:pt idx="92">
                  <c:v>0.281944444444445</c:v>
                </c:pt>
                <c:pt idx="93">
                  <c:v>0.28402777777777899</c:v>
                </c:pt>
                <c:pt idx="94">
                  <c:v>0.28611111111111198</c:v>
                </c:pt>
                <c:pt idx="95">
                  <c:v>0.28819444444444497</c:v>
                </c:pt>
                <c:pt idx="96">
                  <c:v>0.29027777777777902</c:v>
                </c:pt>
                <c:pt idx="97">
                  <c:v>0.29236111111111202</c:v>
                </c:pt>
                <c:pt idx="98">
                  <c:v>0.29444444444444501</c:v>
                </c:pt>
                <c:pt idx="99">
                  <c:v>0.296527777777779</c:v>
                </c:pt>
                <c:pt idx="100">
                  <c:v>0.29861111111111199</c:v>
                </c:pt>
              </c:numCache>
            </c:numRef>
          </c:cat>
          <c:val>
            <c:numRef>
              <c:f>ferry!$S$134:$S$234</c:f>
              <c:numCache>
                <c:formatCode>0.000</c:formatCode>
                <c:ptCount val="101"/>
                <c:pt idx="0">
                  <c:v>67.425922742772684</c:v>
                </c:pt>
                <c:pt idx="1">
                  <c:v>67.425922742772684</c:v>
                </c:pt>
                <c:pt idx="2">
                  <c:v>67.425922742772684</c:v>
                </c:pt>
                <c:pt idx="3">
                  <c:v>67.425922742772684</c:v>
                </c:pt>
                <c:pt idx="4">
                  <c:v>67.425922742772684</c:v>
                </c:pt>
                <c:pt idx="5">
                  <c:v>67.425922742772684</c:v>
                </c:pt>
                <c:pt idx="6">
                  <c:v>67.425922742772684</c:v>
                </c:pt>
                <c:pt idx="7">
                  <c:v>67.425922742772684</c:v>
                </c:pt>
                <c:pt idx="8">
                  <c:v>67.425922742772684</c:v>
                </c:pt>
                <c:pt idx="9">
                  <c:v>67.425922742772684</c:v>
                </c:pt>
                <c:pt idx="10">
                  <c:v>67.425922742772684</c:v>
                </c:pt>
                <c:pt idx="11">
                  <c:v>67.425922742772684</c:v>
                </c:pt>
                <c:pt idx="12">
                  <c:v>67.425922742772684</c:v>
                </c:pt>
                <c:pt idx="13">
                  <c:v>67.425922742772684</c:v>
                </c:pt>
                <c:pt idx="14">
                  <c:v>67.425922742772684</c:v>
                </c:pt>
                <c:pt idx="15">
                  <c:v>67.425922742772684</c:v>
                </c:pt>
                <c:pt idx="16">
                  <c:v>67.425922742772684</c:v>
                </c:pt>
                <c:pt idx="17">
                  <c:v>67.425922742772684</c:v>
                </c:pt>
                <c:pt idx="18">
                  <c:v>67.425922742772684</c:v>
                </c:pt>
                <c:pt idx="19">
                  <c:v>67.425922742772684</c:v>
                </c:pt>
                <c:pt idx="20">
                  <c:v>67.425922742772684</c:v>
                </c:pt>
                <c:pt idx="21">
                  <c:v>67.425922742772684</c:v>
                </c:pt>
                <c:pt idx="22">
                  <c:v>67.425922742772684</c:v>
                </c:pt>
                <c:pt idx="23">
                  <c:v>67.425922742772684</c:v>
                </c:pt>
                <c:pt idx="24">
                  <c:v>67.425922742772684</c:v>
                </c:pt>
                <c:pt idx="25">
                  <c:v>67.425922742772684</c:v>
                </c:pt>
                <c:pt idx="26">
                  <c:v>67.425922742772684</c:v>
                </c:pt>
                <c:pt idx="27">
                  <c:v>67.425922742772684</c:v>
                </c:pt>
                <c:pt idx="28">
                  <c:v>67.425922742772684</c:v>
                </c:pt>
                <c:pt idx="29">
                  <c:v>67.425922742772684</c:v>
                </c:pt>
                <c:pt idx="30">
                  <c:v>67.425922742772684</c:v>
                </c:pt>
                <c:pt idx="31">
                  <c:v>67.425922742772684</c:v>
                </c:pt>
                <c:pt idx="32">
                  <c:v>67.425922742772684</c:v>
                </c:pt>
                <c:pt idx="33">
                  <c:v>67.425922742772684</c:v>
                </c:pt>
                <c:pt idx="34">
                  <c:v>67.425922742772684</c:v>
                </c:pt>
                <c:pt idx="35">
                  <c:v>67.425922742772684</c:v>
                </c:pt>
                <c:pt idx="36">
                  <c:v>67.425922742772684</c:v>
                </c:pt>
                <c:pt idx="37">
                  <c:v>67.425922742772684</c:v>
                </c:pt>
                <c:pt idx="38">
                  <c:v>67.425922742772684</c:v>
                </c:pt>
                <c:pt idx="39">
                  <c:v>67.425922742772684</c:v>
                </c:pt>
                <c:pt idx="40">
                  <c:v>67.425922742772684</c:v>
                </c:pt>
                <c:pt idx="41">
                  <c:v>67.425922742772684</c:v>
                </c:pt>
                <c:pt idx="42">
                  <c:v>67.425922742772684</c:v>
                </c:pt>
                <c:pt idx="43">
                  <c:v>67.425922742772684</c:v>
                </c:pt>
                <c:pt idx="44">
                  <c:v>67.425922742772684</c:v>
                </c:pt>
                <c:pt idx="45">
                  <c:v>67.425922742772684</c:v>
                </c:pt>
                <c:pt idx="46">
                  <c:v>67.425922742772684</c:v>
                </c:pt>
                <c:pt idx="47">
                  <c:v>67.425922742772684</c:v>
                </c:pt>
                <c:pt idx="48">
                  <c:v>67.425922742772684</c:v>
                </c:pt>
                <c:pt idx="49">
                  <c:v>67.425922742772684</c:v>
                </c:pt>
                <c:pt idx="50">
                  <c:v>67.425922742772684</c:v>
                </c:pt>
                <c:pt idx="51">
                  <c:v>67.425922742772684</c:v>
                </c:pt>
                <c:pt idx="52">
                  <c:v>67.425922742772684</c:v>
                </c:pt>
                <c:pt idx="53">
                  <c:v>67.425922742772684</c:v>
                </c:pt>
                <c:pt idx="54">
                  <c:v>67.425922742772684</c:v>
                </c:pt>
                <c:pt idx="55">
                  <c:v>67.425922742772684</c:v>
                </c:pt>
                <c:pt idx="56">
                  <c:v>67.425922742772684</c:v>
                </c:pt>
                <c:pt idx="57">
                  <c:v>67.425922742772684</c:v>
                </c:pt>
                <c:pt idx="58">
                  <c:v>67.425922742772684</c:v>
                </c:pt>
                <c:pt idx="59">
                  <c:v>67.425922742772684</c:v>
                </c:pt>
                <c:pt idx="60">
                  <c:v>67.425922742772684</c:v>
                </c:pt>
                <c:pt idx="61">
                  <c:v>67.425922742772684</c:v>
                </c:pt>
                <c:pt idx="62">
                  <c:v>67.425922742772684</c:v>
                </c:pt>
                <c:pt idx="63">
                  <c:v>67.425922742772684</c:v>
                </c:pt>
                <c:pt idx="64">
                  <c:v>67.425922742772684</c:v>
                </c:pt>
                <c:pt idx="65">
                  <c:v>67.425922742772684</c:v>
                </c:pt>
                <c:pt idx="66">
                  <c:v>67.425922742772684</c:v>
                </c:pt>
                <c:pt idx="67">
                  <c:v>67.425922742772684</c:v>
                </c:pt>
                <c:pt idx="68">
                  <c:v>67.425922742772684</c:v>
                </c:pt>
                <c:pt idx="69">
                  <c:v>67.425922742772684</c:v>
                </c:pt>
                <c:pt idx="70">
                  <c:v>67.425922742772684</c:v>
                </c:pt>
                <c:pt idx="71">
                  <c:v>67.425922742772684</c:v>
                </c:pt>
                <c:pt idx="72">
                  <c:v>67.425922742772684</c:v>
                </c:pt>
                <c:pt idx="73">
                  <c:v>67.425922742772684</c:v>
                </c:pt>
                <c:pt idx="74">
                  <c:v>67.425922742772684</c:v>
                </c:pt>
                <c:pt idx="75">
                  <c:v>67.425922742772684</c:v>
                </c:pt>
                <c:pt idx="76">
                  <c:v>67.425922742772684</c:v>
                </c:pt>
                <c:pt idx="77">
                  <c:v>67.425922742772684</c:v>
                </c:pt>
                <c:pt idx="78">
                  <c:v>67.425922742772684</c:v>
                </c:pt>
                <c:pt idx="79">
                  <c:v>67.425922742772684</c:v>
                </c:pt>
                <c:pt idx="80">
                  <c:v>67.425922742772684</c:v>
                </c:pt>
                <c:pt idx="81">
                  <c:v>67.425922742772684</c:v>
                </c:pt>
                <c:pt idx="82">
                  <c:v>67.425922742772684</c:v>
                </c:pt>
                <c:pt idx="83">
                  <c:v>67.425922742772684</c:v>
                </c:pt>
                <c:pt idx="84">
                  <c:v>67.425922742772684</c:v>
                </c:pt>
                <c:pt idx="85">
                  <c:v>67.425922742772684</c:v>
                </c:pt>
                <c:pt idx="86">
                  <c:v>67.425922742772684</c:v>
                </c:pt>
                <c:pt idx="87">
                  <c:v>67.425922742772684</c:v>
                </c:pt>
                <c:pt idx="88">
                  <c:v>67.425922742772684</c:v>
                </c:pt>
                <c:pt idx="89">
                  <c:v>67.425922742772684</c:v>
                </c:pt>
                <c:pt idx="90">
                  <c:v>67.425922742772684</c:v>
                </c:pt>
                <c:pt idx="91">
                  <c:v>67.425922742772684</c:v>
                </c:pt>
                <c:pt idx="92">
                  <c:v>67.425922742772684</c:v>
                </c:pt>
                <c:pt idx="93">
                  <c:v>67.425922742772684</c:v>
                </c:pt>
                <c:pt idx="94">
                  <c:v>67.425922742772684</c:v>
                </c:pt>
                <c:pt idx="95">
                  <c:v>67.425922742772684</c:v>
                </c:pt>
                <c:pt idx="96">
                  <c:v>67.425922742772684</c:v>
                </c:pt>
                <c:pt idx="97">
                  <c:v>67.425922742772684</c:v>
                </c:pt>
                <c:pt idx="98">
                  <c:v>67.425922742772684</c:v>
                </c:pt>
                <c:pt idx="99">
                  <c:v>67.425922742772684</c:v>
                </c:pt>
                <c:pt idx="100">
                  <c:v>67.425922742772684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8-4B4A-9F9A-3B5FC141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382624"/>
        <c:axId val="629383608"/>
      </c:lineChart>
      <c:catAx>
        <c:axId val="62938262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9383608"/>
        <c:crosses val="autoZero"/>
        <c:auto val="1"/>
        <c:lblAlgn val="ctr"/>
        <c:lblOffset val="100"/>
        <c:noMultiLvlLbl val="0"/>
      </c:catAx>
      <c:valAx>
        <c:axId val="6293836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93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ferry!$O$30:$O$234</c:f>
              <c:numCache>
                <c:formatCode>0.000</c:formatCode>
                <c:ptCount val="205"/>
                <c:pt idx="0">
                  <c:v>39.418231757313258</c:v>
                </c:pt>
                <c:pt idx="1">
                  <c:v>39.418231757313258</c:v>
                </c:pt>
                <c:pt idx="2">
                  <c:v>39.418231757313258</c:v>
                </c:pt>
                <c:pt idx="3">
                  <c:v>39.418231757313258</c:v>
                </c:pt>
                <c:pt idx="4">
                  <c:v>39.418231757313258</c:v>
                </c:pt>
                <c:pt idx="5">
                  <c:v>39.418231757313258</c:v>
                </c:pt>
                <c:pt idx="6">
                  <c:v>39.418231757313258</c:v>
                </c:pt>
                <c:pt idx="7">
                  <c:v>39.418231757313258</c:v>
                </c:pt>
                <c:pt idx="8">
                  <c:v>39.418231757313258</c:v>
                </c:pt>
                <c:pt idx="9">
                  <c:v>39.418231757313258</c:v>
                </c:pt>
                <c:pt idx="10">
                  <c:v>39.418231757313258</c:v>
                </c:pt>
                <c:pt idx="11">
                  <c:v>39.418231757313258</c:v>
                </c:pt>
                <c:pt idx="12">
                  <c:v>39.418231757313258</c:v>
                </c:pt>
                <c:pt idx="13">
                  <c:v>39.418231757313258</c:v>
                </c:pt>
                <c:pt idx="14">
                  <c:v>39.418231757313258</c:v>
                </c:pt>
                <c:pt idx="15">
                  <c:v>39.418231757313258</c:v>
                </c:pt>
                <c:pt idx="16">
                  <c:v>39.418231757313258</c:v>
                </c:pt>
                <c:pt idx="17">
                  <c:v>39.418231757313258</c:v>
                </c:pt>
                <c:pt idx="18">
                  <c:v>39.418231757313258</c:v>
                </c:pt>
                <c:pt idx="19">
                  <c:v>39.418231757313258</c:v>
                </c:pt>
                <c:pt idx="20">
                  <c:v>39.418231757313258</c:v>
                </c:pt>
                <c:pt idx="21">
                  <c:v>39.418231757313258</c:v>
                </c:pt>
                <c:pt idx="22">
                  <c:v>39.418231757313258</c:v>
                </c:pt>
                <c:pt idx="23">
                  <c:v>39.418231757313258</c:v>
                </c:pt>
                <c:pt idx="24">
                  <c:v>39.418231757313258</c:v>
                </c:pt>
                <c:pt idx="25">
                  <c:v>39.418231757313258</c:v>
                </c:pt>
                <c:pt idx="26">
                  <c:v>39.418231757313258</c:v>
                </c:pt>
                <c:pt idx="27">
                  <c:v>39.418231757313258</c:v>
                </c:pt>
                <c:pt idx="28">
                  <c:v>39.418231757313258</c:v>
                </c:pt>
                <c:pt idx="29">
                  <c:v>39.418231757313258</c:v>
                </c:pt>
                <c:pt idx="30">
                  <c:v>39.418231757313258</c:v>
                </c:pt>
                <c:pt idx="31">
                  <c:v>39.418231757313258</c:v>
                </c:pt>
                <c:pt idx="32">
                  <c:v>39.418231757313258</c:v>
                </c:pt>
                <c:pt idx="33">
                  <c:v>39.418231757313258</c:v>
                </c:pt>
                <c:pt idx="34">
                  <c:v>39.418231757313258</c:v>
                </c:pt>
                <c:pt idx="35">
                  <c:v>39.418231757313258</c:v>
                </c:pt>
                <c:pt idx="36">
                  <c:v>39.418231757313258</c:v>
                </c:pt>
                <c:pt idx="37">
                  <c:v>39.418231757313258</c:v>
                </c:pt>
                <c:pt idx="38">
                  <c:v>39.418231757313258</c:v>
                </c:pt>
                <c:pt idx="39">
                  <c:v>39.418231757313258</c:v>
                </c:pt>
                <c:pt idx="40">
                  <c:v>39.418231757313258</c:v>
                </c:pt>
                <c:pt idx="41">
                  <c:v>39.418231757313258</c:v>
                </c:pt>
                <c:pt idx="42">
                  <c:v>39.418231757313258</c:v>
                </c:pt>
                <c:pt idx="43">
                  <c:v>39.418231757313258</c:v>
                </c:pt>
                <c:pt idx="44">
                  <c:v>39.418231757313258</c:v>
                </c:pt>
                <c:pt idx="45">
                  <c:v>39.418231757313258</c:v>
                </c:pt>
                <c:pt idx="46">
                  <c:v>39.418231757313258</c:v>
                </c:pt>
                <c:pt idx="47">
                  <c:v>39.418231757313258</c:v>
                </c:pt>
                <c:pt idx="48">
                  <c:v>39.418231757313258</c:v>
                </c:pt>
                <c:pt idx="49">
                  <c:v>39.418231757313258</c:v>
                </c:pt>
                <c:pt idx="50">
                  <c:v>39.418231757313258</c:v>
                </c:pt>
                <c:pt idx="51">
                  <c:v>39.418231757313258</c:v>
                </c:pt>
                <c:pt idx="52">
                  <c:v>39.418231757313258</c:v>
                </c:pt>
                <c:pt idx="53">
                  <c:v>39.418231757313258</c:v>
                </c:pt>
                <c:pt idx="54">
                  <c:v>39.418231757313258</c:v>
                </c:pt>
                <c:pt idx="55">
                  <c:v>39.418231757313258</c:v>
                </c:pt>
                <c:pt idx="56">
                  <c:v>39.418231757313258</c:v>
                </c:pt>
                <c:pt idx="57">
                  <c:v>39.418231757313258</c:v>
                </c:pt>
                <c:pt idx="58">
                  <c:v>39.418231757313258</c:v>
                </c:pt>
                <c:pt idx="59">
                  <c:v>39.418231757313258</c:v>
                </c:pt>
                <c:pt idx="60">
                  <c:v>39.418231757313258</c:v>
                </c:pt>
                <c:pt idx="61">
                  <c:v>39.418231757313258</c:v>
                </c:pt>
                <c:pt idx="62">
                  <c:v>39.418231757313258</c:v>
                </c:pt>
                <c:pt idx="63">
                  <c:v>39.418231757313258</c:v>
                </c:pt>
                <c:pt idx="64">
                  <c:v>39.418231757313258</c:v>
                </c:pt>
                <c:pt idx="65">
                  <c:v>39.418231757313258</c:v>
                </c:pt>
                <c:pt idx="66">
                  <c:v>39.418231757313258</c:v>
                </c:pt>
                <c:pt idx="67">
                  <c:v>39.418231757313258</c:v>
                </c:pt>
                <c:pt idx="68">
                  <c:v>39.418231757313258</c:v>
                </c:pt>
                <c:pt idx="69">
                  <c:v>39.418231757313258</c:v>
                </c:pt>
                <c:pt idx="70">
                  <c:v>39.418231757313258</c:v>
                </c:pt>
                <c:pt idx="71">
                  <c:v>39.418231757313258</c:v>
                </c:pt>
                <c:pt idx="72">
                  <c:v>39.418231757313258</c:v>
                </c:pt>
                <c:pt idx="73">
                  <c:v>39.418231757313258</c:v>
                </c:pt>
                <c:pt idx="74">
                  <c:v>39.418231757313258</c:v>
                </c:pt>
                <c:pt idx="75">
                  <c:v>39.418231757313258</c:v>
                </c:pt>
                <c:pt idx="76">
                  <c:v>39.418231757313258</c:v>
                </c:pt>
                <c:pt idx="77">
                  <c:v>39.418231757313258</c:v>
                </c:pt>
                <c:pt idx="78">
                  <c:v>39.418231757313258</c:v>
                </c:pt>
                <c:pt idx="79">
                  <c:v>39.418231757313258</c:v>
                </c:pt>
                <c:pt idx="80">
                  <c:v>39.418231757313258</c:v>
                </c:pt>
                <c:pt idx="81">
                  <c:v>39.418231757313258</c:v>
                </c:pt>
                <c:pt idx="82">
                  <c:v>39.418231757313258</c:v>
                </c:pt>
                <c:pt idx="83">
                  <c:v>39.418231757313258</c:v>
                </c:pt>
                <c:pt idx="84">
                  <c:v>39.418231757313258</c:v>
                </c:pt>
                <c:pt idx="85">
                  <c:v>39.418231757313258</c:v>
                </c:pt>
                <c:pt idx="86">
                  <c:v>39.418231757313258</c:v>
                </c:pt>
                <c:pt idx="87">
                  <c:v>39.418231757313258</c:v>
                </c:pt>
                <c:pt idx="88">
                  <c:v>39.418231757313258</c:v>
                </c:pt>
                <c:pt idx="89">
                  <c:v>39.418231757313258</c:v>
                </c:pt>
                <c:pt idx="90">
                  <c:v>39.418231757313258</c:v>
                </c:pt>
                <c:pt idx="91">
                  <c:v>39.418231757313258</c:v>
                </c:pt>
                <c:pt idx="92">
                  <c:v>39.418231757313258</c:v>
                </c:pt>
                <c:pt idx="93">
                  <c:v>39.418231757313258</c:v>
                </c:pt>
                <c:pt idx="94">
                  <c:v>39.418231757313258</c:v>
                </c:pt>
                <c:pt idx="95">
                  <c:v>39.418231757313258</c:v>
                </c:pt>
                <c:pt idx="96">
                  <c:v>39.418231757313258</c:v>
                </c:pt>
                <c:pt idx="97">
                  <c:v>39.418231757313258</c:v>
                </c:pt>
                <c:pt idx="98">
                  <c:v>39.418231757313258</c:v>
                </c:pt>
                <c:pt idx="99">
                  <c:v>39.418231757313258</c:v>
                </c:pt>
                <c:pt idx="100">
                  <c:v>39.418231757313258</c:v>
                </c:pt>
                <c:pt idx="101">
                  <c:v>39.418231757313258</c:v>
                </c:pt>
                <c:pt idx="102">
                  <c:v>39.418231757313258</c:v>
                </c:pt>
                <c:pt idx="103">
                  <c:v>39.418231757313258</c:v>
                </c:pt>
                <c:pt idx="104">
                  <c:v>39.418231757313258</c:v>
                </c:pt>
                <c:pt idx="105">
                  <c:v>39.418231757313258</c:v>
                </c:pt>
                <c:pt idx="106">
                  <c:v>39.418231757313258</c:v>
                </c:pt>
                <c:pt idx="107">
                  <c:v>39.418231757313258</c:v>
                </c:pt>
                <c:pt idx="108">
                  <c:v>39.418231757313258</c:v>
                </c:pt>
                <c:pt idx="109">
                  <c:v>39.418231757313258</c:v>
                </c:pt>
                <c:pt idx="110">
                  <c:v>39.418231757313258</c:v>
                </c:pt>
                <c:pt idx="111">
                  <c:v>39.418231757313258</c:v>
                </c:pt>
                <c:pt idx="112">
                  <c:v>39.418231757313258</c:v>
                </c:pt>
                <c:pt idx="113">
                  <c:v>39.418231757313258</c:v>
                </c:pt>
                <c:pt idx="114">
                  <c:v>39.418231757313258</c:v>
                </c:pt>
                <c:pt idx="115">
                  <c:v>39.418231757313258</c:v>
                </c:pt>
                <c:pt idx="116">
                  <c:v>39.418231757313258</c:v>
                </c:pt>
                <c:pt idx="117">
                  <c:v>39.418231757313258</c:v>
                </c:pt>
                <c:pt idx="118">
                  <c:v>39.418231757313258</c:v>
                </c:pt>
                <c:pt idx="119">
                  <c:v>39.418231757313258</c:v>
                </c:pt>
                <c:pt idx="120">
                  <c:v>39.418231757313258</c:v>
                </c:pt>
                <c:pt idx="121">
                  <c:v>39.418231757313258</c:v>
                </c:pt>
                <c:pt idx="122">
                  <c:v>39.418231757313258</c:v>
                </c:pt>
                <c:pt idx="123">
                  <c:v>39.418231757313258</c:v>
                </c:pt>
                <c:pt idx="124">
                  <c:v>39.418231757313258</c:v>
                </c:pt>
                <c:pt idx="125">
                  <c:v>39.418231757313258</c:v>
                </c:pt>
                <c:pt idx="126">
                  <c:v>39.418231757313258</c:v>
                </c:pt>
                <c:pt idx="127">
                  <c:v>39.418231757313258</c:v>
                </c:pt>
                <c:pt idx="128">
                  <c:v>39.418231757313258</c:v>
                </c:pt>
                <c:pt idx="129">
                  <c:v>39.418231757313258</c:v>
                </c:pt>
                <c:pt idx="130">
                  <c:v>39.418231757313258</c:v>
                </c:pt>
                <c:pt idx="131">
                  <c:v>39.418231757313258</c:v>
                </c:pt>
                <c:pt idx="132">
                  <c:v>39.418231757313258</c:v>
                </c:pt>
                <c:pt idx="133">
                  <c:v>39.418231757313258</c:v>
                </c:pt>
                <c:pt idx="134">
                  <c:v>39.418231757313258</c:v>
                </c:pt>
                <c:pt idx="135">
                  <c:v>39.418231757313258</c:v>
                </c:pt>
                <c:pt idx="136">
                  <c:v>39.418231757313258</c:v>
                </c:pt>
                <c:pt idx="137">
                  <c:v>39.418231757313258</c:v>
                </c:pt>
                <c:pt idx="138">
                  <c:v>39.418231757313258</c:v>
                </c:pt>
                <c:pt idx="139">
                  <c:v>39.418231757313258</c:v>
                </c:pt>
                <c:pt idx="140">
                  <c:v>39.418231757313258</c:v>
                </c:pt>
                <c:pt idx="141">
                  <c:v>39.418231757313258</c:v>
                </c:pt>
                <c:pt idx="142">
                  <c:v>39.418231757313258</c:v>
                </c:pt>
                <c:pt idx="143">
                  <c:v>39.418231757313258</c:v>
                </c:pt>
                <c:pt idx="144">
                  <c:v>39.418231757313258</c:v>
                </c:pt>
                <c:pt idx="145">
                  <c:v>39.418231757313258</c:v>
                </c:pt>
                <c:pt idx="146">
                  <c:v>39.418231757313258</c:v>
                </c:pt>
                <c:pt idx="147">
                  <c:v>39.418231757313258</c:v>
                </c:pt>
                <c:pt idx="148">
                  <c:v>39.418231757313258</c:v>
                </c:pt>
                <c:pt idx="149">
                  <c:v>39.418231757313258</c:v>
                </c:pt>
                <c:pt idx="150">
                  <c:v>39.418231757313258</c:v>
                </c:pt>
                <c:pt idx="151">
                  <c:v>39.418231757313258</c:v>
                </c:pt>
                <c:pt idx="152">
                  <c:v>39.418231757313258</c:v>
                </c:pt>
                <c:pt idx="153">
                  <c:v>39.418231757313258</c:v>
                </c:pt>
                <c:pt idx="154">
                  <c:v>39.418231757313258</c:v>
                </c:pt>
                <c:pt idx="155">
                  <c:v>39.418231757313258</c:v>
                </c:pt>
                <c:pt idx="156">
                  <c:v>39.418231757313258</c:v>
                </c:pt>
                <c:pt idx="157">
                  <c:v>39.418231757313258</c:v>
                </c:pt>
                <c:pt idx="158">
                  <c:v>39.418231757313258</c:v>
                </c:pt>
                <c:pt idx="159">
                  <c:v>39.418231757313258</c:v>
                </c:pt>
                <c:pt idx="160">
                  <c:v>39.418231757313258</c:v>
                </c:pt>
                <c:pt idx="161">
                  <c:v>39.418231757313258</c:v>
                </c:pt>
                <c:pt idx="162">
                  <c:v>39.418231757313258</c:v>
                </c:pt>
                <c:pt idx="163">
                  <c:v>39.418231757313258</c:v>
                </c:pt>
                <c:pt idx="164">
                  <c:v>39.418231757313258</c:v>
                </c:pt>
                <c:pt idx="165">
                  <c:v>39.418231757313258</c:v>
                </c:pt>
                <c:pt idx="166">
                  <c:v>39.418231757313258</c:v>
                </c:pt>
                <c:pt idx="167">
                  <c:v>39.418231757313258</c:v>
                </c:pt>
                <c:pt idx="168">
                  <c:v>39.418231757313258</c:v>
                </c:pt>
                <c:pt idx="169">
                  <c:v>39.418231757313258</c:v>
                </c:pt>
                <c:pt idx="170">
                  <c:v>39.418231757313258</c:v>
                </c:pt>
                <c:pt idx="171">
                  <c:v>39.418231757313258</c:v>
                </c:pt>
                <c:pt idx="172">
                  <c:v>39.418231757313258</c:v>
                </c:pt>
                <c:pt idx="173">
                  <c:v>39.418231757313258</c:v>
                </c:pt>
                <c:pt idx="174">
                  <c:v>39.418231757313258</c:v>
                </c:pt>
                <c:pt idx="175">
                  <c:v>39.418231757313258</c:v>
                </c:pt>
                <c:pt idx="176">
                  <c:v>39.418231757313258</c:v>
                </c:pt>
                <c:pt idx="177">
                  <c:v>39.418231757313258</c:v>
                </c:pt>
                <c:pt idx="178">
                  <c:v>39.418231757313258</c:v>
                </c:pt>
                <c:pt idx="179">
                  <c:v>39.418231757313258</c:v>
                </c:pt>
                <c:pt idx="180">
                  <c:v>39.418231757313258</c:v>
                </c:pt>
                <c:pt idx="181">
                  <c:v>39.418231757313258</c:v>
                </c:pt>
                <c:pt idx="182">
                  <c:v>39.418231757313258</c:v>
                </c:pt>
                <c:pt idx="183">
                  <c:v>39.418231757313258</c:v>
                </c:pt>
                <c:pt idx="184">
                  <c:v>39.418231757313258</c:v>
                </c:pt>
                <c:pt idx="185">
                  <c:v>39.418231757313258</c:v>
                </c:pt>
                <c:pt idx="186">
                  <c:v>39.418231757313258</c:v>
                </c:pt>
                <c:pt idx="187">
                  <c:v>39.418231757313258</c:v>
                </c:pt>
                <c:pt idx="188">
                  <c:v>39.418231757313258</c:v>
                </c:pt>
                <c:pt idx="189">
                  <c:v>39.418231757313258</c:v>
                </c:pt>
                <c:pt idx="190">
                  <c:v>39.418231757313258</c:v>
                </c:pt>
                <c:pt idx="191">
                  <c:v>39.418231757313258</c:v>
                </c:pt>
                <c:pt idx="192">
                  <c:v>39.418231757313258</c:v>
                </c:pt>
                <c:pt idx="193">
                  <c:v>39.418231757313258</c:v>
                </c:pt>
                <c:pt idx="194">
                  <c:v>39.418231757313258</c:v>
                </c:pt>
                <c:pt idx="195">
                  <c:v>39.418231757313258</c:v>
                </c:pt>
                <c:pt idx="196">
                  <c:v>39.418231757313258</c:v>
                </c:pt>
                <c:pt idx="197">
                  <c:v>39.418231757313258</c:v>
                </c:pt>
                <c:pt idx="198">
                  <c:v>39.418231757313258</c:v>
                </c:pt>
                <c:pt idx="199">
                  <c:v>39.418231757313258</c:v>
                </c:pt>
                <c:pt idx="200">
                  <c:v>39.418231757313258</c:v>
                </c:pt>
                <c:pt idx="201">
                  <c:v>39.418231757313258</c:v>
                </c:pt>
                <c:pt idx="202">
                  <c:v>39.418231757313258</c:v>
                </c:pt>
                <c:pt idx="203">
                  <c:v>39.418231757313258</c:v>
                </c:pt>
                <c:pt idx="204">
                  <c:v>39.418231757313258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9-4867-8F5D-E1038D0D42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ferry!$P$30:$P$234</c:f>
              <c:numCache>
                <c:formatCode>0.000</c:formatCode>
                <c:ptCount val="205"/>
                <c:pt idx="0">
                  <c:v>47.716806864116052</c:v>
                </c:pt>
                <c:pt idx="1">
                  <c:v>47.716806864116052</c:v>
                </c:pt>
                <c:pt idx="2">
                  <c:v>47.716806864116052</c:v>
                </c:pt>
                <c:pt idx="3">
                  <c:v>47.716806864116052</c:v>
                </c:pt>
                <c:pt idx="4">
                  <c:v>47.716806864116052</c:v>
                </c:pt>
                <c:pt idx="5">
                  <c:v>47.716806864116052</c:v>
                </c:pt>
                <c:pt idx="6">
                  <c:v>47.716806864116052</c:v>
                </c:pt>
                <c:pt idx="7">
                  <c:v>47.716806864116052</c:v>
                </c:pt>
                <c:pt idx="8">
                  <c:v>47.716806864116052</c:v>
                </c:pt>
                <c:pt idx="9">
                  <c:v>47.716806864116052</c:v>
                </c:pt>
                <c:pt idx="10">
                  <c:v>47.716806864116052</c:v>
                </c:pt>
                <c:pt idx="11">
                  <c:v>47.716806864116052</c:v>
                </c:pt>
                <c:pt idx="12">
                  <c:v>47.716806864116052</c:v>
                </c:pt>
                <c:pt idx="13">
                  <c:v>47.716806864116052</c:v>
                </c:pt>
                <c:pt idx="14">
                  <c:v>47.716806864116052</c:v>
                </c:pt>
                <c:pt idx="15">
                  <c:v>47.716806864116052</c:v>
                </c:pt>
                <c:pt idx="16">
                  <c:v>47.716806864116052</c:v>
                </c:pt>
                <c:pt idx="17">
                  <c:v>47.716806864116052</c:v>
                </c:pt>
                <c:pt idx="18">
                  <c:v>47.716806864116052</c:v>
                </c:pt>
                <c:pt idx="19">
                  <c:v>47.716806864116052</c:v>
                </c:pt>
                <c:pt idx="20">
                  <c:v>47.716806864116052</c:v>
                </c:pt>
                <c:pt idx="21">
                  <c:v>47.716806864116052</c:v>
                </c:pt>
                <c:pt idx="22">
                  <c:v>47.716806864116052</c:v>
                </c:pt>
                <c:pt idx="23">
                  <c:v>47.716806864116052</c:v>
                </c:pt>
                <c:pt idx="24">
                  <c:v>47.716806864116052</c:v>
                </c:pt>
                <c:pt idx="25">
                  <c:v>47.716806864116052</c:v>
                </c:pt>
                <c:pt idx="26">
                  <c:v>47.716806864116052</c:v>
                </c:pt>
                <c:pt idx="27">
                  <c:v>47.716806864116052</c:v>
                </c:pt>
                <c:pt idx="28">
                  <c:v>47.716806864116052</c:v>
                </c:pt>
                <c:pt idx="29">
                  <c:v>47.716806864116052</c:v>
                </c:pt>
                <c:pt idx="30">
                  <c:v>47.716806864116052</c:v>
                </c:pt>
                <c:pt idx="31">
                  <c:v>47.716806864116052</c:v>
                </c:pt>
                <c:pt idx="32">
                  <c:v>47.716806864116052</c:v>
                </c:pt>
                <c:pt idx="33">
                  <c:v>47.716806864116052</c:v>
                </c:pt>
                <c:pt idx="34">
                  <c:v>47.716806864116052</c:v>
                </c:pt>
                <c:pt idx="35">
                  <c:v>47.716806864116052</c:v>
                </c:pt>
                <c:pt idx="36">
                  <c:v>47.716806864116052</c:v>
                </c:pt>
                <c:pt idx="37">
                  <c:v>47.716806864116052</c:v>
                </c:pt>
                <c:pt idx="38">
                  <c:v>47.716806864116052</c:v>
                </c:pt>
                <c:pt idx="39">
                  <c:v>47.716806864116052</c:v>
                </c:pt>
                <c:pt idx="40">
                  <c:v>47.716806864116052</c:v>
                </c:pt>
                <c:pt idx="41">
                  <c:v>47.716806864116052</c:v>
                </c:pt>
                <c:pt idx="42">
                  <c:v>47.716806864116052</c:v>
                </c:pt>
                <c:pt idx="43">
                  <c:v>47.716806864116052</c:v>
                </c:pt>
                <c:pt idx="44">
                  <c:v>47.716806864116052</c:v>
                </c:pt>
                <c:pt idx="45">
                  <c:v>47.716806864116052</c:v>
                </c:pt>
                <c:pt idx="46">
                  <c:v>47.716806864116052</c:v>
                </c:pt>
                <c:pt idx="47">
                  <c:v>47.716806864116052</c:v>
                </c:pt>
                <c:pt idx="48">
                  <c:v>47.716806864116052</c:v>
                </c:pt>
                <c:pt idx="49">
                  <c:v>47.716806864116052</c:v>
                </c:pt>
                <c:pt idx="50">
                  <c:v>47.716806864116052</c:v>
                </c:pt>
                <c:pt idx="51">
                  <c:v>47.716806864116052</c:v>
                </c:pt>
                <c:pt idx="52">
                  <c:v>47.716806864116052</c:v>
                </c:pt>
                <c:pt idx="53">
                  <c:v>47.716806864116052</c:v>
                </c:pt>
                <c:pt idx="54">
                  <c:v>47.716806864116052</c:v>
                </c:pt>
                <c:pt idx="55">
                  <c:v>47.716806864116052</c:v>
                </c:pt>
                <c:pt idx="56">
                  <c:v>47.716806864116052</c:v>
                </c:pt>
                <c:pt idx="57">
                  <c:v>47.716806864116052</c:v>
                </c:pt>
                <c:pt idx="58">
                  <c:v>47.716806864116052</c:v>
                </c:pt>
                <c:pt idx="59">
                  <c:v>47.716806864116052</c:v>
                </c:pt>
                <c:pt idx="60">
                  <c:v>47.716806864116052</c:v>
                </c:pt>
                <c:pt idx="61">
                  <c:v>47.716806864116052</c:v>
                </c:pt>
                <c:pt idx="62">
                  <c:v>47.716806864116052</c:v>
                </c:pt>
                <c:pt idx="63">
                  <c:v>47.716806864116052</c:v>
                </c:pt>
                <c:pt idx="64">
                  <c:v>47.716806864116052</c:v>
                </c:pt>
                <c:pt idx="65">
                  <c:v>47.716806864116052</c:v>
                </c:pt>
                <c:pt idx="66">
                  <c:v>47.716806864116052</c:v>
                </c:pt>
                <c:pt idx="67">
                  <c:v>47.716806864116052</c:v>
                </c:pt>
                <c:pt idx="68">
                  <c:v>47.716806864116052</c:v>
                </c:pt>
                <c:pt idx="69">
                  <c:v>47.716806864116052</c:v>
                </c:pt>
                <c:pt idx="70">
                  <c:v>47.716806864116052</c:v>
                </c:pt>
                <c:pt idx="71">
                  <c:v>47.716806864116052</c:v>
                </c:pt>
                <c:pt idx="72">
                  <c:v>47.716806864116052</c:v>
                </c:pt>
                <c:pt idx="73">
                  <c:v>47.716806864116052</c:v>
                </c:pt>
                <c:pt idx="74">
                  <c:v>47.716806864116052</c:v>
                </c:pt>
                <c:pt idx="75">
                  <c:v>47.716806864116052</c:v>
                </c:pt>
                <c:pt idx="76">
                  <c:v>47.716806864116052</c:v>
                </c:pt>
                <c:pt idx="77">
                  <c:v>47.716806864116052</c:v>
                </c:pt>
                <c:pt idx="78">
                  <c:v>47.716806864116052</c:v>
                </c:pt>
                <c:pt idx="79">
                  <c:v>47.716806864116052</c:v>
                </c:pt>
                <c:pt idx="80">
                  <c:v>47.716806864116052</c:v>
                </c:pt>
                <c:pt idx="81">
                  <c:v>47.716806864116052</c:v>
                </c:pt>
                <c:pt idx="82">
                  <c:v>47.716806864116052</c:v>
                </c:pt>
                <c:pt idx="83">
                  <c:v>47.716806864116052</c:v>
                </c:pt>
                <c:pt idx="84">
                  <c:v>47.716806864116052</c:v>
                </c:pt>
                <c:pt idx="85">
                  <c:v>47.716806864116052</c:v>
                </c:pt>
                <c:pt idx="86">
                  <c:v>47.716806864116052</c:v>
                </c:pt>
                <c:pt idx="87">
                  <c:v>47.716806864116052</c:v>
                </c:pt>
                <c:pt idx="88">
                  <c:v>47.716806864116052</c:v>
                </c:pt>
                <c:pt idx="89">
                  <c:v>47.716806864116052</c:v>
                </c:pt>
                <c:pt idx="90">
                  <c:v>47.716806864116052</c:v>
                </c:pt>
                <c:pt idx="91">
                  <c:v>47.716806864116052</c:v>
                </c:pt>
                <c:pt idx="92">
                  <c:v>47.716806864116052</c:v>
                </c:pt>
                <c:pt idx="93">
                  <c:v>47.716806864116052</c:v>
                </c:pt>
                <c:pt idx="94">
                  <c:v>47.716806864116052</c:v>
                </c:pt>
                <c:pt idx="95">
                  <c:v>47.716806864116052</c:v>
                </c:pt>
                <c:pt idx="96">
                  <c:v>47.716806864116052</c:v>
                </c:pt>
                <c:pt idx="97">
                  <c:v>47.716806864116052</c:v>
                </c:pt>
                <c:pt idx="98">
                  <c:v>47.716806864116052</c:v>
                </c:pt>
                <c:pt idx="99">
                  <c:v>47.716806864116052</c:v>
                </c:pt>
                <c:pt idx="100">
                  <c:v>47.716806864116052</c:v>
                </c:pt>
                <c:pt idx="101">
                  <c:v>47.716806864116052</c:v>
                </c:pt>
                <c:pt idx="102">
                  <c:v>47.716806864116052</c:v>
                </c:pt>
                <c:pt idx="103">
                  <c:v>47.716806864116052</c:v>
                </c:pt>
                <c:pt idx="104">
                  <c:v>47.716806864116052</c:v>
                </c:pt>
                <c:pt idx="105">
                  <c:v>47.716806864116052</c:v>
                </c:pt>
                <c:pt idx="106">
                  <c:v>47.716806864116052</c:v>
                </c:pt>
                <c:pt idx="107">
                  <c:v>47.716806864116052</c:v>
                </c:pt>
                <c:pt idx="108">
                  <c:v>47.716806864116052</c:v>
                </c:pt>
                <c:pt idx="109">
                  <c:v>47.716806864116052</c:v>
                </c:pt>
                <c:pt idx="110">
                  <c:v>47.716806864116052</c:v>
                </c:pt>
                <c:pt idx="111">
                  <c:v>47.716806864116052</c:v>
                </c:pt>
                <c:pt idx="112">
                  <c:v>47.716806864116052</c:v>
                </c:pt>
                <c:pt idx="113">
                  <c:v>47.716806864116052</c:v>
                </c:pt>
                <c:pt idx="114">
                  <c:v>47.716806864116052</c:v>
                </c:pt>
                <c:pt idx="115">
                  <c:v>47.716806864116052</c:v>
                </c:pt>
                <c:pt idx="116">
                  <c:v>47.716806864116052</c:v>
                </c:pt>
                <c:pt idx="117">
                  <c:v>47.716806864116052</c:v>
                </c:pt>
                <c:pt idx="118">
                  <c:v>47.716806864116052</c:v>
                </c:pt>
                <c:pt idx="119">
                  <c:v>47.716806864116052</c:v>
                </c:pt>
                <c:pt idx="120">
                  <c:v>47.716806864116052</c:v>
                </c:pt>
                <c:pt idx="121">
                  <c:v>47.716806864116052</c:v>
                </c:pt>
                <c:pt idx="122">
                  <c:v>47.716806864116052</c:v>
                </c:pt>
                <c:pt idx="123">
                  <c:v>47.716806864116052</c:v>
                </c:pt>
                <c:pt idx="124">
                  <c:v>47.716806864116052</c:v>
                </c:pt>
                <c:pt idx="125">
                  <c:v>47.716806864116052</c:v>
                </c:pt>
                <c:pt idx="126">
                  <c:v>47.716806864116052</c:v>
                </c:pt>
                <c:pt idx="127">
                  <c:v>47.716806864116052</c:v>
                </c:pt>
                <c:pt idx="128">
                  <c:v>47.716806864116052</c:v>
                </c:pt>
                <c:pt idx="129">
                  <c:v>47.716806864116052</c:v>
                </c:pt>
                <c:pt idx="130">
                  <c:v>47.716806864116052</c:v>
                </c:pt>
                <c:pt idx="131">
                  <c:v>47.716806864116052</c:v>
                </c:pt>
                <c:pt idx="132">
                  <c:v>47.716806864116052</c:v>
                </c:pt>
                <c:pt idx="133">
                  <c:v>47.716806864116052</c:v>
                </c:pt>
                <c:pt idx="134">
                  <c:v>47.716806864116052</c:v>
                </c:pt>
                <c:pt idx="135">
                  <c:v>47.716806864116052</c:v>
                </c:pt>
                <c:pt idx="136">
                  <c:v>47.716806864116052</c:v>
                </c:pt>
                <c:pt idx="137">
                  <c:v>47.716806864116052</c:v>
                </c:pt>
                <c:pt idx="138">
                  <c:v>47.716806864116052</c:v>
                </c:pt>
                <c:pt idx="139">
                  <c:v>47.716806864116052</c:v>
                </c:pt>
                <c:pt idx="140">
                  <c:v>47.716806864116052</c:v>
                </c:pt>
                <c:pt idx="141">
                  <c:v>47.716806864116052</c:v>
                </c:pt>
                <c:pt idx="142">
                  <c:v>47.716806864116052</c:v>
                </c:pt>
                <c:pt idx="143">
                  <c:v>47.716806864116052</c:v>
                </c:pt>
                <c:pt idx="144">
                  <c:v>47.716806864116052</c:v>
                </c:pt>
                <c:pt idx="145">
                  <c:v>47.716806864116052</c:v>
                </c:pt>
                <c:pt idx="146">
                  <c:v>47.716806864116052</c:v>
                </c:pt>
                <c:pt idx="147">
                  <c:v>47.716806864116052</c:v>
                </c:pt>
                <c:pt idx="148">
                  <c:v>47.716806864116052</c:v>
                </c:pt>
                <c:pt idx="149">
                  <c:v>47.716806864116052</c:v>
                </c:pt>
                <c:pt idx="150">
                  <c:v>47.716806864116052</c:v>
                </c:pt>
                <c:pt idx="151">
                  <c:v>47.716806864116052</c:v>
                </c:pt>
                <c:pt idx="152">
                  <c:v>47.716806864116052</c:v>
                </c:pt>
                <c:pt idx="153">
                  <c:v>47.716806864116052</c:v>
                </c:pt>
                <c:pt idx="154">
                  <c:v>47.716806864116052</c:v>
                </c:pt>
                <c:pt idx="155">
                  <c:v>47.716806864116052</c:v>
                </c:pt>
                <c:pt idx="156">
                  <c:v>47.716806864116052</c:v>
                </c:pt>
                <c:pt idx="157">
                  <c:v>47.716806864116052</c:v>
                </c:pt>
                <c:pt idx="158">
                  <c:v>47.716806864116052</c:v>
                </c:pt>
                <c:pt idx="159">
                  <c:v>47.716806864116052</c:v>
                </c:pt>
                <c:pt idx="160">
                  <c:v>47.716806864116052</c:v>
                </c:pt>
                <c:pt idx="161">
                  <c:v>47.716806864116052</c:v>
                </c:pt>
                <c:pt idx="162">
                  <c:v>47.716806864116052</c:v>
                </c:pt>
                <c:pt idx="163">
                  <c:v>47.716806864116052</c:v>
                </c:pt>
                <c:pt idx="164">
                  <c:v>47.716806864116052</c:v>
                </c:pt>
                <c:pt idx="165">
                  <c:v>47.716806864116052</c:v>
                </c:pt>
                <c:pt idx="166">
                  <c:v>47.716806864116052</c:v>
                </c:pt>
                <c:pt idx="167">
                  <c:v>47.716806864116052</c:v>
                </c:pt>
                <c:pt idx="168">
                  <c:v>47.716806864116052</c:v>
                </c:pt>
                <c:pt idx="169">
                  <c:v>47.716806864116052</c:v>
                </c:pt>
                <c:pt idx="170">
                  <c:v>47.716806864116052</c:v>
                </c:pt>
                <c:pt idx="171">
                  <c:v>47.716806864116052</c:v>
                </c:pt>
                <c:pt idx="172">
                  <c:v>47.716806864116052</c:v>
                </c:pt>
                <c:pt idx="173">
                  <c:v>47.716806864116052</c:v>
                </c:pt>
                <c:pt idx="174">
                  <c:v>47.716806864116052</c:v>
                </c:pt>
                <c:pt idx="175">
                  <c:v>47.716806864116052</c:v>
                </c:pt>
                <c:pt idx="176">
                  <c:v>47.716806864116052</c:v>
                </c:pt>
                <c:pt idx="177">
                  <c:v>47.716806864116052</c:v>
                </c:pt>
                <c:pt idx="178">
                  <c:v>47.716806864116052</c:v>
                </c:pt>
                <c:pt idx="179">
                  <c:v>47.716806864116052</c:v>
                </c:pt>
                <c:pt idx="180">
                  <c:v>47.716806864116052</c:v>
                </c:pt>
                <c:pt idx="181">
                  <c:v>47.716806864116052</c:v>
                </c:pt>
                <c:pt idx="182">
                  <c:v>47.716806864116052</c:v>
                </c:pt>
                <c:pt idx="183">
                  <c:v>47.716806864116052</c:v>
                </c:pt>
                <c:pt idx="184">
                  <c:v>47.716806864116052</c:v>
                </c:pt>
                <c:pt idx="185">
                  <c:v>47.716806864116052</c:v>
                </c:pt>
                <c:pt idx="186">
                  <c:v>47.716806864116052</c:v>
                </c:pt>
                <c:pt idx="187">
                  <c:v>47.716806864116052</c:v>
                </c:pt>
                <c:pt idx="188">
                  <c:v>47.716806864116052</c:v>
                </c:pt>
                <c:pt idx="189">
                  <c:v>47.716806864116052</c:v>
                </c:pt>
                <c:pt idx="190">
                  <c:v>47.716806864116052</c:v>
                </c:pt>
                <c:pt idx="191">
                  <c:v>47.716806864116052</c:v>
                </c:pt>
                <c:pt idx="192">
                  <c:v>47.716806864116052</c:v>
                </c:pt>
                <c:pt idx="193">
                  <c:v>47.716806864116052</c:v>
                </c:pt>
                <c:pt idx="194">
                  <c:v>47.716806864116052</c:v>
                </c:pt>
                <c:pt idx="195">
                  <c:v>47.716806864116052</c:v>
                </c:pt>
                <c:pt idx="196">
                  <c:v>47.716806864116052</c:v>
                </c:pt>
                <c:pt idx="197">
                  <c:v>47.716806864116052</c:v>
                </c:pt>
                <c:pt idx="198">
                  <c:v>47.716806864116052</c:v>
                </c:pt>
                <c:pt idx="199">
                  <c:v>47.716806864116052</c:v>
                </c:pt>
                <c:pt idx="200">
                  <c:v>47.716806864116052</c:v>
                </c:pt>
                <c:pt idx="201">
                  <c:v>47.716806864116052</c:v>
                </c:pt>
                <c:pt idx="202">
                  <c:v>47.716806864116052</c:v>
                </c:pt>
                <c:pt idx="203">
                  <c:v>47.716806864116052</c:v>
                </c:pt>
                <c:pt idx="204">
                  <c:v>47.716806864116052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9-4867-8F5D-E1038D0D42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ferry!$Q$30:$Q$234</c:f>
              <c:numCache>
                <c:formatCode>0.000</c:formatCode>
                <c:ptCount val="205"/>
                <c:pt idx="0">
                  <c:v>51.866094417517445</c:v>
                </c:pt>
                <c:pt idx="1">
                  <c:v>51.866094417517445</c:v>
                </c:pt>
                <c:pt idx="2">
                  <c:v>51.866094417517445</c:v>
                </c:pt>
                <c:pt idx="3">
                  <c:v>51.866094417517445</c:v>
                </c:pt>
                <c:pt idx="4">
                  <c:v>51.866094417517445</c:v>
                </c:pt>
                <c:pt idx="5">
                  <c:v>51.866094417517445</c:v>
                </c:pt>
                <c:pt idx="6">
                  <c:v>51.866094417517445</c:v>
                </c:pt>
                <c:pt idx="7">
                  <c:v>51.866094417517445</c:v>
                </c:pt>
                <c:pt idx="8">
                  <c:v>51.866094417517445</c:v>
                </c:pt>
                <c:pt idx="9">
                  <c:v>51.866094417517445</c:v>
                </c:pt>
                <c:pt idx="10">
                  <c:v>51.866094417517445</c:v>
                </c:pt>
                <c:pt idx="11">
                  <c:v>51.866094417517445</c:v>
                </c:pt>
                <c:pt idx="12">
                  <c:v>51.866094417517445</c:v>
                </c:pt>
                <c:pt idx="13">
                  <c:v>51.866094417517445</c:v>
                </c:pt>
                <c:pt idx="14">
                  <c:v>51.866094417517445</c:v>
                </c:pt>
                <c:pt idx="15">
                  <c:v>51.866094417517445</c:v>
                </c:pt>
                <c:pt idx="16">
                  <c:v>51.866094417517445</c:v>
                </c:pt>
                <c:pt idx="17">
                  <c:v>51.866094417517445</c:v>
                </c:pt>
                <c:pt idx="18">
                  <c:v>51.866094417517445</c:v>
                </c:pt>
                <c:pt idx="19">
                  <c:v>51.866094417517445</c:v>
                </c:pt>
                <c:pt idx="20">
                  <c:v>51.866094417517445</c:v>
                </c:pt>
                <c:pt idx="21">
                  <c:v>51.866094417517445</c:v>
                </c:pt>
                <c:pt idx="22">
                  <c:v>51.866094417517445</c:v>
                </c:pt>
                <c:pt idx="23">
                  <c:v>51.866094417517445</c:v>
                </c:pt>
                <c:pt idx="24">
                  <c:v>51.866094417517445</c:v>
                </c:pt>
                <c:pt idx="25">
                  <c:v>51.866094417517445</c:v>
                </c:pt>
                <c:pt idx="26">
                  <c:v>51.866094417517445</c:v>
                </c:pt>
                <c:pt idx="27">
                  <c:v>51.866094417517445</c:v>
                </c:pt>
                <c:pt idx="28">
                  <c:v>51.866094417517445</c:v>
                </c:pt>
                <c:pt idx="29">
                  <c:v>51.866094417517445</c:v>
                </c:pt>
                <c:pt idx="30">
                  <c:v>51.866094417517445</c:v>
                </c:pt>
                <c:pt idx="31">
                  <c:v>51.866094417517445</c:v>
                </c:pt>
                <c:pt idx="32">
                  <c:v>51.866094417517445</c:v>
                </c:pt>
                <c:pt idx="33">
                  <c:v>51.866094417517445</c:v>
                </c:pt>
                <c:pt idx="34">
                  <c:v>51.866094417517445</c:v>
                </c:pt>
                <c:pt idx="35">
                  <c:v>51.866094417517445</c:v>
                </c:pt>
                <c:pt idx="36">
                  <c:v>51.866094417517445</c:v>
                </c:pt>
                <c:pt idx="37">
                  <c:v>51.866094417517445</c:v>
                </c:pt>
                <c:pt idx="38">
                  <c:v>51.866094417517445</c:v>
                </c:pt>
                <c:pt idx="39">
                  <c:v>51.866094417517445</c:v>
                </c:pt>
                <c:pt idx="40">
                  <c:v>51.866094417517445</c:v>
                </c:pt>
                <c:pt idx="41">
                  <c:v>51.866094417517445</c:v>
                </c:pt>
                <c:pt idx="42">
                  <c:v>51.866094417517445</c:v>
                </c:pt>
                <c:pt idx="43">
                  <c:v>51.866094417517445</c:v>
                </c:pt>
                <c:pt idx="44">
                  <c:v>51.866094417517445</c:v>
                </c:pt>
                <c:pt idx="45">
                  <c:v>51.866094417517445</c:v>
                </c:pt>
                <c:pt idx="46">
                  <c:v>51.866094417517445</c:v>
                </c:pt>
                <c:pt idx="47">
                  <c:v>51.866094417517445</c:v>
                </c:pt>
                <c:pt idx="48">
                  <c:v>51.866094417517445</c:v>
                </c:pt>
                <c:pt idx="49">
                  <c:v>51.866094417517445</c:v>
                </c:pt>
                <c:pt idx="50">
                  <c:v>51.866094417517445</c:v>
                </c:pt>
                <c:pt idx="51">
                  <c:v>51.866094417517445</c:v>
                </c:pt>
                <c:pt idx="52">
                  <c:v>51.866094417517445</c:v>
                </c:pt>
                <c:pt idx="53">
                  <c:v>51.866094417517445</c:v>
                </c:pt>
                <c:pt idx="54">
                  <c:v>51.866094417517445</c:v>
                </c:pt>
                <c:pt idx="55">
                  <c:v>51.866094417517445</c:v>
                </c:pt>
                <c:pt idx="56">
                  <c:v>51.866094417517445</c:v>
                </c:pt>
                <c:pt idx="57">
                  <c:v>51.866094417517445</c:v>
                </c:pt>
                <c:pt idx="58">
                  <c:v>51.866094417517445</c:v>
                </c:pt>
                <c:pt idx="59">
                  <c:v>51.866094417517445</c:v>
                </c:pt>
                <c:pt idx="60">
                  <c:v>51.866094417517445</c:v>
                </c:pt>
                <c:pt idx="61">
                  <c:v>51.866094417517445</c:v>
                </c:pt>
                <c:pt idx="62">
                  <c:v>51.866094417517445</c:v>
                </c:pt>
                <c:pt idx="63">
                  <c:v>51.866094417517445</c:v>
                </c:pt>
                <c:pt idx="64">
                  <c:v>51.866094417517445</c:v>
                </c:pt>
                <c:pt idx="65">
                  <c:v>51.866094417517445</c:v>
                </c:pt>
                <c:pt idx="66">
                  <c:v>51.866094417517445</c:v>
                </c:pt>
                <c:pt idx="67">
                  <c:v>51.866094417517445</c:v>
                </c:pt>
                <c:pt idx="68">
                  <c:v>51.866094417517445</c:v>
                </c:pt>
                <c:pt idx="69">
                  <c:v>51.866094417517445</c:v>
                </c:pt>
                <c:pt idx="70">
                  <c:v>51.866094417517445</c:v>
                </c:pt>
                <c:pt idx="71">
                  <c:v>51.866094417517445</c:v>
                </c:pt>
                <c:pt idx="72">
                  <c:v>51.866094417517445</c:v>
                </c:pt>
                <c:pt idx="73">
                  <c:v>51.866094417517445</c:v>
                </c:pt>
                <c:pt idx="74">
                  <c:v>51.866094417517445</c:v>
                </c:pt>
                <c:pt idx="75">
                  <c:v>51.866094417517445</c:v>
                </c:pt>
                <c:pt idx="76">
                  <c:v>51.866094417517445</c:v>
                </c:pt>
                <c:pt idx="77">
                  <c:v>51.866094417517445</c:v>
                </c:pt>
                <c:pt idx="78">
                  <c:v>51.866094417517445</c:v>
                </c:pt>
                <c:pt idx="79">
                  <c:v>51.866094417517445</c:v>
                </c:pt>
                <c:pt idx="80">
                  <c:v>51.866094417517445</c:v>
                </c:pt>
                <c:pt idx="81">
                  <c:v>51.866094417517445</c:v>
                </c:pt>
                <c:pt idx="82">
                  <c:v>51.866094417517445</c:v>
                </c:pt>
                <c:pt idx="83">
                  <c:v>51.866094417517445</c:v>
                </c:pt>
                <c:pt idx="84">
                  <c:v>51.866094417517445</c:v>
                </c:pt>
                <c:pt idx="85">
                  <c:v>51.866094417517445</c:v>
                </c:pt>
                <c:pt idx="86">
                  <c:v>51.866094417517445</c:v>
                </c:pt>
                <c:pt idx="87">
                  <c:v>51.866094417517445</c:v>
                </c:pt>
                <c:pt idx="88">
                  <c:v>51.866094417517445</c:v>
                </c:pt>
                <c:pt idx="89">
                  <c:v>51.866094417517445</c:v>
                </c:pt>
                <c:pt idx="90">
                  <c:v>51.866094417517445</c:v>
                </c:pt>
                <c:pt idx="91">
                  <c:v>51.866094417517445</c:v>
                </c:pt>
                <c:pt idx="92">
                  <c:v>51.866094417517445</c:v>
                </c:pt>
                <c:pt idx="93">
                  <c:v>51.866094417517445</c:v>
                </c:pt>
                <c:pt idx="94">
                  <c:v>51.866094417517445</c:v>
                </c:pt>
                <c:pt idx="95">
                  <c:v>51.866094417517445</c:v>
                </c:pt>
                <c:pt idx="96">
                  <c:v>51.866094417517445</c:v>
                </c:pt>
                <c:pt idx="97">
                  <c:v>51.866094417517445</c:v>
                </c:pt>
                <c:pt idx="98">
                  <c:v>51.866094417517445</c:v>
                </c:pt>
                <c:pt idx="99">
                  <c:v>51.866094417517445</c:v>
                </c:pt>
                <c:pt idx="100">
                  <c:v>51.866094417517445</c:v>
                </c:pt>
                <c:pt idx="101">
                  <c:v>51.866094417517445</c:v>
                </c:pt>
                <c:pt idx="102">
                  <c:v>51.866094417517445</c:v>
                </c:pt>
                <c:pt idx="103">
                  <c:v>51.866094417517445</c:v>
                </c:pt>
                <c:pt idx="104">
                  <c:v>51.866094417517445</c:v>
                </c:pt>
                <c:pt idx="105">
                  <c:v>51.866094417517445</c:v>
                </c:pt>
                <c:pt idx="106">
                  <c:v>51.866094417517445</c:v>
                </c:pt>
                <c:pt idx="107">
                  <c:v>51.866094417517445</c:v>
                </c:pt>
                <c:pt idx="108">
                  <c:v>51.866094417517445</c:v>
                </c:pt>
                <c:pt idx="109">
                  <c:v>51.866094417517445</c:v>
                </c:pt>
                <c:pt idx="110">
                  <c:v>51.866094417517445</c:v>
                </c:pt>
                <c:pt idx="111">
                  <c:v>51.866094417517445</c:v>
                </c:pt>
                <c:pt idx="112">
                  <c:v>51.866094417517445</c:v>
                </c:pt>
                <c:pt idx="113">
                  <c:v>51.866094417517445</c:v>
                </c:pt>
                <c:pt idx="114">
                  <c:v>51.866094417517445</c:v>
                </c:pt>
                <c:pt idx="115">
                  <c:v>51.866094417517445</c:v>
                </c:pt>
                <c:pt idx="116">
                  <c:v>51.866094417517445</c:v>
                </c:pt>
                <c:pt idx="117">
                  <c:v>51.866094417517445</c:v>
                </c:pt>
                <c:pt idx="118">
                  <c:v>51.866094417517445</c:v>
                </c:pt>
                <c:pt idx="119">
                  <c:v>51.866094417517445</c:v>
                </c:pt>
                <c:pt idx="120">
                  <c:v>51.866094417517445</c:v>
                </c:pt>
                <c:pt idx="121">
                  <c:v>51.866094417517445</c:v>
                </c:pt>
                <c:pt idx="122">
                  <c:v>51.866094417517445</c:v>
                </c:pt>
                <c:pt idx="123">
                  <c:v>51.866094417517445</c:v>
                </c:pt>
                <c:pt idx="124">
                  <c:v>51.866094417517445</c:v>
                </c:pt>
                <c:pt idx="125">
                  <c:v>51.866094417517445</c:v>
                </c:pt>
                <c:pt idx="126">
                  <c:v>51.866094417517445</c:v>
                </c:pt>
                <c:pt idx="127">
                  <c:v>51.866094417517445</c:v>
                </c:pt>
                <c:pt idx="128">
                  <c:v>51.866094417517445</c:v>
                </c:pt>
                <c:pt idx="129">
                  <c:v>51.866094417517445</c:v>
                </c:pt>
                <c:pt idx="130">
                  <c:v>51.866094417517445</c:v>
                </c:pt>
                <c:pt idx="131">
                  <c:v>51.866094417517445</c:v>
                </c:pt>
                <c:pt idx="132">
                  <c:v>51.866094417517445</c:v>
                </c:pt>
                <c:pt idx="133">
                  <c:v>51.866094417517445</c:v>
                </c:pt>
                <c:pt idx="134">
                  <c:v>51.866094417517445</c:v>
                </c:pt>
                <c:pt idx="135">
                  <c:v>51.866094417517445</c:v>
                </c:pt>
                <c:pt idx="136">
                  <c:v>51.866094417517445</c:v>
                </c:pt>
                <c:pt idx="137">
                  <c:v>51.866094417517445</c:v>
                </c:pt>
                <c:pt idx="138">
                  <c:v>51.866094417517445</c:v>
                </c:pt>
                <c:pt idx="139">
                  <c:v>51.866094417517445</c:v>
                </c:pt>
                <c:pt idx="140">
                  <c:v>51.866094417517445</c:v>
                </c:pt>
                <c:pt idx="141">
                  <c:v>51.866094417517445</c:v>
                </c:pt>
                <c:pt idx="142">
                  <c:v>51.866094417517445</c:v>
                </c:pt>
                <c:pt idx="143">
                  <c:v>51.866094417517445</c:v>
                </c:pt>
                <c:pt idx="144">
                  <c:v>51.866094417517445</c:v>
                </c:pt>
                <c:pt idx="145">
                  <c:v>51.866094417517445</c:v>
                </c:pt>
                <c:pt idx="146">
                  <c:v>51.866094417517445</c:v>
                </c:pt>
                <c:pt idx="147">
                  <c:v>51.866094417517445</c:v>
                </c:pt>
                <c:pt idx="148">
                  <c:v>51.866094417517445</c:v>
                </c:pt>
                <c:pt idx="149">
                  <c:v>51.866094417517445</c:v>
                </c:pt>
                <c:pt idx="150">
                  <c:v>51.866094417517445</c:v>
                </c:pt>
                <c:pt idx="151">
                  <c:v>51.866094417517445</c:v>
                </c:pt>
                <c:pt idx="152">
                  <c:v>51.866094417517445</c:v>
                </c:pt>
                <c:pt idx="153">
                  <c:v>51.866094417517445</c:v>
                </c:pt>
                <c:pt idx="154">
                  <c:v>51.866094417517445</c:v>
                </c:pt>
                <c:pt idx="155">
                  <c:v>51.866094417517445</c:v>
                </c:pt>
                <c:pt idx="156">
                  <c:v>51.866094417517445</c:v>
                </c:pt>
                <c:pt idx="157">
                  <c:v>51.866094417517445</c:v>
                </c:pt>
                <c:pt idx="158">
                  <c:v>51.866094417517445</c:v>
                </c:pt>
                <c:pt idx="159">
                  <c:v>51.866094417517445</c:v>
                </c:pt>
                <c:pt idx="160">
                  <c:v>51.866094417517445</c:v>
                </c:pt>
                <c:pt idx="161">
                  <c:v>51.866094417517445</c:v>
                </c:pt>
                <c:pt idx="162">
                  <c:v>51.866094417517445</c:v>
                </c:pt>
                <c:pt idx="163">
                  <c:v>51.866094417517445</c:v>
                </c:pt>
                <c:pt idx="164">
                  <c:v>51.866094417517445</c:v>
                </c:pt>
                <c:pt idx="165">
                  <c:v>51.866094417517445</c:v>
                </c:pt>
                <c:pt idx="166">
                  <c:v>51.866094417517445</c:v>
                </c:pt>
                <c:pt idx="167">
                  <c:v>51.866094417517445</c:v>
                </c:pt>
                <c:pt idx="168">
                  <c:v>51.866094417517445</c:v>
                </c:pt>
                <c:pt idx="169">
                  <c:v>51.866094417517445</c:v>
                </c:pt>
                <c:pt idx="170">
                  <c:v>51.866094417517445</c:v>
                </c:pt>
                <c:pt idx="171">
                  <c:v>51.866094417517445</c:v>
                </c:pt>
                <c:pt idx="172">
                  <c:v>51.866094417517445</c:v>
                </c:pt>
                <c:pt idx="173">
                  <c:v>51.866094417517445</c:v>
                </c:pt>
                <c:pt idx="174">
                  <c:v>51.866094417517445</c:v>
                </c:pt>
                <c:pt idx="175">
                  <c:v>51.866094417517445</c:v>
                </c:pt>
                <c:pt idx="176">
                  <c:v>51.866094417517445</c:v>
                </c:pt>
                <c:pt idx="177">
                  <c:v>51.866094417517445</c:v>
                </c:pt>
                <c:pt idx="178">
                  <c:v>51.866094417517445</c:v>
                </c:pt>
                <c:pt idx="179">
                  <c:v>51.866094417517445</c:v>
                </c:pt>
                <c:pt idx="180">
                  <c:v>51.866094417517445</c:v>
                </c:pt>
                <c:pt idx="181">
                  <c:v>51.866094417517445</c:v>
                </c:pt>
                <c:pt idx="182">
                  <c:v>51.866094417517445</c:v>
                </c:pt>
                <c:pt idx="183">
                  <c:v>51.866094417517445</c:v>
                </c:pt>
                <c:pt idx="184">
                  <c:v>51.866094417517445</c:v>
                </c:pt>
                <c:pt idx="185">
                  <c:v>51.866094417517445</c:v>
                </c:pt>
                <c:pt idx="186">
                  <c:v>51.866094417517445</c:v>
                </c:pt>
                <c:pt idx="187">
                  <c:v>51.866094417517445</c:v>
                </c:pt>
                <c:pt idx="188">
                  <c:v>51.866094417517445</c:v>
                </c:pt>
                <c:pt idx="189">
                  <c:v>51.866094417517445</c:v>
                </c:pt>
                <c:pt idx="190">
                  <c:v>51.866094417517445</c:v>
                </c:pt>
                <c:pt idx="191">
                  <c:v>51.866094417517445</c:v>
                </c:pt>
                <c:pt idx="192">
                  <c:v>51.866094417517445</c:v>
                </c:pt>
                <c:pt idx="193">
                  <c:v>51.866094417517445</c:v>
                </c:pt>
                <c:pt idx="194">
                  <c:v>51.866094417517445</c:v>
                </c:pt>
                <c:pt idx="195">
                  <c:v>51.866094417517445</c:v>
                </c:pt>
                <c:pt idx="196">
                  <c:v>51.866094417517445</c:v>
                </c:pt>
                <c:pt idx="197">
                  <c:v>51.866094417517445</c:v>
                </c:pt>
                <c:pt idx="198">
                  <c:v>51.866094417517445</c:v>
                </c:pt>
                <c:pt idx="199">
                  <c:v>51.866094417517445</c:v>
                </c:pt>
                <c:pt idx="200">
                  <c:v>51.866094417517445</c:v>
                </c:pt>
                <c:pt idx="201">
                  <c:v>51.866094417517445</c:v>
                </c:pt>
                <c:pt idx="202">
                  <c:v>51.866094417517445</c:v>
                </c:pt>
                <c:pt idx="203">
                  <c:v>51.866094417517445</c:v>
                </c:pt>
                <c:pt idx="204">
                  <c:v>51.866094417517445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9-4867-8F5D-E1038D0D42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ferry!$R$30:$R$234</c:f>
              <c:numCache>
                <c:formatCode>0.000</c:formatCode>
                <c:ptCount val="205"/>
                <c:pt idx="0">
                  <c:v>59.127347635969883</c:v>
                </c:pt>
                <c:pt idx="1">
                  <c:v>59.127347635969883</c:v>
                </c:pt>
                <c:pt idx="2">
                  <c:v>59.127347635969883</c:v>
                </c:pt>
                <c:pt idx="3">
                  <c:v>59.127347635969883</c:v>
                </c:pt>
                <c:pt idx="4">
                  <c:v>59.127347635969883</c:v>
                </c:pt>
                <c:pt idx="5">
                  <c:v>59.127347635969883</c:v>
                </c:pt>
                <c:pt idx="6">
                  <c:v>59.127347635969883</c:v>
                </c:pt>
                <c:pt idx="7">
                  <c:v>59.127347635969883</c:v>
                </c:pt>
                <c:pt idx="8">
                  <c:v>59.127347635969883</c:v>
                </c:pt>
                <c:pt idx="9">
                  <c:v>59.127347635969883</c:v>
                </c:pt>
                <c:pt idx="10">
                  <c:v>59.127347635969883</c:v>
                </c:pt>
                <c:pt idx="11">
                  <c:v>59.127347635969883</c:v>
                </c:pt>
                <c:pt idx="12">
                  <c:v>59.127347635969883</c:v>
                </c:pt>
                <c:pt idx="13">
                  <c:v>59.127347635969883</c:v>
                </c:pt>
                <c:pt idx="14">
                  <c:v>59.127347635969883</c:v>
                </c:pt>
                <c:pt idx="15">
                  <c:v>59.127347635969883</c:v>
                </c:pt>
                <c:pt idx="16">
                  <c:v>59.127347635969883</c:v>
                </c:pt>
                <c:pt idx="17">
                  <c:v>59.127347635969883</c:v>
                </c:pt>
                <c:pt idx="18">
                  <c:v>59.127347635969883</c:v>
                </c:pt>
                <c:pt idx="19">
                  <c:v>59.127347635969883</c:v>
                </c:pt>
                <c:pt idx="20">
                  <c:v>59.127347635969883</c:v>
                </c:pt>
                <c:pt idx="21">
                  <c:v>59.127347635969883</c:v>
                </c:pt>
                <c:pt idx="22">
                  <c:v>59.127347635969883</c:v>
                </c:pt>
                <c:pt idx="23">
                  <c:v>59.127347635969883</c:v>
                </c:pt>
                <c:pt idx="24">
                  <c:v>59.127347635969883</c:v>
                </c:pt>
                <c:pt idx="25">
                  <c:v>59.127347635969883</c:v>
                </c:pt>
                <c:pt idx="26">
                  <c:v>59.127347635969883</c:v>
                </c:pt>
                <c:pt idx="27">
                  <c:v>59.127347635969883</c:v>
                </c:pt>
                <c:pt idx="28">
                  <c:v>59.127347635969883</c:v>
                </c:pt>
                <c:pt idx="29">
                  <c:v>59.127347635969883</c:v>
                </c:pt>
                <c:pt idx="30">
                  <c:v>59.127347635969883</c:v>
                </c:pt>
                <c:pt idx="31">
                  <c:v>59.127347635969883</c:v>
                </c:pt>
                <c:pt idx="32">
                  <c:v>59.127347635969883</c:v>
                </c:pt>
                <c:pt idx="33">
                  <c:v>59.127347635969883</c:v>
                </c:pt>
                <c:pt idx="34">
                  <c:v>59.127347635969883</c:v>
                </c:pt>
                <c:pt idx="35">
                  <c:v>59.127347635969883</c:v>
                </c:pt>
                <c:pt idx="36">
                  <c:v>59.127347635969883</c:v>
                </c:pt>
                <c:pt idx="37">
                  <c:v>59.127347635969883</c:v>
                </c:pt>
                <c:pt idx="38">
                  <c:v>59.127347635969883</c:v>
                </c:pt>
                <c:pt idx="39">
                  <c:v>59.127347635969883</c:v>
                </c:pt>
                <c:pt idx="40">
                  <c:v>59.127347635969883</c:v>
                </c:pt>
                <c:pt idx="41">
                  <c:v>59.127347635969883</c:v>
                </c:pt>
                <c:pt idx="42">
                  <c:v>59.127347635969883</c:v>
                </c:pt>
                <c:pt idx="43">
                  <c:v>59.127347635969883</c:v>
                </c:pt>
                <c:pt idx="44">
                  <c:v>59.127347635969883</c:v>
                </c:pt>
                <c:pt idx="45">
                  <c:v>59.127347635969883</c:v>
                </c:pt>
                <c:pt idx="46">
                  <c:v>59.127347635969883</c:v>
                </c:pt>
                <c:pt idx="47">
                  <c:v>59.127347635969883</c:v>
                </c:pt>
                <c:pt idx="48">
                  <c:v>59.127347635969883</c:v>
                </c:pt>
                <c:pt idx="49">
                  <c:v>59.127347635969883</c:v>
                </c:pt>
                <c:pt idx="50">
                  <c:v>59.127347635969883</c:v>
                </c:pt>
                <c:pt idx="51">
                  <c:v>59.127347635969883</c:v>
                </c:pt>
                <c:pt idx="52">
                  <c:v>59.127347635969883</c:v>
                </c:pt>
                <c:pt idx="53">
                  <c:v>59.127347635969883</c:v>
                </c:pt>
                <c:pt idx="54">
                  <c:v>59.127347635969883</c:v>
                </c:pt>
                <c:pt idx="55">
                  <c:v>59.127347635969883</c:v>
                </c:pt>
                <c:pt idx="56">
                  <c:v>59.127347635969883</c:v>
                </c:pt>
                <c:pt idx="57">
                  <c:v>59.127347635969883</c:v>
                </c:pt>
                <c:pt idx="58">
                  <c:v>59.127347635969883</c:v>
                </c:pt>
                <c:pt idx="59">
                  <c:v>59.127347635969883</c:v>
                </c:pt>
                <c:pt idx="60">
                  <c:v>59.127347635969883</c:v>
                </c:pt>
                <c:pt idx="61">
                  <c:v>59.127347635969883</c:v>
                </c:pt>
                <c:pt idx="62">
                  <c:v>59.127347635969883</c:v>
                </c:pt>
                <c:pt idx="63">
                  <c:v>59.127347635969883</c:v>
                </c:pt>
                <c:pt idx="64">
                  <c:v>59.127347635969883</c:v>
                </c:pt>
                <c:pt idx="65">
                  <c:v>59.127347635969883</c:v>
                </c:pt>
                <c:pt idx="66">
                  <c:v>59.127347635969883</c:v>
                </c:pt>
                <c:pt idx="67">
                  <c:v>59.127347635969883</c:v>
                </c:pt>
                <c:pt idx="68">
                  <c:v>59.127347635969883</c:v>
                </c:pt>
                <c:pt idx="69">
                  <c:v>59.127347635969883</c:v>
                </c:pt>
                <c:pt idx="70">
                  <c:v>59.127347635969883</c:v>
                </c:pt>
                <c:pt idx="71">
                  <c:v>59.127347635969883</c:v>
                </c:pt>
                <c:pt idx="72">
                  <c:v>59.127347635969883</c:v>
                </c:pt>
                <c:pt idx="73">
                  <c:v>59.127347635969883</c:v>
                </c:pt>
                <c:pt idx="74">
                  <c:v>59.127347635969883</c:v>
                </c:pt>
                <c:pt idx="75">
                  <c:v>59.127347635969883</c:v>
                </c:pt>
                <c:pt idx="76">
                  <c:v>59.127347635969883</c:v>
                </c:pt>
                <c:pt idx="77">
                  <c:v>59.127347635969883</c:v>
                </c:pt>
                <c:pt idx="78">
                  <c:v>59.127347635969883</c:v>
                </c:pt>
                <c:pt idx="79">
                  <c:v>59.127347635969883</c:v>
                </c:pt>
                <c:pt idx="80">
                  <c:v>59.127347635969883</c:v>
                </c:pt>
                <c:pt idx="81">
                  <c:v>59.127347635969883</c:v>
                </c:pt>
                <c:pt idx="82">
                  <c:v>59.127347635969883</c:v>
                </c:pt>
                <c:pt idx="83">
                  <c:v>59.127347635969883</c:v>
                </c:pt>
                <c:pt idx="84">
                  <c:v>59.127347635969883</c:v>
                </c:pt>
                <c:pt idx="85">
                  <c:v>59.127347635969883</c:v>
                </c:pt>
                <c:pt idx="86">
                  <c:v>59.127347635969883</c:v>
                </c:pt>
                <c:pt idx="87">
                  <c:v>59.127347635969883</c:v>
                </c:pt>
                <c:pt idx="88">
                  <c:v>59.127347635969883</c:v>
                </c:pt>
                <c:pt idx="89">
                  <c:v>59.127347635969883</c:v>
                </c:pt>
                <c:pt idx="90">
                  <c:v>59.127347635969883</c:v>
                </c:pt>
                <c:pt idx="91">
                  <c:v>59.127347635969883</c:v>
                </c:pt>
                <c:pt idx="92">
                  <c:v>59.127347635969883</c:v>
                </c:pt>
                <c:pt idx="93">
                  <c:v>59.127347635969883</c:v>
                </c:pt>
                <c:pt idx="94">
                  <c:v>59.127347635969883</c:v>
                </c:pt>
                <c:pt idx="95">
                  <c:v>59.127347635969883</c:v>
                </c:pt>
                <c:pt idx="96">
                  <c:v>59.127347635969883</c:v>
                </c:pt>
                <c:pt idx="97">
                  <c:v>59.127347635969883</c:v>
                </c:pt>
                <c:pt idx="98">
                  <c:v>59.127347635969883</c:v>
                </c:pt>
                <c:pt idx="99">
                  <c:v>59.127347635969883</c:v>
                </c:pt>
                <c:pt idx="100">
                  <c:v>59.127347635969883</c:v>
                </c:pt>
                <c:pt idx="101">
                  <c:v>59.127347635969883</c:v>
                </c:pt>
                <c:pt idx="102">
                  <c:v>59.127347635969883</c:v>
                </c:pt>
                <c:pt idx="103">
                  <c:v>59.127347635969883</c:v>
                </c:pt>
                <c:pt idx="104">
                  <c:v>59.127347635969883</c:v>
                </c:pt>
                <c:pt idx="105">
                  <c:v>59.127347635969883</c:v>
                </c:pt>
                <c:pt idx="106">
                  <c:v>59.127347635969883</c:v>
                </c:pt>
                <c:pt idx="107">
                  <c:v>59.127347635969883</c:v>
                </c:pt>
                <c:pt idx="108">
                  <c:v>59.127347635969883</c:v>
                </c:pt>
                <c:pt idx="109">
                  <c:v>59.127347635969883</c:v>
                </c:pt>
                <c:pt idx="110">
                  <c:v>59.127347635969883</c:v>
                </c:pt>
                <c:pt idx="111">
                  <c:v>59.127347635969883</c:v>
                </c:pt>
                <c:pt idx="112">
                  <c:v>59.127347635969883</c:v>
                </c:pt>
                <c:pt idx="113">
                  <c:v>59.127347635969883</c:v>
                </c:pt>
                <c:pt idx="114">
                  <c:v>59.127347635969883</c:v>
                </c:pt>
                <c:pt idx="115">
                  <c:v>59.127347635969883</c:v>
                </c:pt>
                <c:pt idx="116">
                  <c:v>59.127347635969883</c:v>
                </c:pt>
                <c:pt idx="117">
                  <c:v>59.127347635969883</c:v>
                </c:pt>
                <c:pt idx="118">
                  <c:v>59.127347635969883</c:v>
                </c:pt>
                <c:pt idx="119">
                  <c:v>59.127347635969883</c:v>
                </c:pt>
                <c:pt idx="120">
                  <c:v>59.127347635969883</c:v>
                </c:pt>
                <c:pt idx="121">
                  <c:v>59.127347635969883</c:v>
                </c:pt>
                <c:pt idx="122">
                  <c:v>59.127347635969883</c:v>
                </c:pt>
                <c:pt idx="123">
                  <c:v>59.127347635969883</c:v>
                </c:pt>
                <c:pt idx="124">
                  <c:v>59.127347635969883</c:v>
                </c:pt>
                <c:pt idx="125">
                  <c:v>59.127347635969883</c:v>
                </c:pt>
                <c:pt idx="126">
                  <c:v>59.127347635969883</c:v>
                </c:pt>
                <c:pt idx="127">
                  <c:v>59.127347635969883</c:v>
                </c:pt>
                <c:pt idx="128">
                  <c:v>59.127347635969883</c:v>
                </c:pt>
                <c:pt idx="129">
                  <c:v>59.127347635969883</c:v>
                </c:pt>
                <c:pt idx="130">
                  <c:v>59.127347635969883</c:v>
                </c:pt>
                <c:pt idx="131">
                  <c:v>59.127347635969883</c:v>
                </c:pt>
                <c:pt idx="132">
                  <c:v>59.127347635969883</c:v>
                </c:pt>
                <c:pt idx="133">
                  <c:v>59.127347635969883</c:v>
                </c:pt>
                <c:pt idx="134">
                  <c:v>59.127347635969883</c:v>
                </c:pt>
                <c:pt idx="135">
                  <c:v>59.127347635969883</c:v>
                </c:pt>
                <c:pt idx="136">
                  <c:v>59.127347635969883</c:v>
                </c:pt>
                <c:pt idx="137">
                  <c:v>59.127347635969883</c:v>
                </c:pt>
                <c:pt idx="138">
                  <c:v>59.127347635969883</c:v>
                </c:pt>
                <c:pt idx="139">
                  <c:v>59.127347635969883</c:v>
                </c:pt>
                <c:pt idx="140">
                  <c:v>59.127347635969883</c:v>
                </c:pt>
                <c:pt idx="141">
                  <c:v>59.127347635969883</c:v>
                </c:pt>
                <c:pt idx="142">
                  <c:v>59.127347635969883</c:v>
                </c:pt>
                <c:pt idx="143">
                  <c:v>59.127347635969883</c:v>
                </c:pt>
                <c:pt idx="144">
                  <c:v>59.127347635969883</c:v>
                </c:pt>
                <c:pt idx="145">
                  <c:v>59.127347635969883</c:v>
                </c:pt>
                <c:pt idx="146">
                  <c:v>59.127347635969883</c:v>
                </c:pt>
                <c:pt idx="147">
                  <c:v>59.127347635969883</c:v>
                </c:pt>
                <c:pt idx="148">
                  <c:v>59.127347635969883</c:v>
                </c:pt>
                <c:pt idx="149">
                  <c:v>59.127347635969883</c:v>
                </c:pt>
                <c:pt idx="150">
                  <c:v>59.127347635969883</c:v>
                </c:pt>
                <c:pt idx="151">
                  <c:v>59.127347635969883</c:v>
                </c:pt>
                <c:pt idx="152">
                  <c:v>59.127347635969883</c:v>
                </c:pt>
                <c:pt idx="153">
                  <c:v>59.127347635969883</c:v>
                </c:pt>
                <c:pt idx="154">
                  <c:v>59.127347635969883</c:v>
                </c:pt>
                <c:pt idx="155">
                  <c:v>59.127347635969883</c:v>
                </c:pt>
                <c:pt idx="156">
                  <c:v>59.127347635969883</c:v>
                </c:pt>
                <c:pt idx="157">
                  <c:v>59.127347635969883</c:v>
                </c:pt>
                <c:pt idx="158">
                  <c:v>59.127347635969883</c:v>
                </c:pt>
                <c:pt idx="159">
                  <c:v>59.127347635969883</c:v>
                </c:pt>
                <c:pt idx="160">
                  <c:v>59.127347635969883</c:v>
                </c:pt>
                <c:pt idx="161">
                  <c:v>59.127347635969883</c:v>
                </c:pt>
                <c:pt idx="162">
                  <c:v>59.127347635969883</c:v>
                </c:pt>
                <c:pt idx="163">
                  <c:v>59.127347635969883</c:v>
                </c:pt>
                <c:pt idx="164">
                  <c:v>59.127347635969883</c:v>
                </c:pt>
                <c:pt idx="165">
                  <c:v>59.127347635969883</c:v>
                </c:pt>
                <c:pt idx="166">
                  <c:v>59.127347635969883</c:v>
                </c:pt>
                <c:pt idx="167">
                  <c:v>59.127347635969883</c:v>
                </c:pt>
                <c:pt idx="168">
                  <c:v>59.127347635969883</c:v>
                </c:pt>
                <c:pt idx="169">
                  <c:v>59.127347635969883</c:v>
                </c:pt>
                <c:pt idx="170">
                  <c:v>59.127347635969883</c:v>
                </c:pt>
                <c:pt idx="171">
                  <c:v>59.127347635969883</c:v>
                </c:pt>
                <c:pt idx="172">
                  <c:v>59.127347635969883</c:v>
                </c:pt>
                <c:pt idx="173">
                  <c:v>59.127347635969883</c:v>
                </c:pt>
                <c:pt idx="174">
                  <c:v>59.127347635969883</c:v>
                </c:pt>
                <c:pt idx="175">
                  <c:v>59.127347635969883</c:v>
                </c:pt>
                <c:pt idx="176">
                  <c:v>59.127347635969883</c:v>
                </c:pt>
                <c:pt idx="177">
                  <c:v>59.127347635969883</c:v>
                </c:pt>
                <c:pt idx="178">
                  <c:v>59.127347635969883</c:v>
                </c:pt>
                <c:pt idx="179">
                  <c:v>59.127347635969883</c:v>
                </c:pt>
                <c:pt idx="180">
                  <c:v>59.127347635969883</c:v>
                </c:pt>
                <c:pt idx="181">
                  <c:v>59.127347635969883</c:v>
                </c:pt>
                <c:pt idx="182">
                  <c:v>59.127347635969883</c:v>
                </c:pt>
                <c:pt idx="183">
                  <c:v>59.127347635969883</c:v>
                </c:pt>
                <c:pt idx="184">
                  <c:v>59.127347635969883</c:v>
                </c:pt>
                <c:pt idx="185">
                  <c:v>59.127347635969883</c:v>
                </c:pt>
                <c:pt idx="186">
                  <c:v>59.127347635969883</c:v>
                </c:pt>
                <c:pt idx="187">
                  <c:v>59.127347635969883</c:v>
                </c:pt>
                <c:pt idx="188">
                  <c:v>59.127347635969883</c:v>
                </c:pt>
                <c:pt idx="189">
                  <c:v>59.127347635969883</c:v>
                </c:pt>
                <c:pt idx="190">
                  <c:v>59.127347635969883</c:v>
                </c:pt>
                <c:pt idx="191">
                  <c:v>59.127347635969883</c:v>
                </c:pt>
                <c:pt idx="192">
                  <c:v>59.127347635969883</c:v>
                </c:pt>
                <c:pt idx="193">
                  <c:v>59.127347635969883</c:v>
                </c:pt>
                <c:pt idx="194">
                  <c:v>59.127347635969883</c:v>
                </c:pt>
                <c:pt idx="195">
                  <c:v>59.127347635969883</c:v>
                </c:pt>
                <c:pt idx="196">
                  <c:v>59.127347635969883</c:v>
                </c:pt>
                <c:pt idx="197">
                  <c:v>59.127347635969883</c:v>
                </c:pt>
                <c:pt idx="198">
                  <c:v>59.127347635969883</c:v>
                </c:pt>
                <c:pt idx="199">
                  <c:v>59.127347635969883</c:v>
                </c:pt>
                <c:pt idx="200">
                  <c:v>59.127347635969883</c:v>
                </c:pt>
                <c:pt idx="201">
                  <c:v>59.127347635969883</c:v>
                </c:pt>
                <c:pt idx="202">
                  <c:v>59.127347635969883</c:v>
                </c:pt>
                <c:pt idx="203">
                  <c:v>59.127347635969883</c:v>
                </c:pt>
                <c:pt idx="204">
                  <c:v>59.127347635969883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9-4867-8F5D-E1038D0D42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ferry!$S$30:$S$234</c:f>
              <c:numCache>
                <c:formatCode>0.000</c:formatCode>
                <c:ptCount val="205"/>
                <c:pt idx="0">
                  <c:v>67.425922742772684</c:v>
                </c:pt>
                <c:pt idx="1">
                  <c:v>67.425922742772684</c:v>
                </c:pt>
                <c:pt idx="2">
                  <c:v>67.425922742772684</c:v>
                </c:pt>
                <c:pt idx="3">
                  <c:v>67.425922742772684</c:v>
                </c:pt>
                <c:pt idx="4">
                  <c:v>67.425922742772684</c:v>
                </c:pt>
                <c:pt idx="5">
                  <c:v>67.425922742772684</c:v>
                </c:pt>
                <c:pt idx="6">
                  <c:v>67.425922742772684</c:v>
                </c:pt>
                <c:pt idx="7">
                  <c:v>67.425922742772684</c:v>
                </c:pt>
                <c:pt idx="8">
                  <c:v>67.425922742772684</c:v>
                </c:pt>
                <c:pt idx="9">
                  <c:v>67.425922742772684</c:v>
                </c:pt>
                <c:pt idx="10">
                  <c:v>67.425922742772684</c:v>
                </c:pt>
                <c:pt idx="11">
                  <c:v>67.425922742772684</c:v>
                </c:pt>
                <c:pt idx="12">
                  <c:v>67.425922742772684</c:v>
                </c:pt>
                <c:pt idx="13">
                  <c:v>67.425922742772684</c:v>
                </c:pt>
                <c:pt idx="14">
                  <c:v>67.425922742772684</c:v>
                </c:pt>
                <c:pt idx="15">
                  <c:v>67.425922742772684</c:v>
                </c:pt>
                <c:pt idx="16">
                  <c:v>67.425922742772684</c:v>
                </c:pt>
                <c:pt idx="17">
                  <c:v>67.425922742772684</c:v>
                </c:pt>
                <c:pt idx="18">
                  <c:v>67.425922742772684</c:v>
                </c:pt>
                <c:pt idx="19">
                  <c:v>67.425922742772684</c:v>
                </c:pt>
                <c:pt idx="20">
                  <c:v>67.425922742772684</c:v>
                </c:pt>
                <c:pt idx="21">
                  <c:v>67.425922742772684</c:v>
                </c:pt>
                <c:pt idx="22">
                  <c:v>67.425922742772684</c:v>
                </c:pt>
                <c:pt idx="23">
                  <c:v>67.425922742772684</c:v>
                </c:pt>
                <c:pt idx="24">
                  <c:v>67.425922742772684</c:v>
                </c:pt>
                <c:pt idx="25">
                  <c:v>67.425922742772684</c:v>
                </c:pt>
                <c:pt idx="26">
                  <c:v>67.425922742772684</c:v>
                </c:pt>
                <c:pt idx="27">
                  <c:v>67.425922742772684</c:v>
                </c:pt>
                <c:pt idx="28">
                  <c:v>67.425922742772684</c:v>
                </c:pt>
                <c:pt idx="29">
                  <c:v>67.425922742772684</c:v>
                </c:pt>
                <c:pt idx="30">
                  <c:v>67.425922742772684</c:v>
                </c:pt>
                <c:pt idx="31">
                  <c:v>67.425922742772684</c:v>
                </c:pt>
                <c:pt idx="32">
                  <c:v>67.425922742772684</c:v>
                </c:pt>
                <c:pt idx="33">
                  <c:v>67.425922742772684</c:v>
                </c:pt>
                <c:pt idx="34">
                  <c:v>67.425922742772684</c:v>
                </c:pt>
                <c:pt idx="35">
                  <c:v>67.425922742772684</c:v>
                </c:pt>
                <c:pt idx="36">
                  <c:v>67.425922742772684</c:v>
                </c:pt>
                <c:pt idx="37">
                  <c:v>67.425922742772684</c:v>
                </c:pt>
                <c:pt idx="38">
                  <c:v>67.425922742772684</c:v>
                </c:pt>
                <c:pt idx="39">
                  <c:v>67.425922742772684</c:v>
                </c:pt>
                <c:pt idx="40">
                  <c:v>67.425922742772684</c:v>
                </c:pt>
                <c:pt idx="41">
                  <c:v>67.425922742772684</c:v>
                </c:pt>
                <c:pt idx="42">
                  <c:v>67.425922742772684</c:v>
                </c:pt>
                <c:pt idx="43">
                  <c:v>67.425922742772684</c:v>
                </c:pt>
                <c:pt idx="44">
                  <c:v>67.425922742772684</c:v>
                </c:pt>
                <c:pt idx="45">
                  <c:v>67.425922742772684</c:v>
                </c:pt>
                <c:pt idx="46">
                  <c:v>67.425922742772684</c:v>
                </c:pt>
                <c:pt idx="47">
                  <c:v>67.425922742772684</c:v>
                </c:pt>
                <c:pt idx="48">
                  <c:v>67.425922742772684</c:v>
                </c:pt>
                <c:pt idx="49">
                  <c:v>67.425922742772684</c:v>
                </c:pt>
                <c:pt idx="50">
                  <c:v>67.425922742772684</c:v>
                </c:pt>
                <c:pt idx="51">
                  <c:v>67.425922742772684</c:v>
                </c:pt>
                <c:pt idx="52">
                  <c:v>67.425922742772684</c:v>
                </c:pt>
                <c:pt idx="53">
                  <c:v>67.425922742772684</c:v>
                </c:pt>
                <c:pt idx="54">
                  <c:v>67.425922742772684</c:v>
                </c:pt>
                <c:pt idx="55">
                  <c:v>67.425922742772684</c:v>
                </c:pt>
                <c:pt idx="56">
                  <c:v>67.425922742772684</c:v>
                </c:pt>
                <c:pt idx="57">
                  <c:v>67.425922742772684</c:v>
                </c:pt>
                <c:pt idx="58">
                  <c:v>67.425922742772684</c:v>
                </c:pt>
                <c:pt idx="59">
                  <c:v>67.425922742772684</c:v>
                </c:pt>
                <c:pt idx="60">
                  <c:v>67.425922742772684</c:v>
                </c:pt>
                <c:pt idx="61">
                  <c:v>67.425922742772684</c:v>
                </c:pt>
                <c:pt idx="62">
                  <c:v>67.425922742772684</c:v>
                </c:pt>
                <c:pt idx="63">
                  <c:v>67.425922742772684</c:v>
                </c:pt>
                <c:pt idx="64">
                  <c:v>67.425922742772684</c:v>
                </c:pt>
                <c:pt idx="65">
                  <c:v>67.425922742772684</c:v>
                </c:pt>
                <c:pt idx="66">
                  <c:v>67.425922742772684</c:v>
                </c:pt>
                <c:pt idx="67">
                  <c:v>67.425922742772684</c:v>
                </c:pt>
                <c:pt idx="68">
                  <c:v>67.425922742772684</c:v>
                </c:pt>
                <c:pt idx="69">
                  <c:v>67.425922742772684</c:v>
                </c:pt>
                <c:pt idx="70">
                  <c:v>67.425922742772684</c:v>
                </c:pt>
                <c:pt idx="71">
                  <c:v>67.425922742772684</c:v>
                </c:pt>
                <c:pt idx="72">
                  <c:v>67.425922742772684</c:v>
                </c:pt>
                <c:pt idx="73">
                  <c:v>67.425922742772684</c:v>
                </c:pt>
                <c:pt idx="74">
                  <c:v>67.425922742772684</c:v>
                </c:pt>
                <c:pt idx="75">
                  <c:v>67.425922742772684</c:v>
                </c:pt>
                <c:pt idx="76">
                  <c:v>67.425922742772684</c:v>
                </c:pt>
                <c:pt idx="77">
                  <c:v>67.425922742772684</c:v>
                </c:pt>
                <c:pt idx="78">
                  <c:v>67.425922742772684</c:v>
                </c:pt>
                <c:pt idx="79">
                  <c:v>67.425922742772684</c:v>
                </c:pt>
                <c:pt idx="80">
                  <c:v>67.425922742772684</c:v>
                </c:pt>
                <c:pt idx="81">
                  <c:v>67.425922742772684</c:v>
                </c:pt>
                <c:pt idx="82">
                  <c:v>67.425922742772684</c:v>
                </c:pt>
                <c:pt idx="83">
                  <c:v>67.425922742772684</c:v>
                </c:pt>
                <c:pt idx="84">
                  <c:v>67.425922742772684</c:v>
                </c:pt>
                <c:pt idx="85">
                  <c:v>67.425922742772684</c:v>
                </c:pt>
                <c:pt idx="86">
                  <c:v>67.425922742772684</c:v>
                </c:pt>
                <c:pt idx="87">
                  <c:v>67.425922742772684</c:v>
                </c:pt>
                <c:pt idx="88">
                  <c:v>67.425922742772684</c:v>
                </c:pt>
                <c:pt idx="89">
                  <c:v>67.425922742772684</c:v>
                </c:pt>
                <c:pt idx="90">
                  <c:v>67.425922742772684</c:v>
                </c:pt>
                <c:pt idx="91">
                  <c:v>67.425922742772684</c:v>
                </c:pt>
                <c:pt idx="92">
                  <c:v>67.425922742772684</c:v>
                </c:pt>
                <c:pt idx="93">
                  <c:v>67.425922742772684</c:v>
                </c:pt>
                <c:pt idx="94">
                  <c:v>67.425922742772684</c:v>
                </c:pt>
                <c:pt idx="95">
                  <c:v>67.425922742772684</c:v>
                </c:pt>
                <c:pt idx="96">
                  <c:v>67.425922742772684</c:v>
                </c:pt>
                <c:pt idx="97">
                  <c:v>67.425922742772684</c:v>
                </c:pt>
                <c:pt idx="98">
                  <c:v>67.425922742772684</c:v>
                </c:pt>
                <c:pt idx="99">
                  <c:v>67.425922742772684</c:v>
                </c:pt>
                <c:pt idx="100">
                  <c:v>67.425922742772684</c:v>
                </c:pt>
                <c:pt idx="101">
                  <c:v>67.425922742772684</c:v>
                </c:pt>
                <c:pt idx="102">
                  <c:v>67.425922742772684</c:v>
                </c:pt>
                <c:pt idx="103">
                  <c:v>67.425922742772684</c:v>
                </c:pt>
                <c:pt idx="104">
                  <c:v>67.425922742772684</c:v>
                </c:pt>
                <c:pt idx="105">
                  <c:v>67.425922742772684</c:v>
                </c:pt>
                <c:pt idx="106">
                  <c:v>67.425922742772684</c:v>
                </c:pt>
                <c:pt idx="107">
                  <c:v>67.425922742772684</c:v>
                </c:pt>
                <c:pt idx="108">
                  <c:v>67.425922742772684</c:v>
                </c:pt>
                <c:pt idx="109">
                  <c:v>67.425922742772684</c:v>
                </c:pt>
                <c:pt idx="110">
                  <c:v>67.425922742772684</c:v>
                </c:pt>
                <c:pt idx="111">
                  <c:v>67.425922742772684</c:v>
                </c:pt>
                <c:pt idx="112">
                  <c:v>67.425922742772684</c:v>
                </c:pt>
                <c:pt idx="113">
                  <c:v>67.425922742772684</c:v>
                </c:pt>
                <c:pt idx="114">
                  <c:v>67.425922742772684</c:v>
                </c:pt>
                <c:pt idx="115">
                  <c:v>67.425922742772684</c:v>
                </c:pt>
                <c:pt idx="116">
                  <c:v>67.425922742772684</c:v>
                </c:pt>
                <c:pt idx="117">
                  <c:v>67.425922742772684</c:v>
                </c:pt>
                <c:pt idx="118">
                  <c:v>67.425922742772684</c:v>
                </c:pt>
                <c:pt idx="119">
                  <c:v>67.425922742772684</c:v>
                </c:pt>
                <c:pt idx="120">
                  <c:v>67.425922742772684</c:v>
                </c:pt>
                <c:pt idx="121">
                  <c:v>67.425922742772684</c:v>
                </c:pt>
                <c:pt idx="122">
                  <c:v>67.425922742772684</c:v>
                </c:pt>
                <c:pt idx="123">
                  <c:v>67.425922742772684</c:v>
                </c:pt>
                <c:pt idx="124">
                  <c:v>67.425922742772684</c:v>
                </c:pt>
                <c:pt idx="125">
                  <c:v>67.425922742772684</c:v>
                </c:pt>
                <c:pt idx="126">
                  <c:v>67.425922742772684</c:v>
                </c:pt>
                <c:pt idx="127">
                  <c:v>67.425922742772684</c:v>
                </c:pt>
                <c:pt idx="128">
                  <c:v>67.425922742772684</c:v>
                </c:pt>
                <c:pt idx="129">
                  <c:v>67.425922742772684</c:v>
                </c:pt>
                <c:pt idx="130">
                  <c:v>67.425922742772684</c:v>
                </c:pt>
                <c:pt idx="131">
                  <c:v>67.425922742772684</c:v>
                </c:pt>
                <c:pt idx="132">
                  <c:v>67.425922742772684</c:v>
                </c:pt>
                <c:pt idx="133">
                  <c:v>67.425922742772684</c:v>
                </c:pt>
                <c:pt idx="134">
                  <c:v>67.425922742772684</c:v>
                </c:pt>
                <c:pt idx="135">
                  <c:v>67.425922742772684</c:v>
                </c:pt>
                <c:pt idx="136">
                  <c:v>67.425922742772684</c:v>
                </c:pt>
                <c:pt idx="137">
                  <c:v>67.425922742772684</c:v>
                </c:pt>
                <c:pt idx="138">
                  <c:v>67.425922742772684</c:v>
                </c:pt>
                <c:pt idx="139">
                  <c:v>67.425922742772684</c:v>
                </c:pt>
                <c:pt idx="140">
                  <c:v>67.425922742772684</c:v>
                </c:pt>
                <c:pt idx="141">
                  <c:v>67.425922742772684</c:v>
                </c:pt>
                <c:pt idx="142">
                  <c:v>67.425922742772684</c:v>
                </c:pt>
                <c:pt idx="143">
                  <c:v>67.425922742772684</c:v>
                </c:pt>
                <c:pt idx="144">
                  <c:v>67.425922742772684</c:v>
                </c:pt>
                <c:pt idx="145">
                  <c:v>67.425922742772684</c:v>
                </c:pt>
                <c:pt idx="146">
                  <c:v>67.425922742772684</c:v>
                </c:pt>
                <c:pt idx="147">
                  <c:v>67.425922742772684</c:v>
                </c:pt>
                <c:pt idx="148">
                  <c:v>67.425922742772684</c:v>
                </c:pt>
                <c:pt idx="149">
                  <c:v>67.425922742772684</c:v>
                </c:pt>
                <c:pt idx="150">
                  <c:v>67.425922742772684</c:v>
                </c:pt>
                <c:pt idx="151">
                  <c:v>67.425922742772684</c:v>
                </c:pt>
                <c:pt idx="152">
                  <c:v>67.425922742772684</c:v>
                </c:pt>
                <c:pt idx="153">
                  <c:v>67.425922742772684</c:v>
                </c:pt>
                <c:pt idx="154">
                  <c:v>67.425922742772684</c:v>
                </c:pt>
                <c:pt idx="155">
                  <c:v>67.425922742772684</c:v>
                </c:pt>
                <c:pt idx="156">
                  <c:v>67.425922742772684</c:v>
                </c:pt>
                <c:pt idx="157">
                  <c:v>67.425922742772684</c:v>
                </c:pt>
                <c:pt idx="158">
                  <c:v>67.425922742772684</c:v>
                </c:pt>
                <c:pt idx="159">
                  <c:v>67.425922742772684</c:v>
                </c:pt>
                <c:pt idx="160">
                  <c:v>67.425922742772684</c:v>
                </c:pt>
                <c:pt idx="161">
                  <c:v>67.425922742772684</c:v>
                </c:pt>
                <c:pt idx="162">
                  <c:v>67.425922742772684</c:v>
                </c:pt>
                <c:pt idx="163">
                  <c:v>67.425922742772684</c:v>
                </c:pt>
                <c:pt idx="164">
                  <c:v>67.425922742772684</c:v>
                </c:pt>
                <c:pt idx="165">
                  <c:v>67.425922742772684</c:v>
                </c:pt>
                <c:pt idx="166">
                  <c:v>67.425922742772684</c:v>
                </c:pt>
                <c:pt idx="167">
                  <c:v>67.425922742772684</c:v>
                </c:pt>
                <c:pt idx="168">
                  <c:v>67.425922742772684</c:v>
                </c:pt>
                <c:pt idx="169">
                  <c:v>67.425922742772684</c:v>
                </c:pt>
                <c:pt idx="170">
                  <c:v>67.425922742772684</c:v>
                </c:pt>
                <c:pt idx="171">
                  <c:v>67.425922742772684</c:v>
                </c:pt>
                <c:pt idx="172">
                  <c:v>67.425922742772684</c:v>
                </c:pt>
                <c:pt idx="173">
                  <c:v>67.425922742772684</c:v>
                </c:pt>
                <c:pt idx="174">
                  <c:v>67.425922742772684</c:v>
                </c:pt>
                <c:pt idx="175">
                  <c:v>67.425922742772684</c:v>
                </c:pt>
                <c:pt idx="176">
                  <c:v>67.425922742772684</c:v>
                </c:pt>
                <c:pt idx="177">
                  <c:v>67.425922742772684</c:v>
                </c:pt>
                <c:pt idx="178">
                  <c:v>67.425922742772684</c:v>
                </c:pt>
                <c:pt idx="179">
                  <c:v>67.425922742772684</c:v>
                </c:pt>
                <c:pt idx="180">
                  <c:v>67.425922742772684</c:v>
                </c:pt>
                <c:pt idx="181">
                  <c:v>67.425922742772684</c:v>
                </c:pt>
                <c:pt idx="182">
                  <c:v>67.425922742772684</c:v>
                </c:pt>
                <c:pt idx="183">
                  <c:v>67.425922742772684</c:v>
                </c:pt>
                <c:pt idx="184">
                  <c:v>67.425922742772684</c:v>
                </c:pt>
                <c:pt idx="185">
                  <c:v>67.425922742772684</c:v>
                </c:pt>
                <c:pt idx="186">
                  <c:v>67.425922742772684</c:v>
                </c:pt>
                <c:pt idx="187">
                  <c:v>67.425922742772684</c:v>
                </c:pt>
                <c:pt idx="188">
                  <c:v>67.425922742772684</c:v>
                </c:pt>
                <c:pt idx="189">
                  <c:v>67.425922742772684</c:v>
                </c:pt>
                <c:pt idx="190">
                  <c:v>67.425922742772684</c:v>
                </c:pt>
                <c:pt idx="191">
                  <c:v>67.425922742772684</c:v>
                </c:pt>
                <c:pt idx="192">
                  <c:v>67.425922742772684</c:v>
                </c:pt>
                <c:pt idx="193">
                  <c:v>67.425922742772684</c:v>
                </c:pt>
                <c:pt idx="194">
                  <c:v>67.425922742772684</c:v>
                </c:pt>
                <c:pt idx="195">
                  <c:v>67.425922742772684</c:v>
                </c:pt>
                <c:pt idx="196">
                  <c:v>67.425922742772684</c:v>
                </c:pt>
                <c:pt idx="197">
                  <c:v>67.425922742772684</c:v>
                </c:pt>
                <c:pt idx="198">
                  <c:v>67.425922742772684</c:v>
                </c:pt>
                <c:pt idx="199">
                  <c:v>67.425922742772684</c:v>
                </c:pt>
                <c:pt idx="200">
                  <c:v>67.425922742772684</c:v>
                </c:pt>
                <c:pt idx="201">
                  <c:v>67.425922742772684</c:v>
                </c:pt>
                <c:pt idx="202">
                  <c:v>67.425922742772684</c:v>
                </c:pt>
                <c:pt idx="203">
                  <c:v>67.425922742772684</c:v>
                </c:pt>
                <c:pt idx="204">
                  <c:v>67.425922742772684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E9-4867-8F5D-E1038D0D42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ferry!$U$30:$U$234</c:f>
              <c:numCache>
                <c:formatCode>General</c:formatCode>
                <c:ptCount val="205"/>
                <c:pt idx="0">
                  <c:v>534.89051094890499</c:v>
                </c:pt>
                <c:pt idx="1">
                  <c:v>534.89051094890499</c:v>
                </c:pt>
                <c:pt idx="2">
                  <c:v>191.13504053784749</c:v>
                </c:pt>
                <c:pt idx="3">
                  <c:v>182.04390541157005</c:v>
                </c:pt>
                <c:pt idx="4">
                  <c:v>177.21876723995484</c:v>
                </c:pt>
                <c:pt idx="5">
                  <c:v>175.3966455473664</c:v>
                </c:pt>
                <c:pt idx="6">
                  <c:v>172.83965872334923</c:v>
                </c:pt>
                <c:pt idx="7">
                  <c:v>168.57122821088464</c:v>
                </c:pt>
                <c:pt idx="8">
                  <c:v>165.83524174952899</c:v>
                </c:pt>
                <c:pt idx="9">
                  <c:v>152.46442375632441</c:v>
                </c:pt>
                <c:pt idx="10">
                  <c:v>94.425561377218216</c:v>
                </c:pt>
                <c:pt idx="11">
                  <c:v>75.601867523068819</c:v>
                </c:pt>
                <c:pt idx="12">
                  <c:v>65.708670096942697</c:v>
                </c:pt>
                <c:pt idx="13">
                  <c:v>59.551765764784655</c:v>
                </c:pt>
                <c:pt idx="14">
                  <c:v>54.496756266829252</c:v>
                </c:pt>
                <c:pt idx="15">
                  <c:v>50.505040214657377</c:v>
                </c:pt>
                <c:pt idx="16">
                  <c:v>47.555058189762647</c:v>
                </c:pt>
                <c:pt idx="17">
                  <c:v>45.151111590204458</c:v>
                </c:pt>
                <c:pt idx="18">
                  <c:v>45.169523408300137</c:v>
                </c:pt>
                <c:pt idx="19">
                  <c:v>43.803167671816219</c:v>
                </c:pt>
                <c:pt idx="20">
                  <c:v>42.384359759861809</c:v>
                </c:pt>
                <c:pt idx="21">
                  <c:v>41.585926513219896</c:v>
                </c:pt>
                <c:pt idx="22">
                  <c:v>41.03347524469963</c:v>
                </c:pt>
                <c:pt idx="23">
                  <c:v>40.197265728514559</c:v>
                </c:pt>
                <c:pt idx="24">
                  <c:v>40.772662145712502</c:v>
                </c:pt>
                <c:pt idx="25">
                  <c:v>39.959634750466975</c:v>
                </c:pt>
                <c:pt idx="26">
                  <c:v>39.601895057718345</c:v>
                </c:pt>
                <c:pt idx="27">
                  <c:v>38.90456333089211</c:v>
                </c:pt>
                <c:pt idx="28">
                  <c:v>42.617480755088529</c:v>
                </c:pt>
                <c:pt idx="29">
                  <c:v>42.02341388387552</c:v>
                </c:pt>
                <c:pt idx="30">
                  <c:v>41.774434794735896</c:v>
                </c:pt>
                <c:pt idx="31">
                  <c:v>41.289424448470939</c:v>
                </c:pt>
                <c:pt idx="32">
                  <c:v>42.027132798717489</c:v>
                </c:pt>
                <c:pt idx="33">
                  <c:v>41.567843573962371</c:v>
                </c:pt>
                <c:pt idx="34">
                  <c:v>41.174516186111987</c:v>
                </c:pt>
                <c:pt idx="35">
                  <c:v>40.837236464348067</c:v>
                </c:pt>
                <c:pt idx="36">
                  <c:v>44.010472998992405</c:v>
                </c:pt>
                <c:pt idx="37">
                  <c:v>43.672411919116534</c:v>
                </c:pt>
                <c:pt idx="38">
                  <c:v>43.276709797189902</c:v>
                </c:pt>
                <c:pt idx="39">
                  <c:v>43.001104631817832</c:v>
                </c:pt>
                <c:pt idx="40">
                  <c:v>42.604320147705444</c:v>
                </c:pt>
                <c:pt idx="41">
                  <c:v>42.288726871628718</c:v>
                </c:pt>
                <c:pt idx="42">
                  <c:v>41.906797915794137</c:v>
                </c:pt>
                <c:pt idx="43">
                  <c:v>41.711134540261362</c:v>
                </c:pt>
                <c:pt idx="44">
                  <c:v>41.31577381479682</c:v>
                </c:pt>
                <c:pt idx="45">
                  <c:v>41.149323804205544</c:v>
                </c:pt>
                <c:pt idx="46">
                  <c:v>40.911802318926512</c:v>
                </c:pt>
                <c:pt idx="47">
                  <c:v>40.652338611356328</c:v>
                </c:pt>
                <c:pt idx="48">
                  <c:v>40.430557051550522</c:v>
                </c:pt>
                <c:pt idx="49">
                  <c:v>40.151838767155951</c:v>
                </c:pt>
                <c:pt idx="50">
                  <c:v>39.901771964196357</c:v>
                </c:pt>
                <c:pt idx="51">
                  <c:v>39.605593365566925</c:v>
                </c:pt>
                <c:pt idx="52">
                  <c:v>39.352836654546962</c:v>
                </c:pt>
                <c:pt idx="53">
                  <c:v>39.189552127848415</c:v>
                </c:pt>
                <c:pt idx="54">
                  <c:v>39.081924537232176</c:v>
                </c:pt>
                <c:pt idx="55">
                  <c:v>38.818747091737407</c:v>
                </c:pt>
                <c:pt idx="56">
                  <c:v>38.589762017529821</c:v>
                </c:pt>
                <c:pt idx="57">
                  <c:v>39.552983418411422</c:v>
                </c:pt>
                <c:pt idx="58">
                  <c:v>39.356171821049017</c:v>
                </c:pt>
                <c:pt idx="59">
                  <c:v>39.160292312156592</c:v>
                </c:pt>
                <c:pt idx="60">
                  <c:v>39.057699630995486</c:v>
                </c:pt>
                <c:pt idx="61">
                  <c:v>38.844233874951897</c:v>
                </c:pt>
                <c:pt idx="62">
                  <c:v>38.661942046856346</c:v>
                </c:pt>
                <c:pt idx="63">
                  <c:v>38.475557520698018</c:v>
                </c:pt>
                <c:pt idx="64">
                  <c:v>38.735251970521553</c:v>
                </c:pt>
                <c:pt idx="65">
                  <c:v>38.528916622547612</c:v>
                </c:pt>
                <c:pt idx="66">
                  <c:v>38.374955646993321</c:v>
                </c:pt>
                <c:pt idx="67">
                  <c:v>38.246496864035777</c:v>
                </c:pt>
                <c:pt idx="68">
                  <c:v>38.562514884468847</c:v>
                </c:pt>
                <c:pt idx="69">
                  <c:v>38.408913523360226</c:v>
                </c:pt>
                <c:pt idx="70">
                  <c:v>38.365856913971825</c:v>
                </c:pt>
                <c:pt idx="71">
                  <c:v>38.201456621249818</c:v>
                </c:pt>
                <c:pt idx="72">
                  <c:v>38.058007791859133</c:v>
                </c:pt>
                <c:pt idx="73">
                  <c:v>37.912405500484681</c:v>
                </c:pt>
                <c:pt idx="74">
                  <c:v>37.795888067656172</c:v>
                </c:pt>
                <c:pt idx="75">
                  <c:v>37.861033873941331</c:v>
                </c:pt>
                <c:pt idx="76">
                  <c:v>37.761507812059435</c:v>
                </c:pt>
                <c:pt idx="77">
                  <c:v>37.632361626933076</c:v>
                </c:pt>
                <c:pt idx="78">
                  <c:v>37.476740423157558</c:v>
                </c:pt>
                <c:pt idx="79">
                  <c:v>39.53784846812173</c:v>
                </c:pt>
                <c:pt idx="80">
                  <c:v>39.438379722708284</c:v>
                </c:pt>
                <c:pt idx="81">
                  <c:v>39.381620412486335</c:v>
                </c:pt>
                <c:pt idx="82">
                  <c:v>39.284264291188585</c:v>
                </c:pt>
                <c:pt idx="83">
                  <c:v>39.163612794763871</c:v>
                </c:pt>
                <c:pt idx="84">
                  <c:v>39.060467721153408</c:v>
                </c:pt>
                <c:pt idx="85">
                  <c:v>39.178642237951685</c:v>
                </c:pt>
                <c:pt idx="86">
                  <c:v>39.063559767239042</c:v>
                </c:pt>
                <c:pt idx="87">
                  <c:v>38.942267816989443</c:v>
                </c:pt>
                <c:pt idx="88">
                  <c:v>39.077308069815231</c:v>
                </c:pt>
                <c:pt idx="89">
                  <c:v>39.070281393311298</c:v>
                </c:pt>
                <c:pt idx="90">
                  <c:v>39.006026070649391</c:v>
                </c:pt>
                <c:pt idx="91">
                  <c:v>38.926870301959269</c:v>
                </c:pt>
                <c:pt idx="92">
                  <c:v>38.920892552017087</c:v>
                </c:pt>
                <c:pt idx="93">
                  <c:v>38.828338193738226</c:v>
                </c:pt>
                <c:pt idx="94">
                  <c:v>38.738855553421203</c:v>
                </c:pt>
                <c:pt idx="95">
                  <c:v>38.74675135739836</c:v>
                </c:pt>
                <c:pt idx="96">
                  <c:v>38.762235238510982</c:v>
                </c:pt>
                <c:pt idx="97">
                  <c:v>38.777637054600959</c:v>
                </c:pt>
                <c:pt idx="98">
                  <c:v>38.792957456364462</c:v>
                </c:pt>
                <c:pt idx="99">
                  <c:v>38.808284405988836</c:v>
                </c:pt>
                <c:pt idx="100">
                  <c:v>38.823443674264077</c:v>
                </c:pt>
                <c:pt idx="101">
                  <c:v>38.838523440698381</c:v>
                </c:pt>
                <c:pt idx="102">
                  <c:v>38.853524329069749</c:v>
                </c:pt>
                <c:pt idx="103">
                  <c:v>38.868446956647595</c:v>
                </c:pt>
                <c:pt idx="104">
                  <c:v>38.906486140611101</c:v>
                </c:pt>
                <c:pt idx="105">
                  <c:v>38.944327901186263</c:v>
                </c:pt>
                <c:pt idx="106">
                  <c:v>39.049638073502258</c:v>
                </c:pt>
                <c:pt idx="107">
                  <c:v>39.074125793722139</c:v>
                </c:pt>
                <c:pt idx="108">
                  <c:v>39.568075348901843</c:v>
                </c:pt>
                <c:pt idx="109">
                  <c:v>39.670603770892001</c:v>
                </c:pt>
                <c:pt idx="110">
                  <c:v>39.612158843458943</c:v>
                </c:pt>
                <c:pt idx="111">
                  <c:v>39.656411328660312</c:v>
                </c:pt>
                <c:pt idx="112">
                  <c:v>39.611379788499526</c:v>
                </c:pt>
                <c:pt idx="113">
                  <c:v>39.571486177161297</c:v>
                </c:pt>
                <c:pt idx="114">
                  <c:v>39.552180346432181</c:v>
                </c:pt>
                <c:pt idx="115">
                  <c:v>39.696959514539195</c:v>
                </c:pt>
                <c:pt idx="116">
                  <c:v>39.662185994727416</c:v>
                </c:pt>
                <c:pt idx="117">
                  <c:v>39.615253876018421</c:v>
                </c:pt>
                <c:pt idx="118">
                  <c:v>39.791277708839779</c:v>
                </c:pt>
                <c:pt idx="119">
                  <c:v>39.940171589017581</c:v>
                </c:pt>
                <c:pt idx="120">
                  <c:v>39.868430446821101</c:v>
                </c:pt>
                <c:pt idx="121">
                  <c:v>39.885870681859814</c:v>
                </c:pt>
                <c:pt idx="122">
                  <c:v>39.829383360045099</c:v>
                </c:pt>
                <c:pt idx="123">
                  <c:v>39.777675475497922</c:v>
                </c:pt>
                <c:pt idx="124">
                  <c:v>39.740517826877159</c:v>
                </c:pt>
                <c:pt idx="125">
                  <c:v>39.829674958887239</c:v>
                </c:pt>
                <c:pt idx="126">
                  <c:v>39.782337809627059</c:v>
                </c:pt>
                <c:pt idx="127">
                  <c:v>39.748226972293558</c:v>
                </c:pt>
                <c:pt idx="128">
                  <c:v>39.869230349438716</c:v>
                </c:pt>
                <c:pt idx="129">
                  <c:v>39.856599774814399</c:v>
                </c:pt>
                <c:pt idx="130">
                  <c:v>39.755029515393403</c:v>
                </c:pt>
                <c:pt idx="131">
                  <c:v>39.659038642988655</c:v>
                </c:pt>
                <c:pt idx="132">
                  <c:v>39.631381679802139</c:v>
                </c:pt>
                <c:pt idx="133">
                  <c:v>39.559689373921209</c:v>
                </c:pt>
                <c:pt idx="134">
                  <c:v>39.479381452406763</c:v>
                </c:pt>
                <c:pt idx="135">
                  <c:v>39.402264835267943</c:v>
                </c:pt>
                <c:pt idx="136">
                  <c:v>39.38866188393925</c:v>
                </c:pt>
                <c:pt idx="137">
                  <c:v>39.318473435862735</c:v>
                </c:pt>
                <c:pt idx="138">
                  <c:v>39.251043262544101</c:v>
                </c:pt>
                <c:pt idx="139">
                  <c:v>39.177600297824341</c:v>
                </c:pt>
                <c:pt idx="140">
                  <c:v>39.498506298708506</c:v>
                </c:pt>
                <c:pt idx="141">
                  <c:v>39.576439005598864</c:v>
                </c:pt>
                <c:pt idx="142">
                  <c:v>39.52021828652282</c:v>
                </c:pt>
                <c:pt idx="143">
                  <c:v>39.574770849147711</c:v>
                </c:pt>
                <c:pt idx="144">
                  <c:v>39.529762009462651</c:v>
                </c:pt>
                <c:pt idx="145">
                  <c:v>39.470228991598333</c:v>
                </c:pt>
                <c:pt idx="146">
                  <c:v>39.419988424250761</c:v>
                </c:pt>
                <c:pt idx="147">
                  <c:v>39.432785510555355</c:v>
                </c:pt>
                <c:pt idx="148">
                  <c:v>39.393982544657618</c:v>
                </c:pt>
                <c:pt idx="149">
                  <c:v>39.325109054776348</c:v>
                </c:pt>
                <c:pt idx="150">
                  <c:v>39.522826845135775</c:v>
                </c:pt>
                <c:pt idx="151">
                  <c:v>39.465478709288988</c:v>
                </c:pt>
                <c:pt idx="152">
                  <c:v>39.431702571416771</c:v>
                </c:pt>
                <c:pt idx="153">
                  <c:v>39.420725103970156</c:v>
                </c:pt>
                <c:pt idx="154">
                  <c:v>39.387163002325494</c:v>
                </c:pt>
                <c:pt idx="155">
                  <c:v>39.313327626196319</c:v>
                </c:pt>
                <c:pt idx="156">
                  <c:v>39.243978647198375</c:v>
                </c:pt>
                <c:pt idx="157">
                  <c:v>39.202285368887622</c:v>
                </c:pt>
                <c:pt idx="158">
                  <c:v>39.133747084351043</c:v>
                </c:pt>
                <c:pt idx="159">
                  <c:v>39.131057062377636</c:v>
                </c:pt>
                <c:pt idx="160">
                  <c:v>39.105587044433094</c:v>
                </c:pt>
                <c:pt idx="161">
                  <c:v>39.036127345821015</c:v>
                </c:pt>
                <c:pt idx="162">
                  <c:v>38.964487111303164</c:v>
                </c:pt>
                <c:pt idx="163">
                  <c:v>38.908386592381298</c:v>
                </c:pt>
                <c:pt idx="164">
                  <c:v>38.868124398956169</c:v>
                </c:pt>
                <c:pt idx="165">
                  <c:v>38.805698595880955</c:v>
                </c:pt>
                <c:pt idx="166">
                  <c:v>38.749432401137263</c:v>
                </c:pt>
                <c:pt idx="167">
                  <c:v>38.702374831099263</c:v>
                </c:pt>
                <c:pt idx="168">
                  <c:v>38.675589224880255</c:v>
                </c:pt>
                <c:pt idx="169">
                  <c:v>38.626416008045645</c:v>
                </c:pt>
                <c:pt idx="170">
                  <c:v>38.58322295864405</c:v>
                </c:pt>
                <c:pt idx="171">
                  <c:v>38.755356537620138</c:v>
                </c:pt>
                <c:pt idx="172">
                  <c:v>38.750363492689104</c:v>
                </c:pt>
                <c:pt idx="173">
                  <c:v>38.694333835999863</c:v>
                </c:pt>
                <c:pt idx="174">
                  <c:v>38.640783866312184</c:v>
                </c:pt>
                <c:pt idx="175">
                  <c:v>38.601603741142945</c:v>
                </c:pt>
                <c:pt idx="176">
                  <c:v>38.567578237096114</c:v>
                </c:pt>
                <c:pt idx="177">
                  <c:v>38.517151931948987</c:v>
                </c:pt>
                <c:pt idx="178">
                  <c:v>38.496065973720903</c:v>
                </c:pt>
                <c:pt idx="179">
                  <c:v>38.445547146086732</c:v>
                </c:pt>
                <c:pt idx="180">
                  <c:v>38.381066505096356</c:v>
                </c:pt>
                <c:pt idx="181">
                  <c:v>38.334716013491246</c:v>
                </c:pt>
                <c:pt idx="182">
                  <c:v>38.511189891402083</c:v>
                </c:pt>
                <c:pt idx="183">
                  <c:v>38.464830433563016</c:v>
                </c:pt>
                <c:pt idx="184">
                  <c:v>38.412971122052952</c:v>
                </c:pt>
                <c:pt idx="185">
                  <c:v>38.382877012761625</c:v>
                </c:pt>
                <c:pt idx="186">
                  <c:v>38.376700274848879</c:v>
                </c:pt>
                <c:pt idx="187">
                  <c:v>38.371610486533221</c:v>
                </c:pt>
                <c:pt idx="188">
                  <c:v>38.355153295416798</c:v>
                </c:pt>
                <c:pt idx="189">
                  <c:v>38.419254217671693</c:v>
                </c:pt>
                <c:pt idx="190">
                  <c:v>38.405226144367489</c:v>
                </c:pt>
                <c:pt idx="191">
                  <c:v>38.392379394222687</c:v>
                </c:pt>
                <c:pt idx="192">
                  <c:v>38.384492808243529</c:v>
                </c:pt>
                <c:pt idx="193">
                  <c:v>38.37049714116295</c:v>
                </c:pt>
                <c:pt idx="194">
                  <c:v>38.397599344378108</c:v>
                </c:pt>
                <c:pt idx="195">
                  <c:v>38.420506447756146</c:v>
                </c:pt>
                <c:pt idx="196">
                  <c:v>38.422958983184152</c:v>
                </c:pt>
                <c:pt idx="197">
                  <c:v>38.42729761965095</c:v>
                </c:pt>
                <c:pt idx="198">
                  <c:v>38.426718412226137</c:v>
                </c:pt>
                <c:pt idx="199">
                  <c:v>38.430725501484893</c:v>
                </c:pt>
                <c:pt idx="200">
                  <c:v>38.456596055675369</c:v>
                </c:pt>
                <c:pt idx="201">
                  <c:v>38.488987231187942</c:v>
                </c:pt>
                <c:pt idx="202">
                  <c:v>38.521655098402711</c:v>
                </c:pt>
                <c:pt idx="203">
                  <c:v>38.54669034316651</c:v>
                </c:pt>
                <c:pt idx="204">
                  <c:v>38.581478926610892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E9-4867-8F5D-E1038D0D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97712"/>
        <c:axId val="529802512"/>
      </c:lineChart>
      <c:catAx>
        <c:axId val="52979771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9802512"/>
        <c:crosses val="autoZero"/>
        <c:auto val="1"/>
        <c:lblAlgn val="ctr"/>
        <c:lblOffset val="100"/>
        <c:noMultiLvlLbl val="0"/>
      </c:catAx>
      <c:valAx>
        <c:axId val="5298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97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CII DK</a:t>
            </a:r>
            <a:r>
              <a:rPr lang="en-ID" baseline="0"/>
              <a:t> 9 P.Bai Lembar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CII Calculation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kencana!$F$30:$F$245</c:f>
              <c:numCache>
                <c:formatCode>[$-F400]h:mm:ss\ AM/PM</c:formatCode>
                <c:ptCount val="216"/>
                <c:pt idx="0">
                  <c:v>0.57291666666666663</c:v>
                </c:pt>
                <c:pt idx="1">
                  <c:v>0.57638888888888895</c:v>
                </c:pt>
                <c:pt idx="2">
                  <c:v>0.57847222222222217</c:v>
                </c:pt>
                <c:pt idx="3">
                  <c:v>0.58055555555555505</c:v>
                </c:pt>
                <c:pt idx="4">
                  <c:v>0.58263888888888904</c:v>
                </c:pt>
                <c:pt idx="5">
                  <c:v>0.58472222222222203</c:v>
                </c:pt>
                <c:pt idx="6">
                  <c:v>0.58680555555555503</c:v>
                </c:pt>
                <c:pt idx="7">
                  <c:v>0.58888888888888802</c:v>
                </c:pt>
                <c:pt idx="8">
                  <c:v>0.59027777777777779</c:v>
                </c:pt>
                <c:pt idx="9">
                  <c:v>0.59236111111111112</c:v>
                </c:pt>
                <c:pt idx="10">
                  <c:v>0.59444444444444444</c:v>
                </c:pt>
                <c:pt idx="11">
                  <c:v>0.59652777777777777</c:v>
                </c:pt>
                <c:pt idx="12">
                  <c:v>0.59861111111111109</c:v>
                </c:pt>
                <c:pt idx="13">
                  <c:v>0.60069444444444442</c:v>
                </c:pt>
                <c:pt idx="14">
                  <c:v>0.60277777777777775</c:v>
                </c:pt>
                <c:pt idx="15">
                  <c:v>0.60416666666666663</c:v>
                </c:pt>
                <c:pt idx="16">
                  <c:v>0.60625000000000007</c:v>
                </c:pt>
                <c:pt idx="17">
                  <c:v>0.60833333333333395</c:v>
                </c:pt>
                <c:pt idx="18">
                  <c:v>0.61041666666666705</c:v>
                </c:pt>
                <c:pt idx="19">
                  <c:v>0.61250000000000004</c:v>
                </c:pt>
                <c:pt idx="20">
                  <c:v>0.61458333333333404</c:v>
                </c:pt>
                <c:pt idx="21">
                  <c:v>0.6166666666666667</c:v>
                </c:pt>
                <c:pt idx="22">
                  <c:v>0.61805555555555503</c:v>
                </c:pt>
                <c:pt idx="23">
                  <c:v>0.62013888888888891</c:v>
                </c:pt>
                <c:pt idx="24">
                  <c:v>0.62222222222222301</c:v>
                </c:pt>
                <c:pt idx="25">
                  <c:v>0.624305555555557</c:v>
                </c:pt>
                <c:pt idx="26">
                  <c:v>0.62638888888889099</c:v>
                </c:pt>
                <c:pt idx="27">
                  <c:v>0.62847222222222399</c:v>
                </c:pt>
                <c:pt idx="28">
                  <c:v>0.63055555555555798</c:v>
                </c:pt>
                <c:pt idx="29">
                  <c:v>0.63194444444444398</c:v>
                </c:pt>
                <c:pt idx="30">
                  <c:v>0.63402777777777775</c:v>
                </c:pt>
                <c:pt idx="31">
                  <c:v>0.63611111111111196</c:v>
                </c:pt>
                <c:pt idx="32">
                  <c:v>0.63819444444444495</c:v>
                </c:pt>
                <c:pt idx="33">
                  <c:v>0.64027777777777894</c:v>
                </c:pt>
                <c:pt idx="34">
                  <c:v>0.64236111111111305</c:v>
                </c:pt>
                <c:pt idx="35">
                  <c:v>0.64444444444444704</c:v>
                </c:pt>
                <c:pt idx="36">
                  <c:v>0.64583333333333304</c:v>
                </c:pt>
                <c:pt idx="37">
                  <c:v>0.6479166666666667</c:v>
                </c:pt>
                <c:pt idx="38">
                  <c:v>0.65</c:v>
                </c:pt>
                <c:pt idx="39">
                  <c:v>0.65208333333333401</c:v>
                </c:pt>
                <c:pt idx="40">
                  <c:v>0.65416666666666801</c:v>
                </c:pt>
                <c:pt idx="41">
                  <c:v>0.656250000000001</c:v>
                </c:pt>
                <c:pt idx="42">
                  <c:v>0.65833333333333499</c:v>
                </c:pt>
                <c:pt idx="43">
                  <c:v>0.65972222222222199</c:v>
                </c:pt>
                <c:pt idx="44">
                  <c:v>0.66180555555555554</c:v>
                </c:pt>
                <c:pt idx="45">
                  <c:v>0.66388888888888897</c:v>
                </c:pt>
                <c:pt idx="46">
                  <c:v>0.66597222222222296</c:v>
                </c:pt>
                <c:pt idx="47">
                  <c:v>0.66805555555555596</c:v>
                </c:pt>
                <c:pt idx="48">
                  <c:v>0.67013888888888995</c:v>
                </c:pt>
                <c:pt idx="49">
                  <c:v>0.67222222222222305</c:v>
                </c:pt>
                <c:pt idx="50">
                  <c:v>0.67361111111111105</c:v>
                </c:pt>
                <c:pt idx="51">
                  <c:v>0.67569444444444438</c:v>
                </c:pt>
                <c:pt idx="52">
                  <c:v>0.67777777777777803</c:v>
                </c:pt>
                <c:pt idx="53">
                  <c:v>0.67986111111111103</c:v>
                </c:pt>
                <c:pt idx="54">
                  <c:v>0.68194444444444402</c:v>
                </c:pt>
                <c:pt idx="55">
                  <c:v>0.68402777777777801</c:v>
                </c:pt>
                <c:pt idx="56">
                  <c:v>0.68611111111111101</c:v>
                </c:pt>
                <c:pt idx="57">
                  <c:v>0.6875</c:v>
                </c:pt>
                <c:pt idx="58">
                  <c:v>0.68958333333333333</c:v>
                </c:pt>
                <c:pt idx="59">
                  <c:v>0.69166666666666698</c:v>
                </c:pt>
                <c:pt idx="60">
                  <c:v>0.69374999999999998</c:v>
                </c:pt>
                <c:pt idx="61">
                  <c:v>0.69583333333333297</c:v>
                </c:pt>
                <c:pt idx="62">
                  <c:v>0.69791666666666696</c:v>
                </c:pt>
                <c:pt idx="63">
                  <c:v>0.7</c:v>
                </c:pt>
                <c:pt idx="64">
                  <c:v>0.70138888888888895</c:v>
                </c:pt>
                <c:pt idx="65">
                  <c:v>0.70347222222222217</c:v>
                </c:pt>
                <c:pt idx="66">
                  <c:v>0.70555555555555505</c:v>
                </c:pt>
                <c:pt idx="67">
                  <c:v>0.70763888888888904</c:v>
                </c:pt>
                <c:pt idx="68">
                  <c:v>0.70972222222222203</c:v>
                </c:pt>
                <c:pt idx="69">
                  <c:v>0.71180555555555503</c:v>
                </c:pt>
                <c:pt idx="70">
                  <c:v>0.71388888888888802</c:v>
                </c:pt>
                <c:pt idx="71">
                  <c:v>0.71527777777777701</c:v>
                </c:pt>
                <c:pt idx="72">
                  <c:v>0.71736111111111101</c:v>
                </c:pt>
                <c:pt idx="73">
                  <c:v>0.719444444444445</c:v>
                </c:pt>
                <c:pt idx="74">
                  <c:v>0.72152777777777899</c:v>
                </c:pt>
                <c:pt idx="75">
                  <c:v>0.72361111111111298</c:v>
                </c:pt>
                <c:pt idx="76">
                  <c:v>0.72569444444444697</c:v>
                </c:pt>
                <c:pt idx="77">
                  <c:v>0.72777777777778097</c:v>
                </c:pt>
                <c:pt idx="78">
                  <c:v>0.72916666666666596</c:v>
                </c:pt>
                <c:pt idx="79">
                  <c:v>0.73125000000000007</c:v>
                </c:pt>
                <c:pt idx="80">
                  <c:v>0.73333333333333395</c:v>
                </c:pt>
                <c:pt idx="81">
                  <c:v>0.73541666666666805</c:v>
                </c:pt>
                <c:pt idx="82">
                  <c:v>0.73750000000000204</c:v>
                </c:pt>
                <c:pt idx="83">
                  <c:v>0.73958333333333603</c:v>
                </c:pt>
                <c:pt idx="84">
                  <c:v>0.74166666666667103</c:v>
                </c:pt>
                <c:pt idx="85">
                  <c:v>0.74305555555555503</c:v>
                </c:pt>
                <c:pt idx="86">
                  <c:v>0.74513888888888891</c:v>
                </c:pt>
                <c:pt idx="87">
                  <c:v>0.74722222222222301</c:v>
                </c:pt>
                <c:pt idx="88">
                  <c:v>0.749305555555557</c:v>
                </c:pt>
                <c:pt idx="89">
                  <c:v>0.75138888888889099</c:v>
                </c:pt>
                <c:pt idx="90">
                  <c:v>0.75347222222222399</c:v>
                </c:pt>
                <c:pt idx="91">
                  <c:v>0.75555555555555798</c:v>
                </c:pt>
                <c:pt idx="92">
                  <c:v>0.75694444444444398</c:v>
                </c:pt>
                <c:pt idx="93">
                  <c:v>0.75902777777777775</c:v>
                </c:pt>
                <c:pt idx="94">
                  <c:v>0.76111111111111196</c:v>
                </c:pt>
                <c:pt idx="95">
                  <c:v>0.76319444444444495</c:v>
                </c:pt>
                <c:pt idx="96">
                  <c:v>0.76527777777777894</c:v>
                </c:pt>
                <c:pt idx="97">
                  <c:v>0.76736111111111305</c:v>
                </c:pt>
                <c:pt idx="98">
                  <c:v>0.76944444444444704</c:v>
                </c:pt>
                <c:pt idx="99">
                  <c:v>0.77083333333333304</c:v>
                </c:pt>
                <c:pt idx="100">
                  <c:v>0.7729166666666667</c:v>
                </c:pt>
                <c:pt idx="101">
                  <c:v>0.77500000000000002</c:v>
                </c:pt>
                <c:pt idx="102">
                  <c:v>0.77708333333333401</c:v>
                </c:pt>
                <c:pt idx="103">
                  <c:v>0.77916666666666801</c:v>
                </c:pt>
                <c:pt idx="104">
                  <c:v>0.781250000000001</c:v>
                </c:pt>
                <c:pt idx="105">
                  <c:v>0.78333333333333499</c:v>
                </c:pt>
                <c:pt idx="106">
                  <c:v>0.78472222222222221</c:v>
                </c:pt>
                <c:pt idx="107">
                  <c:v>0.78680555555555554</c:v>
                </c:pt>
                <c:pt idx="108">
                  <c:v>0.78888888888888897</c:v>
                </c:pt>
                <c:pt idx="109">
                  <c:v>0.79097222222222197</c:v>
                </c:pt>
                <c:pt idx="110">
                  <c:v>0.79305555555555596</c:v>
                </c:pt>
                <c:pt idx="111">
                  <c:v>0.79513888888888895</c:v>
                </c:pt>
                <c:pt idx="112">
                  <c:v>0.79722222222222205</c:v>
                </c:pt>
                <c:pt idx="113">
                  <c:v>0.79861111111111116</c:v>
                </c:pt>
                <c:pt idx="114">
                  <c:v>0.80069444444444438</c:v>
                </c:pt>
                <c:pt idx="115">
                  <c:v>0.80277777777777803</c:v>
                </c:pt>
                <c:pt idx="116">
                  <c:v>0.80486111111111103</c:v>
                </c:pt>
                <c:pt idx="117">
                  <c:v>0.80694444444444402</c:v>
                </c:pt>
                <c:pt idx="118">
                  <c:v>0.80902777777777701</c:v>
                </c:pt>
                <c:pt idx="119">
                  <c:v>0.81111111111111001</c:v>
                </c:pt>
                <c:pt idx="120">
                  <c:v>0.84722222222222221</c:v>
                </c:pt>
                <c:pt idx="121">
                  <c:v>0.84861111111111109</c:v>
                </c:pt>
                <c:pt idx="122">
                  <c:v>0.85</c:v>
                </c:pt>
                <c:pt idx="123">
                  <c:v>0.85138888888888897</c:v>
                </c:pt>
                <c:pt idx="124">
                  <c:v>0.85277777777777797</c:v>
                </c:pt>
                <c:pt idx="125">
                  <c:v>0.85416666666666663</c:v>
                </c:pt>
                <c:pt idx="126">
                  <c:v>0.85625000000000007</c:v>
                </c:pt>
                <c:pt idx="127">
                  <c:v>0.85833333333333395</c:v>
                </c:pt>
                <c:pt idx="128">
                  <c:v>0.86041666666666705</c:v>
                </c:pt>
                <c:pt idx="129">
                  <c:v>0.86250000000000004</c:v>
                </c:pt>
                <c:pt idx="130">
                  <c:v>0.86458333333333404</c:v>
                </c:pt>
                <c:pt idx="131">
                  <c:v>0.86666666666666703</c:v>
                </c:pt>
                <c:pt idx="132">
                  <c:v>0.86875000000000102</c:v>
                </c:pt>
                <c:pt idx="133">
                  <c:v>0.87083333333333401</c:v>
                </c:pt>
                <c:pt idx="134">
                  <c:v>0.87291666666666801</c:v>
                </c:pt>
                <c:pt idx="135">
                  <c:v>0.875000000000001</c:v>
                </c:pt>
                <c:pt idx="136">
                  <c:v>0.87708333333333399</c:v>
                </c:pt>
                <c:pt idx="137">
                  <c:v>0.87916666666666798</c:v>
                </c:pt>
                <c:pt idx="138">
                  <c:v>0.88125000000000098</c:v>
                </c:pt>
                <c:pt idx="139">
                  <c:v>0.88333333333333497</c:v>
                </c:pt>
                <c:pt idx="140">
                  <c:v>0.88541666666666796</c:v>
                </c:pt>
                <c:pt idx="141">
                  <c:v>0.88750000000000195</c:v>
                </c:pt>
                <c:pt idx="142">
                  <c:v>0.88958333333333495</c:v>
                </c:pt>
                <c:pt idx="143">
                  <c:v>0.89166666666666805</c:v>
                </c:pt>
                <c:pt idx="144">
                  <c:v>0.89375000000000204</c:v>
                </c:pt>
                <c:pt idx="145">
                  <c:v>0.89583333333333504</c:v>
                </c:pt>
                <c:pt idx="146">
                  <c:v>0.89791666666666903</c:v>
                </c:pt>
                <c:pt idx="147">
                  <c:v>0.90000000000000202</c:v>
                </c:pt>
                <c:pt idx="148">
                  <c:v>0.90208333333333601</c:v>
                </c:pt>
                <c:pt idx="149">
                  <c:v>0.90416666666666901</c:v>
                </c:pt>
                <c:pt idx="150">
                  <c:v>0.906250000000003</c:v>
                </c:pt>
                <c:pt idx="151">
                  <c:v>0.90833333333333599</c:v>
                </c:pt>
                <c:pt idx="152">
                  <c:v>0.91041666666666898</c:v>
                </c:pt>
                <c:pt idx="153">
                  <c:v>0.91250000000000298</c:v>
                </c:pt>
                <c:pt idx="154">
                  <c:v>0.91458333333333597</c:v>
                </c:pt>
                <c:pt idx="155">
                  <c:v>0.91666666666666996</c:v>
                </c:pt>
                <c:pt idx="156">
                  <c:v>0.91875000000000295</c:v>
                </c:pt>
                <c:pt idx="157">
                  <c:v>0.92083333333333695</c:v>
                </c:pt>
                <c:pt idx="158">
                  <c:v>0.92291666666667005</c:v>
                </c:pt>
                <c:pt idx="159">
                  <c:v>0.92500000000000304</c:v>
                </c:pt>
                <c:pt idx="160">
                  <c:v>0.92708333333333703</c:v>
                </c:pt>
                <c:pt idx="161">
                  <c:v>0.92916666666667003</c:v>
                </c:pt>
                <c:pt idx="162">
                  <c:v>0.93125000000000402</c:v>
                </c:pt>
                <c:pt idx="163">
                  <c:v>0.93333333333333701</c:v>
                </c:pt>
                <c:pt idx="164">
                  <c:v>0.935416666666671</c:v>
                </c:pt>
                <c:pt idx="165">
                  <c:v>0.937500000000004</c:v>
                </c:pt>
                <c:pt idx="166">
                  <c:v>0.93958333333333799</c:v>
                </c:pt>
                <c:pt idx="167">
                  <c:v>0.94166666666667098</c:v>
                </c:pt>
                <c:pt idx="168">
                  <c:v>0.94375000000000397</c:v>
                </c:pt>
                <c:pt idx="169">
                  <c:v>0.94583333333333797</c:v>
                </c:pt>
                <c:pt idx="170">
                  <c:v>0.94791666666667096</c:v>
                </c:pt>
                <c:pt idx="171">
                  <c:v>0.95000000000000495</c:v>
                </c:pt>
                <c:pt idx="172">
                  <c:v>0.95208333333333806</c:v>
                </c:pt>
                <c:pt idx="173">
                  <c:v>0.95416666666667205</c:v>
                </c:pt>
                <c:pt idx="174">
                  <c:v>0.95625000000000504</c:v>
                </c:pt>
                <c:pt idx="175">
                  <c:v>0.95833333333333903</c:v>
                </c:pt>
                <c:pt idx="176">
                  <c:v>0.96041666666667203</c:v>
                </c:pt>
                <c:pt idx="177">
                  <c:v>0.96250000000000602</c:v>
                </c:pt>
                <c:pt idx="178">
                  <c:v>0.96458333333333901</c:v>
                </c:pt>
                <c:pt idx="179">
                  <c:v>0.966666666666673</c:v>
                </c:pt>
                <c:pt idx="180">
                  <c:v>0.968750000000006</c:v>
                </c:pt>
                <c:pt idx="181">
                  <c:v>0.97083333333333899</c:v>
                </c:pt>
                <c:pt idx="182">
                  <c:v>0.97291666666667298</c:v>
                </c:pt>
                <c:pt idx="183">
                  <c:v>0.97500000000000597</c:v>
                </c:pt>
                <c:pt idx="184">
                  <c:v>0.97708333333333997</c:v>
                </c:pt>
                <c:pt idx="185">
                  <c:v>0.97916666666667296</c:v>
                </c:pt>
                <c:pt idx="186">
                  <c:v>0.98125000000000695</c:v>
                </c:pt>
                <c:pt idx="187">
                  <c:v>0.98333333333334005</c:v>
                </c:pt>
                <c:pt idx="188">
                  <c:v>0.98541666666667405</c:v>
                </c:pt>
                <c:pt idx="189">
                  <c:v>0.98750000000000704</c:v>
                </c:pt>
                <c:pt idx="190">
                  <c:v>0.98958333333334003</c:v>
                </c:pt>
                <c:pt idx="191">
                  <c:v>0.99166666666667402</c:v>
                </c:pt>
                <c:pt idx="192">
                  <c:v>0.99375000000000702</c:v>
                </c:pt>
                <c:pt idx="193">
                  <c:v>0.99583333333334101</c:v>
                </c:pt>
                <c:pt idx="194">
                  <c:v>0.997916666666674</c:v>
                </c:pt>
                <c:pt idx="195">
                  <c:v>1.00000000000001</c:v>
                </c:pt>
                <c:pt idx="196">
                  <c:v>1.0020833333333401</c:v>
                </c:pt>
                <c:pt idx="197">
                  <c:v>1.00416666666667</c:v>
                </c:pt>
                <c:pt idx="198">
                  <c:v>1.0062500000000101</c:v>
                </c:pt>
                <c:pt idx="199">
                  <c:v>1.00833333333334</c:v>
                </c:pt>
                <c:pt idx="200">
                  <c:v>1.0104166666666701</c:v>
                </c:pt>
                <c:pt idx="201">
                  <c:v>1.0125000000000099</c:v>
                </c:pt>
                <c:pt idx="202">
                  <c:v>1.0145833333333401</c:v>
                </c:pt>
                <c:pt idx="203">
                  <c:v>1.0166666666666699</c:v>
                </c:pt>
                <c:pt idx="204">
                  <c:v>1.01875000000001</c:v>
                </c:pt>
                <c:pt idx="205">
                  <c:v>1.0208333333333399</c:v>
                </c:pt>
                <c:pt idx="206">
                  <c:v>1.02291666666667</c:v>
                </c:pt>
                <c:pt idx="207">
                  <c:v>1.0250000000000099</c:v>
                </c:pt>
                <c:pt idx="208">
                  <c:v>1.02708333333334</c:v>
                </c:pt>
                <c:pt idx="209">
                  <c:v>1.0291666666666801</c:v>
                </c:pt>
                <c:pt idx="210">
                  <c:v>1.03125000000002</c:v>
                </c:pt>
                <c:pt idx="211">
                  <c:v>1.0333333333333601</c:v>
                </c:pt>
                <c:pt idx="212">
                  <c:v>1.0354166666667</c:v>
                </c:pt>
                <c:pt idx="213">
                  <c:v>1.0375000000000401</c:v>
                </c:pt>
                <c:pt idx="214">
                  <c:v>1.0395833333333799</c:v>
                </c:pt>
                <c:pt idx="215">
                  <c:v>1.04166666666672</c:v>
                </c:pt>
              </c:numCache>
            </c:numRef>
          </c:cat>
          <c:val>
            <c:numRef>
              <c:f>kencana!$U$30:$U$245</c:f>
              <c:numCache>
                <c:formatCode>General</c:formatCode>
                <c:ptCount val="216"/>
                <c:pt idx="0">
                  <c:v>0</c:v>
                </c:pt>
                <c:pt idx="1">
                  <c:v>130.90701219512195</c:v>
                </c:pt>
                <c:pt idx="2">
                  <c:v>139.21116623374598</c:v>
                </c:pt>
                <c:pt idx="3">
                  <c:v>142.7677479478059</c:v>
                </c:pt>
                <c:pt idx="4">
                  <c:v>119.68937995565514</c:v>
                </c:pt>
                <c:pt idx="5">
                  <c:v>45.291628291681484</c:v>
                </c:pt>
                <c:pt idx="6">
                  <c:v>38.900762100884457</c:v>
                </c:pt>
                <c:pt idx="7">
                  <c:v>36.568824616812883</c:v>
                </c:pt>
                <c:pt idx="8">
                  <c:v>35.288930536149017</c:v>
                </c:pt>
                <c:pt idx="9">
                  <c:v>33.223014106057732</c:v>
                </c:pt>
                <c:pt idx="10">
                  <c:v>31.996414504658517</c:v>
                </c:pt>
                <c:pt idx="11">
                  <c:v>31.577323557444508</c:v>
                </c:pt>
                <c:pt idx="12">
                  <c:v>33.437629941828234</c:v>
                </c:pt>
                <c:pt idx="13">
                  <c:v>32.584397398014723</c:v>
                </c:pt>
                <c:pt idx="14">
                  <c:v>32.504616474497716</c:v>
                </c:pt>
                <c:pt idx="15">
                  <c:v>33.013544711502313</c:v>
                </c:pt>
                <c:pt idx="16">
                  <c:v>32.895906381609564</c:v>
                </c:pt>
                <c:pt idx="17">
                  <c:v>32.962319047568322</c:v>
                </c:pt>
                <c:pt idx="18">
                  <c:v>34.472160162229436</c:v>
                </c:pt>
                <c:pt idx="19">
                  <c:v>35.660241544015882</c:v>
                </c:pt>
                <c:pt idx="20">
                  <c:v>34.991051158866156</c:v>
                </c:pt>
                <c:pt idx="21">
                  <c:v>34.355302826876375</c:v>
                </c:pt>
                <c:pt idx="22">
                  <c:v>34.228400718522934</c:v>
                </c:pt>
                <c:pt idx="23">
                  <c:v>33.79152323616929</c:v>
                </c:pt>
                <c:pt idx="24">
                  <c:v>36.088844149395968</c:v>
                </c:pt>
                <c:pt idx="25">
                  <c:v>36.09959844295016</c:v>
                </c:pt>
                <c:pt idx="26">
                  <c:v>36.873762201561647</c:v>
                </c:pt>
                <c:pt idx="27">
                  <c:v>36.911104391235718</c:v>
                </c:pt>
                <c:pt idx="28">
                  <c:v>37.570542339484483</c:v>
                </c:pt>
                <c:pt idx="29">
                  <c:v>37.803394837582786</c:v>
                </c:pt>
                <c:pt idx="30">
                  <c:v>37.76401821594019</c:v>
                </c:pt>
                <c:pt idx="31">
                  <c:v>41.405803603582541</c:v>
                </c:pt>
                <c:pt idx="32">
                  <c:v>42.268184231441666</c:v>
                </c:pt>
                <c:pt idx="33">
                  <c:v>43.752126144417225</c:v>
                </c:pt>
                <c:pt idx="34">
                  <c:v>43.925415616333019</c:v>
                </c:pt>
                <c:pt idx="35">
                  <c:v>43.549291793794154</c:v>
                </c:pt>
                <c:pt idx="36">
                  <c:v>43.293852967173443</c:v>
                </c:pt>
                <c:pt idx="37">
                  <c:v>43.133685629722372</c:v>
                </c:pt>
                <c:pt idx="38">
                  <c:v>43.463552618900401</c:v>
                </c:pt>
                <c:pt idx="39">
                  <c:v>43.021742214773816</c:v>
                </c:pt>
                <c:pt idx="40">
                  <c:v>42.620051510627675</c:v>
                </c:pt>
                <c:pt idx="41">
                  <c:v>42.213845645620452</c:v>
                </c:pt>
                <c:pt idx="42">
                  <c:v>41.915868150541577</c:v>
                </c:pt>
                <c:pt idx="43">
                  <c:v>41.755482373356614</c:v>
                </c:pt>
                <c:pt idx="44">
                  <c:v>41.367192103329764</c:v>
                </c:pt>
                <c:pt idx="45">
                  <c:v>41.017223545173067</c:v>
                </c:pt>
                <c:pt idx="46">
                  <c:v>40.90926836476411</c:v>
                </c:pt>
                <c:pt idx="47">
                  <c:v>40.91610199200381</c:v>
                </c:pt>
                <c:pt idx="48">
                  <c:v>40.576984672865528</c:v>
                </c:pt>
                <c:pt idx="49">
                  <c:v>40.307154125331031</c:v>
                </c:pt>
                <c:pt idx="50">
                  <c:v>40.166571761353943</c:v>
                </c:pt>
                <c:pt idx="51">
                  <c:v>39.998164272638341</c:v>
                </c:pt>
                <c:pt idx="52">
                  <c:v>39.782433811864024</c:v>
                </c:pt>
                <c:pt idx="53">
                  <c:v>39.676730736304592</c:v>
                </c:pt>
                <c:pt idx="54">
                  <c:v>39.488414199171032</c:v>
                </c:pt>
                <c:pt idx="55">
                  <c:v>40.156905504988764</c:v>
                </c:pt>
                <c:pt idx="56">
                  <c:v>39.986432315650532</c:v>
                </c:pt>
                <c:pt idx="57">
                  <c:v>40.387078859621923</c:v>
                </c:pt>
                <c:pt idx="58">
                  <c:v>40.354695914798519</c:v>
                </c:pt>
                <c:pt idx="59">
                  <c:v>40.524066291710696</c:v>
                </c:pt>
                <c:pt idx="60">
                  <c:v>40.521765734723928</c:v>
                </c:pt>
                <c:pt idx="61">
                  <c:v>40.33935963537467</c:v>
                </c:pt>
                <c:pt idx="62">
                  <c:v>40.104191677648011</c:v>
                </c:pt>
                <c:pt idx="63">
                  <c:v>40.169902541206312</c:v>
                </c:pt>
                <c:pt idx="64">
                  <c:v>40.366089879175227</c:v>
                </c:pt>
                <c:pt idx="65">
                  <c:v>40.229706246974665</c:v>
                </c:pt>
                <c:pt idx="66">
                  <c:v>40.062240519351171</c:v>
                </c:pt>
                <c:pt idx="67">
                  <c:v>40.085486739933437</c:v>
                </c:pt>
                <c:pt idx="68">
                  <c:v>39.979053443885</c:v>
                </c:pt>
                <c:pt idx="69">
                  <c:v>39.80719134040757</c:v>
                </c:pt>
                <c:pt idx="70">
                  <c:v>39.646987476323858</c:v>
                </c:pt>
                <c:pt idx="71">
                  <c:v>39.682805409765692</c:v>
                </c:pt>
                <c:pt idx="72">
                  <c:v>39.479109327505178</c:v>
                </c:pt>
                <c:pt idx="73">
                  <c:v>39.292366255262301</c:v>
                </c:pt>
                <c:pt idx="74">
                  <c:v>39.200874409345793</c:v>
                </c:pt>
                <c:pt idx="75">
                  <c:v>39.074113865617889</c:v>
                </c:pt>
                <c:pt idx="76">
                  <c:v>38.95883992596427</c:v>
                </c:pt>
                <c:pt idx="77">
                  <c:v>38.777838554725115</c:v>
                </c:pt>
                <c:pt idx="78">
                  <c:v>38.685704615848891</c:v>
                </c:pt>
                <c:pt idx="79">
                  <c:v>38.5230255464135</c:v>
                </c:pt>
                <c:pt idx="80">
                  <c:v>38.359827089479239</c:v>
                </c:pt>
                <c:pt idx="81">
                  <c:v>38.208288232986632</c:v>
                </c:pt>
                <c:pt idx="82">
                  <c:v>38.039542180455399</c:v>
                </c:pt>
                <c:pt idx="83">
                  <c:v>37.887820188695493</c:v>
                </c:pt>
                <c:pt idx="84">
                  <c:v>37.746674799576297</c:v>
                </c:pt>
                <c:pt idx="85">
                  <c:v>37.696524372837729</c:v>
                </c:pt>
                <c:pt idx="86">
                  <c:v>37.562537864127926</c:v>
                </c:pt>
                <c:pt idx="87">
                  <c:v>37.454822740349911</c:v>
                </c:pt>
                <c:pt idx="88">
                  <c:v>37.330831737741505</c:v>
                </c:pt>
                <c:pt idx="89">
                  <c:v>37.216093729295565</c:v>
                </c:pt>
                <c:pt idx="90">
                  <c:v>37.092057685657451</c:v>
                </c:pt>
                <c:pt idx="91">
                  <c:v>36.983697600316283</c:v>
                </c:pt>
                <c:pt idx="92">
                  <c:v>36.983530601211555</c:v>
                </c:pt>
                <c:pt idx="93">
                  <c:v>36.981150439916277</c:v>
                </c:pt>
                <c:pt idx="94">
                  <c:v>36.978899546723525</c:v>
                </c:pt>
                <c:pt idx="95">
                  <c:v>37.060591456118395</c:v>
                </c:pt>
                <c:pt idx="96">
                  <c:v>37.157281327022531</c:v>
                </c:pt>
                <c:pt idx="97">
                  <c:v>37.227044810404109</c:v>
                </c:pt>
                <c:pt idx="98">
                  <c:v>37.289631630969133</c:v>
                </c:pt>
                <c:pt idx="99">
                  <c:v>37.362957152202114</c:v>
                </c:pt>
                <c:pt idx="100">
                  <c:v>37.408238668134437</c:v>
                </c:pt>
                <c:pt idx="101">
                  <c:v>37.429836125430043</c:v>
                </c:pt>
                <c:pt idx="102">
                  <c:v>37.480065473999595</c:v>
                </c:pt>
                <c:pt idx="103">
                  <c:v>37.526119639031833</c:v>
                </c:pt>
                <c:pt idx="104">
                  <c:v>37.576234274629392</c:v>
                </c:pt>
                <c:pt idx="105">
                  <c:v>37.616973627911584</c:v>
                </c:pt>
                <c:pt idx="106">
                  <c:v>37.661018987536771</c:v>
                </c:pt>
                <c:pt idx="107">
                  <c:v>37.724699869165242</c:v>
                </c:pt>
                <c:pt idx="108">
                  <c:v>37.774077924573035</c:v>
                </c:pt>
                <c:pt idx="109">
                  <c:v>37.80050311206265</c:v>
                </c:pt>
                <c:pt idx="110">
                  <c:v>37.837039621853101</c:v>
                </c:pt>
                <c:pt idx="111">
                  <c:v>37.876629612125988</c:v>
                </c:pt>
                <c:pt idx="112">
                  <c:v>37.924721509289</c:v>
                </c:pt>
                <c:pt idx="113">
                  <c:v>37.921863157164765</c:v>
                </c:pt>
                <c:pt idx="114">
                  <c:v>37.978062335708913</c:v>
                </c:pt>
                <c:pt idx="115">
                  <c:v>38.028217561349237</c:v>
                </c:pt>
                <c:pt idx="116">
                  <c:v>38.162160527091345</c:v>
                </c:pt>
                <c:pt idx="117">
                  <c:v>38.296096590415161</c:v>
                </c:pt>
                <c:pt idx="118">
                  <c:v>38.430025751854188</c:v>
                </c:pt>
                <c:pt idx="119">
                  <c:v>38.563948011941939</c:v>
                </c:pt>
                <c:pt idx="120">
                  <c:v>38.641651316569344</c:v>
                </c:pt>
                <c:pt idx="121">
                  <c:v>38.636997701279341</c:v>
                </c:pt>
                <c:pt idx="122">
                  <c:v>38.648124284656227</c:v>
                </c:pt>
                <c:pt idx="123">
                  <c:v>38.586998919151142</c:v>
                </c:pt>
                <c:pt idx="124">
                  <c:v>38.505702058438956</c:v>
                </c:pt>
                <c:pt idx="125">
                  <c:v>38.451942669881113</c:v>
                </c:pt>
                <c:pt idx="126">
                  <c:v>38.295093463951993</c:v>
                </c:pt>
                <c:pt idx="127">
                  <c:v>38.150542542694929</c:v>
                </c:pt>
                <c:pt idx="128">
                  <c:v>37.999282395035586</c:v>
                </c:pt>
                <c:pt idx="129">
                  <c:v>37.866873362247546</c:v>
                </c:pt>
                <c:pt idx="130">
                  <c:v>37.73931983328756</c:v>
                </c:pt>
                <c:pt idx="131">
                  <c:v>37.623830656510016</c:v>
                </c:pt>
                <c:pt idx="132">
                  <c:v>37.516849633401705</c:v>
                </c:pt>
                <c:pt idx="133">
                  <c:v>37.417153707160971</c:v>
                </c:pt>
                <c:pt idx="134">
                  <c:v>37.287790707246025</c:v>
                </c:pt>
                <c:pt idx="135">
                  <c:v>37.159718218350562</c:v>
                </c:pt>
                <c:pt idx="136">
                  <c:v>37.026261235057035</c:v>
                </c:pt>
                <c:pt idx="137">
                  <c:v>36.895328144016837</c:v>
                </c:pt>
                <c:pt idx="138">
                  <c:v>36.772213504655753</c:v>
                </c:pt>
                <c:pt idx="139">
                  <c:v>36.653298901626719</c:v>
                </c:pt>
                <c:pt idx="140">
                  <c:v>36.541592629515158</c:v>
                </c:pt>
                <c:pt idx="141">
                  <c:v>36.449676397641312</c:v>
                </c:pt>
                <c:pt idx="142">
                  <c:v>36.328614842547175</c:v>
                </c:pt>
                <c:pt idx="143">
                  <c:v>36.21895652812217</c:v>
                </c:pt>
                <c:pt idx="144">
                  <c:v>36.102798070267305</c:v>
                </c:pt>
                <c:pt idx="145">
                  <c:v>36.010992287421978</c:v>
                </c:pt>
                <c:pt idx="146">
                  <c:v>35.950469432371115</c:v>
                </c:pt>
                <c:pt idx="147">
                  <c:v>35.882571947460896</c:v>
                </c:pt>
                <c:pt idx="148">
                  <c:v>35.904184451436684</c:v>
                </c:pt>
                <c:pt idx="149">
                  <c:v>35.807070019041753</c:v>
                </c:pt>
                <c:pt idx="150">
                  <c:v>36.968405286157505</c:v>
                </c:pt>
                <c:pt idx="151">
                  <c:v>36.998021587691113</c:v>
                </c:pt>
                <c:pt idx="152">
                  <c:v>37.007460763734812</c:v>
                </c:pt>
                <c:pt idx="153">
                  <c:v>36.913168261503436</c:v>
                </c:pt>
                <c:pt idx="154">
                  <c:v>36.886942944133978</c:v>
                </c:pt>
                <c:pt idx="155">
                  <c:v>36.799551484126887</c:v>
                </c:pt>
                <c:pt idx="156">
                  <c:v>36.92541782264211</c:v>
                </c:pt>
                <c:pt idx="157">
                  <c:v>36.820512018999835</c:v>
                </c:pt>
                <c:pt idx="158">
                  <c:v>36.776252444828046</c:v>
                </c:pt>
                <c:pt idx="159">
                  <c:v>36.714608847395425</c:v>
                </c:pt>
                <c:pt idx="160">
                  <c:v>36.646108724889231</c:v>
                </c:pt>
                <c:pt idx="161">
                  <c:v>36.61491056922187</c:v>
                </c:pt>
                <c:pt idx="162">
                  <c:v>36.540760730174455</c:v>
                </c:pt>
                <c:pt idx="163">
                  <c:v>36.615493205033481</c:v>
                </c:pt>
                <c:pt idx="164">
                  <c:v>36.570949212455531</c:v>
                </c:pt>
                <c:pt idx="165">
                  <c:v>36.507869241129875</c:v>
                </c:pt>
                <c:pt idx="166">
                  <c:v>36.437631356190792</c:v>
                </c:pt>
                <c:pt idx="167">
                  <c:v>36.547867344931937</c:v>
                </c:pt>
                <c:pt idx="168">
                  <c:v>36.513226710234584</c:v>
                </c:pt>
                <c:pt idx="169">
                  <c:v>36.451768426918804</c:v>
                </c:pt>
                <c:pt idx="170">
                  <c:v>36.376977547433533</c:v>
                </c:pt>
                <c:pt idx="171">
                  <c:v>36.374017543380887</c:v>
                </c:pt>
                <c:pt idx="172">
                  <c:v>36.404609558662514</c:v>
                </c:pt>
                <c:pt idx="173">
                  <c:v>36.512358323245934</c:v>
                </c:pt>
                <c:pt idx="174">
                  <c:v>36.676881980739154</c:v>
                </c:pt>
                <c:pt idx="175">
                  <c:v>36.654697028928609</c:v>
                </c:pt>
                <c:pt idx="176">
                  <c:v>36.581399907117707</c:v>
                </c:pt>
                <c:pt idx="177">
                  <c:v>36.51193282428153</c:v>
                </c:pt>
                <c:pt idx="178">
                  <c:v>36.554544426801883</c:v>
                </c:pt>
                <c:pt idx="179">
                  <c:v>36.544829456348594</c:v>
                </c:pt>
                <c:pt idx="180">
                  <c:v>36.50319420842014</c:v>
                </c:pt>
                <c:pt idx="181">
                  <c:v>36.427528357607486</c:v>
                </c:pt>
                <c:pt idx="182">
                  <c:v>36.340339202239811</c:v>
                </c:pt>
                <c:pt idx="183">
                  <c:v>36.261382773792661</c:v>
                </c:pt>
                <c:pt idx="184">
                  <c:v>36.276072905083502</c:v>
                </c:pt>
                <c:pt idx="185">
                  <c:v>36.310940804933153</c:v>
                </c:pt>
                <c:pt idx="186">
                  <c:v>37.19543932742144</c:v>
                </c:pt>
                <c:pt idx="187">
                  <c:v>37.156831649381481</c:v>
                </c:pt>
                <c:pt idx="188">
                  <c:v>37.088693484907978</c:v>
                </c:pt>
                <c:pt idx="189">
                  <c:v>37.01137165451938</c:v>
                </c:pt>
                <c:pt idx="190">
                  <c:v>36.925211852574932</c:v>
                </c:pt>
                <c:pt idx="191">
                  <c:v>36.902668562200581</c:v>
                </c:pt>
                <c:pt idx="192">
                  <c:v>36.851451843087176</c:v>
                </c:pt>
                <c:pt idx="193">
                  <c:v>36.867257383499016</c:v>
                </c:pt>
                <c:pt idx="194">
                  <c:v>36.805439138517414</c:v>
                </c:pt>
                <c:pt idx="195">
                  <c:v>36.745620125302899</c:v>
                </c:pt>
                <c:pt idx="196">
                  <c:v>36.667469298771294</c:v>
                </c:pt>
                <c:pt idx="197">
                  <c:v>36.586488121423322</c:v>
                </c:pt>
                <c:pt idx="198">
                  <c:v>36.508212018532888</c:v>
                </c:pt>
                <c:pt idx="199">
                  <c:v>36.428825187703097</c:v>
                </c:pt>
                <c:pt idx="200">
                  <c:v>36.350616561970234</c:v>
                </c:pt>
                <c:pt idx="201">
                  <c:v>36.287468008506686</c:v>
                </c:pt>
                <c:pt idx="202">
                  <c:v>36.210462220012992</c:v>
                </c:pt>
                <c:pt idx="203">
                  <c:v>36.16200405473996</c:v>
                </c:pt>
                <c:pt idx="204">
                  <c:v>36.128355597443722</c:v>
                </c:pt>
                <c:pt idx="205">
                  <c:v>36.174078396998894</c:v>
                </c:pt>
                <c:pt idx="206">
                  <c:v>36.141079201832319</c:v>
                </c:pt>
                <c:pt idx="207">
                  <c:v>36.111784682822133</c:v>
                </c:pt>
                <c:pt idx="208">
                  <c:v>36.082197520523046</c:v>
                </c:pt>
                <c:pt idx="209">
                  <c:v>36.067551870877637</c:v>
                </c:pt>
                <c:pt idx="210">
                  <c:v>36.061308374407503</c:v>
                </c:pt>
                <c:pt idx="211">
                  <c:v>36.029587297757175</c:v>
                </c:pt>
                <c:pt idx="212">
                  <c:v>36.000899789584906</c:v>
                </c:pt>
                <c:pt idx="213">
                  <c:v>35.973220294211821</c:v>
                </c:pt>
                <c:pt idx="214">
                  <c:v>35.943365808551</c:v>
                </c:pt>
                <c:pt idx="215">
                  <c:v>35.921868372999434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267-BA90-5B037A05A035}"/>
            </c:ext>
          </c:extLst>
        </c:ser>
        <c:ser>
          <c:idx val="1"/>
          <c:order val="1"/>
          <c:tx>
            <c:v>C Rating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kencana!$F$30:$F$245</c:f>
              <c:numCache>
                <c:formatCode>[$-F400]h:mm:ss\ AM/PM</c:formatCode>
                <c:ptCount val="216"/>
                <c:pt idx="0">
                  <c:v>0.57291666666666663</c:v>
                </c:pt>
                <c:pt idx="1">
                  <c:v>0.57638888888888895</c:v>
                </c:pt>
                <c:pt idx="2">
                  <c:v>0.57847222222222217</c:v>
                </c:pt>
                <c:pt idx="3">
                  <c:v>0.58055555555555505</c:v>
                </c:pt>
                <c:pt idx="4">
                  <c:v>0.58263888888888904</c:v>
                </c:pt>
                <c:pt idx="5">
                  <c:v>0.58472222222222203</c:v>
                </c:pt>
                <c:pt idx="6">
                  <c:v>0.58680555555555503</c:v>
                </c:pt>
                <c:pt idx="7">
                  <c:v>0.58888888888888802</c:v>
                </c:pt>
                <c:pt idx="8">
                  <c:v>0.59027777777777779</c:v>
                </c:pt>
                <c:pt idx="9">
                  <c:v>0.59236111111111112</c:v>
                </c:pt>
                <c:pt idx="10">
                  <c:v>0.59444444444444444</c:v>
                </c:pt>
                <c:pt idx="11">
                  <c:v>0.59652777777777777</c:v>
                </c:pt>
                <c:pt idx="12">
                  <c:v>0.59861111111111109</c:v>
                </c:pt>
                <c:pt idx="13">
                  <c:v>0.60069444444444442</c:v>
                </c:pt>
                <c:pt idx="14">
                  <c:v>0.60277777777777775</c:v>
                </c:pt>
                <c:pt idx="15">
                  <c:v>0.60416666666666663</c:v>
                </c:pt>
                <c:pt idx="16">
                  <c:v>0.60625000000000007</c:v>
                </c:pt>
                <c:pt idx="17">
                  <c:v>0.60833333333333395</c:v>
                </c:pt>
                <c:pt idx="18">
                  <c:v>0.61041666666666705</c:v>
                </c:pt>
                <c:pt idx="19">
                  <c:v>0.61250000000000004</c:v>
                </c:pt>
                <c:pt idx="20">
                  <c:v>0.61458333333333404</c:v>
                </c:pt>
                <c:pt idx="21">
                  <c:v>0.6166666666666667</c:v>
                </c:pt>
                <c:pt idx="22">
                  <c:v>0.61805555555555503</c:v>
                </c:pt>
                <c:pt idx="23">
                  <c:v>0.62013888888888891</c:v>
                </c:pt>
                <c:pt idx="24">
                  <c:v>0.62222222222222301</c:v>
                </c:pt>
                <c:pt idx="25">
                  <c:v>0.624305555555557</c:v>
                </c:pt>
                <c:pt idx="26">
                  <c:v>0.62638888888889099</c:v>
                </c:pt>
                <c:pt idx="27">
                  <c:v>0.62847222222222399</c:v>
                </c:pt>
                <c:pt idx="28">
                  <c:v>0.63055555555555798</c:v>
                </c:pt>
                <c:pt idx="29">
                  <c:v>0.63194444444444398</c:v>
                </c:pt>
                <c:pt idx="30">
                  <c:v>0.63402777777777775</c:v>
                </c:pt>
                <c:pt idx="31">
                  <c:v>0.63611111111111196</c:v>
                </c:pt>
                <c:pt idx="32">
                  <c:v>0.63819444444444495</c:v>
                </c:pt>
                <c:pt idx="33">
                  <c:v>0.64027777777777894</c:v>
                </c:pt>
                <c:pt idx="34">
                  <c:v>0.64236111111111305</c:v>
                </c:pt>
                <c:pt idx="35">
                  <c:v>0.64444444444444704</c:v>
                </c:pt>
                <c:pt idx="36">
                  <c:v>0.64583333333333304</c:v>
                </c:pt>
                <c:pt idx="37">
                  <c:v>0.6479166666666667</c:v>
                </c:pt>
                <c:pt idx="38">
                  <c:v>0.65</c:v>
                </c:pt>
                <c:pt idx="39">
                  <c:v>0.65208333333333401</c:v>
                </c:pt>
                <c:pt idx="40">
                  <c:v>0.65416666666666801</c:v>
                </c:pt>
                <c:pt idx="41">
                  <c:v>0.656250000000001</c:v>
                </c:pt>
                <c:pt idx="42">
                  <c:v>0.65833333333333499</c:v>
                </c:pt>
                <c:pt idx="43">
                  <c:v>0.65972222222222199</c:v>
                </c:pt>
                <c:pt idx="44">
                  <c:v>0.66180555555555554</c:v>
                </c:pt>
                <c:pt idx="45">
                  <c:v>0.66388888888888897</c:v>
                </c:pt>
                <c:pt idx="46">
                  <c:v>0.66597222222222296</c:v>
                </c:pt>
                <c:pt idx="47">
                  <c:v>0.66805555555555596</c:v>
                </c:pt>
                <c:pt idx="48">
                  <c:v>0.67013888888888995</c:v>
                </c:pt>
                <c:pt idx="49">
                  <c:v>0.67222222222222305</c:v>
                </c:pt>
                <c:pt idx="50">
                  <c:v>0.67361111111111105</c:v>
                </c:pt>
                <c:pt idx="51">
                  <c:v>0.67569444444444438</c:v>
                </c:pt>
                <c:pt idx="52">
                  <c:v>0.67777777777777803</c:v>
                </c:pt>
                <c:pt idx="53">
                  <c:v>0.67986111111111103</c:v>
                </c:pt>
                <c:pt idx="54">
                  <c:v>0.68194444444444402</c:v>
                </c:pt>
                <c:pt idx="55">
                  <c:v>0.68402777777777801</c:v>
                </c:pt>
                <c:pt idx="56">
                  <c:v>0.68611111111111101</c:v>
                </c:pt>
                <c:pt idx="57">
                  <c:v>0.6875</c:v>
                </c:pt>
                <c:pt idx="58">
                  <c:v>0.68958333333333333</c:v>
                </c:pt>
                <c:pt idx="59">
                  <c:v>0.69166666666666698</c:v>
                </c:pt>
                <c:pt idx="60">
                  <c:v>0.69374999999999998</c:v>
                </c:pt>
                <c:pt idx="61">
                  <c:v>0.69583333333333297</c:v>
                </c:pt>
                <c:pt idx="62">
                  <c:v>0.69791666666666696</c:v>
                </c:pt>
                <c:pt idx="63">
                  <c:v>0.7</c:v>
                </c:pt>
                <c:pt idx="64">
                  <c:v>0.70138888888888895</c:v>
                </c:pt>
                <c:pt idx="65">
                  <c:v>0.70347222222222217</c:v>
                </c:pt>
                <c:pt idx="66">
                  <c:v>0.70555555555555505</c:v>
                </c:pt>
                <c:pt idx="67">
                  <c:v>0.70763888888888904</c:v>
                </c:pt>
                <c:pt idx="68">
                  <c:v>0.70972222222222203</c:v>
                </c:pt>
                <c:pt idx="69">
                  <c:v>0.71180555555555503</c:v>
                </c:pt>
                <c:pt idx="70">
                  <c:v>0.71388888888888802</c:v>
                </c:pt>
                <c:pt idx="71">
                  <c:v>0.71527777777777701</c:v>
                </c:pt>
                <c:pt idx="72">
                  <c:v>0.71736111111111101</c:v>
                </c:pt>
                <c:pt idx="73">
                  <c:v>0.719444444444445</c:v>
                </c:pt>
                <c:pt idx="74">
                  <c:v>0.72152777777777899</c:v>
                </c:pt>
                <c:pt idx="75">
                  <c:v>0.72361111111111298</c:v>
                </c:pt>
                <c:pt idx="76">
                  <c:v>0.72569444444444697</c:v>
                </c:pt>
                <c:pt idx="77">
                  <c:v>0.72777777777778097</c:v>
                </c:pt>
                <c:pt idx="78">
                  <c:v>0.72916666666666596</c:v>
                </c:pt>
                <c:pt idx="79">
                  <c:v>0.73125000000000007</c:v>
                </c:pt>
                <c:pt idx="80">
                  <c:v>0.73333333333333395</c:v>
                </c:pt>
                <c:pt idx="81">
                  <c:v>0.73541666666666805</c:v>
                </c:pt>
                <c:pt idx="82">
                  <c:v>0.73750000000000204</c:v>
                </c:pt>
                <c:pt idx="83">
                  <c:v>0.73958333333333603</c:v>
                </c:pt>
                <c:pt idx="84">
                  <c:v>0.74166666666667103</c:v>
                </c:pt>
                <c:pt idx="85">
                  <c:v>0.74305555555555503</c:v>
                </c:pt>
                <c:pt idx="86">
                  <c:v>0.74513888888888891</c:v>
                </c:pt>
                <c:pt idx="87">
                  <c:v>0.74722222222222301</c:v>
                </c:pt>
                <c:pt idx="88">
                  <c:v>0.749305555555557</c:v>
                </c:pt>
                <c:pt idx="89">
                  <c:v>0.75138888888889099</c:v>
                </c:pt>
                <c:pt idx="90">
                  <c:v>0.75347222222222399</c:v>
                </c:pt>
                <c:pt idx="91">
                  <c:v>0.75555555555555798</c:v>
                </c:pt>
                <c:pt idx="92">
                  <c:v>0.75694444444444398</c:v>
                </c:pt>
                <c:pt idx="93">
                  <c:v>0.75902777777777775</c:v>
                </c:pt>
                <c:pt idx="94">
                  <c:v>0.76111111111111196</c:v>
                </c:pt>
                <c:pt idx="95">
                  <c:v>0.76319444444444495</c:v>
                </c:pt>
                <c:pt idx="96">
                  <c:v>0.76527777777777894</c:v>
                </c:pt>
                <c:pt idx="97">
                  <c:v>0.76736111111111305</c:v>
                </c:pt>
                <c:pt idx="98">
                  <c:v>0.76944444444444704</c:v>
                </c:pt>
                <c:pt idx="99">
                  <c:v>0.77083333333333304</c:v>
                </c:pt>
                <c:pt idx="100">
                  <c:v>0.7729166666666667</c:v>
                </c:pt>
                <c:pt idx="101">
                  <c:v>0.77500000000000002</c:v>
                </c:pt>
                <c:pt idx="102">
                  <c:v>0.77708333333333401</c:v>
                </c:pt>
                <c:pt idx="103">
                  <c:v>0.77916666666666801</c:v>
                </c:pt>
                <c:pt idx="104">
                  <c:v>0.781250000000001</c:v>
                </c:pt>
                <c:pt idx="105">
                  <c:v>0.78333333333333499</c:v>
                </c:pt>
                <c:pt idx="106">
                  <c:v>0.78472222222222221</c:v>
                </c:pt>
                <c:pt idx="107">
                  <c:v>0.78680555555555554</c:v>
                </c:pt>
                <c:pt idx="108">
                  <c:v>0.78888888888888897</c:v>
                </c:pt>
                <c:pt idx="109">
                  <c:v>0.79097222222222197</c:v>
                </c:pt>
                <c:pt idx="110">
                  <c:v>0.79305555555555596</c:v>
                </c:pt>
                <c:pt idx="111">
                  <c:v>0.79513888888888895</c:v>
                </c:pt>
                <c:pt idx="112">
                  <c:v>0.79722222222222205</c:v>
                </c:pt>
                <c:pt idx="113">
                  <c:v>0.79861111111111116</c:v>
                </c:pt>
                <c:pt idx="114">
                  <c:v>0.80069444444444438</c:v>
                </c:pt>
                <c:pt idx="115">
                  <c:v>0.80277777777777803</c:v>
                </c:pt>
                <c:pt idx="116">
                  <c:v>0.80486111111111103</c:v>
                </c:pt>
                <c:pt idx="117">
                  <c:v>0.80694444444444402</c:v>
                </c:pt>
                <c:pt idx="118">
                  <c:v>0.80902777777777701</c:v>
                </c:pt>
                <c:pt idx="119">
                  <c:v>0.81111111111111001</c:v>
                </c:pt>
                <c:pt idx="120">
                  <c:v>0.84722222222222221</c:v>
                </c:pt>
                <c:pt idx="121">
                  <c:v>0.84861111111111109</c:v>
                </c:pt>
                <c:pt idx="122">
                  <c:v>0.85</c:v>
                </c:pt>
                <c:pt idx="123">
                  <c:v>0.85138888888888897</c:v>
                </c:pt>
                <c:pt idx="124">
                  <c:v>0.85277777777777797</c:v>
                </c:pt>
                <c:pt idx="125">
                  <c:v>0.85416666666666663</c:v>
                </c:pt>
                <c:pt idx="126">
                  <c:v>0.85625000000000007</c:v>
                </c:pt>
                <c:pt idx="127">
                  <c:v>0.85833333333333395</c:v>
                </c:pt>
                <c:pt idx="128">
                  <c:v>0.86041666666666705</c:v>
                </c:pt>
                <c:pt idx="129">
                  <c:v>0.86250000000000004</c:v>
                </c:pt>
                <c:pt idx="130">
                  <c:v>0.86458333333333404</c:v>
                </c:pt>
                <c:pt idx="131">
                  <c:v>0.86666666666666703</c:v>
                </c:pt>
                <c:pt idx="132">
                  <c:v>0.86875000000000102</c:v>
                </c:pt>
                <c:pt idx="133">
                  <c:v>0.87083333333333401</c:v>
                </c:pt>
                <c:pt idx="134">
                  <c:v>0.87291666666666801</c:v>
                </c:pt>
                <c:pt idx="135">
                  <c:v>0.875000000000001</c:v>
                </c:pt>
                <c:pt idx="136">
                  <c:v>0.87708333333333399</c:v>
                </c:pt>
                <c:pt idx="137">
                  <c:v>0.87916666666666798</c:v>
                </c:pt>
                <c:pt idx="138">
                  <c:v>0.88125000000000098</c:v>
                </c:pt>
                <c:pt idx="139">
                  <c:v>0.88333333333333497</c:v>
                </c:pt>
                <c:pt idx="140">
                  <c:v>0.88541666666666796</c:v>
                </c:pt>
                <c:pt idx="141">
                  <c:v>0.88750000000000195</c:v>
                </c:pt>
                <c:pt idx="142">
                  <c:v>0.88958333333333495</c:v>
                </c:pt>
                <c:pt idx="143">
                  <c:v>0.89166666666666805</c:v>
                </c:pt>
                <c:pt idx="144">
                  <c:v>0.89375000000000204</c:v>
                </c:pt>
                <c:pt idx="145">
                  <c:v>0.89583333333333504</c:v>
                </c:pt>
                <c:pt idx="146">
                  <c:v>0.89791666666666903</c:v>
                </c:pt>
                <c:pt idx="147">
                  <c:v>0.90000000000000202</c:v>
                </c:pt>
                <c:pt idx="148">
                  <c:v>0.90208333333333601</c:v>
                </c:pt>
                <c:pt idx="149">
                  <c:v>0.90416666666666901</c:v>
                </c:pt>
                <c:pt idx="150">
                  <c:v>0.906250000000003</c:v>
                </c:pt>
                <c:pt idx="151">
                  <c:v>0.90833333333333599</c:v>
                </c:pt>
                <c:pt idx="152">
                  <c:v>0.91041666666666898</c:v>
                </c:pt>
                <c:pt idx="153">
                  <c:v>0.91250000000000298</c:v>
                </c:pt>
                <c:pt idx="154">
                  <c:v>0.91458333333333597</c:v>
                </c:pt>
                <c:pt idx="155">
                  <c:v>0.91666666666666996</c:v>
                </c:pt>
                <c:pt idx="156">
                  <c:v>0.91875000000000295</c:v>
                </c:pt>
                <c:pt idx="157">
                  <c:v>0.92083333333333695</c:v>
                </c:pt>
                <c:pt idx="158">
                  <c:v>0.92291666666667005</c:v>
                </c:pt>
                <c:pt idx="159">
                  <c:v>0.92500000000000304</c:v>
                </c:pt>
                <c:pt idx="160">
                  <c:v>0.92708333333333703</c:v>
                </c:pt>
                <c:pt idx="161">
                  <c:v>0.92916666666667003</c:v>
                </c:pt>
                <c:pt idx="162">
                  <c:v>0.93125000000000402</c:v>
                </c:pt>
                <c:pt idx="163">
                  <c:v>0.93333333333333701</c:v>
                </c:pt>
                <c:pt idx="164">
                  <c:v>0.935416666666671</c:v>
                </c:pt>
                <c:pt idx="165">
                  <c:v>0.937500000000004</c:v>
                </c:pt>
                <c:pt idx="166">
                  <c:v>0.93958333333333799</c:v>
                </c:pt>
                <c:pt idx="167">
                  <c:v>0.94166666666667098</c:v>
                </c:pt>
                <c:pt idx="168">
                  <c:v>0.94375000000000397</c:v>
                </c:pt>
                <c:pt idx="169">
                  <c:v>0.94583333333333797</c:v>
                </c:pt>
                <c:pt idx="170">
                  <c:v>0.94791666666667096</c:v>
                </c:pt>
                <c:pt idx="171">
                  <c:v>0.95000000000000495</c:v>
                </c:pt>
                <c:pt idx="172">
                  <c:v>0.95208333333333806</c:v>
                </c:pt>
                <c:pt idx="173">
                  <c:v>0.95416666666667205</c:v>
                </c:pt>
                <c:pt idx="174">
                  <c:v>0.95625000000000504</c:v>
                </c:pt>
                <c:pt idx="175">
                  <c:v>0.95833333333333903</c:v>
                </c:pt>
                <c:pt idx="176">
                  <c:v>0.96041666666667203</c:v>
                </c:pt>
                <c:pt idx="177">
                  <c:v>0.96250000000000602</c:v>
                </c:pt>
                <c:pt idx="178">
                  <c:v>0.96458333333333901</c:v>
                </c:pt>
                <c:pt idx="179">
                  <c:v>0.966666666666673</c:v>
                </c:pt>
                <c:pt idx="180">
                  <c:v>0.968750000000006</c:v>
                </c:pt>
                <c:pt idx="181">
                  <c:v>0.97083333333333899</c:v>
                </c:pt>
                <c:pt idx="182">
                  <c:v>0.97291666666667298</c:v>
                </c:pt>
                <c:pt idx="183">
                  <c:v>0.97500000000000597</c:v>
                </c:pt>
                <c:pt idx="184">
                  <c:v>0.97708333333333997</c:v>
                </c:pt>
                <c:pt idx="185">
                  <c:v>0.97916666666667296</c:v>
                </c:pt>
                <c:pt idx="186">
                  <c:v>0.98125000000000695</c:v>
                </c:pt>
                <c:pt idx="187">
                  <c:v>0.98333333333334005</c:v>
                </c:pt>
                <c:pt idx="188">
                  <c:v>0.98541666666667405</c:v>
                </c:pt>
                <c:pt idx="189">
                  <c:v>0.98750000000000704</c:v>
                </c:pt>
                <c:pt idx="190">
                  <c:v>0.98958333333334003</c:v>
                </c:pt>
                <c:pt idx="191">
                  <c:v>0.99166666666667402</c:v>
                </c:pt>
                <c:pt idx="192">
                  <c:v>0.99375000000000702</c:v>
                </c:pt>
                <c:pt idx="193">
                  <c:v>0.99583333333334101</c:v>
                </c:pt>
                <c:pt idx="194">
                  <c:v>0.997916666666674</c:v>
                </c:pt>
                <c:pt idx="195">
                  <c:v>1.00000000000001</c:v>
                </c:pt>
                <c:pt idx="196">
                  <c:v>1.0020833333333401</c:v>
                </c:pt>
                <c:pt idx="197">
                  <c:v>1.00416666666667</c:v>
                </c:pt>
                <c:pt idx="198">
                  <c:v>1.0062500000000101</c:v>
                </c:pt>
                <c:pt idx="199">
                  <c:v>1.00833333333334</c:v>
                </c:pt>
                <c:pt idx="200">
                  <c:v>1.0104166666666701</c:v>
                </c:pt>
                <c:pt idx="201">
                  <c:v>1.0125000000000099</c:v>
                </c:pt>
                <c:pt idx="202">
                  <c:v>1.0145833333333401</c:v>
                </c:pt>
                <c:pt idx="203">
                  <c:v>1.0166666666666699</c:v>
                </c:pt>
                <c:pt idx="204">
                  <c:v>1.01875000000001</c:v>
                </c:pt>
                <c:pt idx="205">
                  <c:v>1.0208333333333399</c:v>
                </c:pt>
                <c:pt idx="206">
                  <c:v>1.02291666666667</c:v>
                </c:pt>
                <c:pt idx="207">
                  <c:v>1.0250000000000099</c:v>
                </c:pt>
                <c:pt idx="208">
                  <c:v>1.02708333333334</c:v>
                </c:pt>
                <c:pt idx="209">
                  <c:v>1.0291666666666801</c:v>
                </c:pt>
                <c:pt idx="210">
                  <c:v>1.03125000000002</c:v>
                </c:pt>
                <c:pt idx="211">
                  <c:v>1.0333333333333601</c:v>
                </c:pt>
                <c:pt idx="212">
                  <c:v>1.0354166666667</c:v>
                </c:pt>
                <c:pt idx="213">
                  <c:v>1.0375000000000401</c:v>
                </c:pt>
                <c:pt idx="214">
                  <c:v>1.0395833333333799</c:v>
                </c:pt>
                <c:pt idx="215">
                  <c:v>1.04166666666672</c:v>
                </c:pt>
              </c:numCache>
            </c:numRef>
          </c:cat>
          <c:val>
            <c:numRef>
              <c:f>kencana!$O$30:$O$245</c:f>
              <c:numCache>
                <c:formatCode>0.000</c:formatCode>
                <c:ptCount val="216"/>
                <c:pt idx="0">
                  <c:v>54.109375383936559</c:v>
                </c:pt>
                <c:pt idx="1">
                  <c:v>54.109375383936559</c:v>
                </c:pt>
                <c:pt idx="2">
                  <c:v>54.109375383936559</c:v>
                </c:pt>
                <c:pt idx="3">
                  <c:v>54.109375383936559</c:v>
                </c:pt>
                <c:pt idx="4">
                  <c:v>54.109375383936559</c:v>
                </c:pt>
                <c:pt idx="5">
                  <c:v>54.109375383936559</c:v>
                </c:pt>
                <c:pt idx="6">
                  <c:v>54.109375383936559</c:v>
                </c:pt>
                <c:pt idx="7">
                  <c:v>54.109375383936559</c:v>
                </c:pt>
                <c:pt idx="8">
                  <c:v>54.109375383936559</c:v>
                </c:pt>
                <c:pt idx="9">
                  <c:v>54.109375383936559</c:v>
                </c:pt>
                <c:pt idx="10">
                  <c:v>54.109375383936559</c:v>
                </c:pt>
                <c:pt idx="11">
                  <c:v>54.109375383936559</c:v>
                </c:pt>
                <c:pt idx="12">
                  <c:v>54.109375383936559</c:v>
                </c:pt>
                <c:pt idx="13">
                  <c:v>54.109375383936559</c:v>
                </c:pt>
                <c:pt idx="14">
                  <c:v>54.109375383936559</c:v>
                </c:pt>
                <c:pt idx="15">
                  <c:v>54.109375383936559</c:v>
                </c:pt>
                <c:pt idx="16">
                  <c:v>54.109375383936559</c:v>
                </c:pt>
                <c:pt idx="17">
                  <c:v>54.109375383936559</c:v>
                </c:pt>
                <c:pt idx="18">
                  <c:v>54.109375383936559</c:v>
                </c:pt>
                <c:pt idx="19">
                  <c:v>54.109375383936559</c:v>
                </c:pt>
                <c:pt idx="20">
                  <c:v>54.109375383936559</c:v>
                </c:pt>
                <c:pt idx="21">
                  <c:v>54.109375383936559</c:v>
                </c:pt>
                <c:pt idx="22">
                  <c:v>54.109375383936559</c:v>
                </c:pt>
                <c:pt idx="23">
                  <c:v>54.109375383936559</c:v>
                </c:pt>
                <c:pt idx="24">
                  <c:v>54.109375383936559</c:v>
                </c:pt>
                <c:pt idx="25">
                  <c:v>54.109375383936559</c:v>
                </c:pt>
                <c:pt idx="26">
                  <c:v>54.109375383936559</c:v>
                </c:pt>
                <c:pt idx="27">
                  <c:v>54.109375383936559</c:v>
                </c:pt>
                <c:pt idx="28">
                  <c:v>54.109375383936559</c:v>
                </c:pt>
                <c:pt idx="29">
                  <c:v>54.109375383936559</c:v>
                </c:pt>
                <c:pt idx="30">
                  <c:v>54.109375383936559</c:v>
                </c:pt>
                <c:pt idx="31">
                  <c:v>54.109375383936559</c:v>
                </c:pt>
                <c:pt idx="32">
                  <c:v>54.109375383936559</c:v>
                </c:pt>
                <c:pt idx="33">
                  <c:v>54.109375383936559</c:v>
                </c:pt>
                <c:pt idx="34">
                  <c:v>54.109375383936559</c:v>
                </c:pt>
                <c:pt idx="35">
                  <c:v>54.109375383936559</c:v>
                </c:pt>
                <c:pt idx="36">
                  <c:v>54.109375383936559</c:v>
                </c:pt>
                <c:pt idx="37">
                  <c:v>54.109375383936559</c:v>
                </c:pt>
                <c:pt idx="38">
                  <c:v>54.109375383936559</c:v>
                </c:pt>
                <c:pt idx="39">
                  <c:v>54.109375383936559</c:v>
                </c:pt>
                <c:pt idx="40">
                  <c:v>54.109375383936559</c:v>
                </c:pt>
                <c:pt idx="41">
                  <c:v>54.109375383936559</c:v>
                </c:pt>
                <c:pt idx="42">
                  <c:v>54.109375383936559</c:v>
                </c:pt>
                <c:pt idx="43">
                  <c:v>54.109375383936559</c:v>
                </c:pt>
                <c:pt idx="44">
                  <c:v>54.109375383936559</c:v>
                </c:pt>
                <c:pt idx="45">
                  <c:v>54.109375383936559</c:v>
                </c:pt>
                <c:pt idx="46">
                  <c:v>54.109375383936559</c:v>
                </c:pt>
                <c:pt idx="47">
                  <c:v>54.109375383936559</c:v>
                </c:pt>
                <c:pt idx="48">
                  <c:v>54.109375383936559</c:v>
                </c:pt>
                <c:pt idx="49">
                  <c:v>54.109375383936559</c:v>
                </c:pt>
                <c:pt idx="50">
                  <c:v>54.109375383936559</c:v>
                </c:pt>
                <c:pt idx="51">
                  <c:v>54.109375383936559</c:v>
                </c:pt>
                <c:pt idx="52">
                  <c:v>54.109375383936559</c:v>
                </c:pt>
                <c:pt idx="53">
                  <c:v>54.109375383936559</c:v>
                </c:pt>
                <c:pt idx="54">
                  <c:v>54.109375383936559</c:v>
                </c:pt>
                <c:pt idx="55">
                  <c:v>54.109375383936559</c:v>
                </c:pt>
                <c:pt idx="56">
                  <c:v>54.109375383936559</c:v>
                </c:pt>
                <c:pt idx="57">
                  <c:v>54.109375383936559</c:v>
                </c:pt>
                <c:pt idx="58">
                  <c:v>54.109375383936559</c:v>
                </c:pt>
                <c:pt idx="59">
                  <c:v>54.109375383936559</c:v>
                </c:pt>
                <c:pt idx="60">
                  <c:v>54.109375383936559</c:v>
                </c:pt>
                <c:pt idx="61">
                  <c:v>54.109375383936559</c:v>
                </c:pt>
                <c:pt idx="62">
                  <c:v>54.109375383936559</c:v>
                </c:pt>
                <c:pt idx="63">
                  <c:v>54.109375383936559</c:v>
                </c:pt>
                <c:pt idx="64">
                  <c:v>54.109375383936559</c:v>
                </c:pt>
                <c:pt idx="65">
                  <c:v>54.109375383936559</c:v>
                </c:pt>
                <c:pt idx="66">
                  <c:v>54.109375383936559</c:v>
                </c:pt>
                <c:pt idx="67">
                  <c:v>54.109375383936559</c:v>
                </c:pt>
                <c:pt idx="68">
                  <c:v>54.109375383936559</c:v>
                </c:pt>
                <c:pt idx="69">
                  <c:v>54.109375383936559</c:v>
                </c:pt>
                <c:pt idx="70">
                  <c:v>54.109375383936559</c:v>
                </c:pt>
                <c:pt idx="71">
                  <c:v>54.109375383936559</c:v>
                </c:pt>
                <c:pt idx="72">
                  <c:v>54.109375383936559</c:v>
                </c:pt>
                <c:pt idx="73">
                  <c:v>54.109375383936559</c:v>
                </c:pt>
                <c:pt idx="74">
                  <c:v>54.109375383936559</c:v>
                </c:pt>
                <c:pt idx="75">
                  <c:v>54.109375383936559</c:v>
                </c:pt>
                <c:pt idx="76">
                  <c:v>54.109375383936559</c:v>
                </c:pt>
                <c:pt idx="77">
                  <c:v>54.109375383936559</c:v>
                </c:pt>
                <c:pt idx="78">
                  <c:v>54.109375383936559</c:v>
                </c:pt>
                <c:pt idx="79">
                  <c:v>54.109375383936559</c:v>
                </c:pt>
                <c:pt idx="80">
                  <c:v>54.109375383936559</c:v>
                </c:pt>
                <c:pt idx="81">
                  <c:v>54.109375383936559</c:v>
                </c:pt>
                <c:pt idx="82">
                  <c:v>54.109375383936559</c:v>
                </c:pt>
                <c:pt idx="83">
                  <c:v>54.109375383936559</c:v>
                </c:pt>
                <c:pt idx="84">
                  <c:v>54.109375383936559</c:v>
                </c:pt>
                <c:pt idx="85">
                  <c:v>54.109375383936559</c:v>
                </c:pt>
                <c:pt idx="86">
                  <c:v>54.109375383936559</c:v>
                </c:pt>
                <c:pt idx="87">
                  <c:v>54.109375383936559</c:v>
                </c:pt>
                <c:pt idx="88">
                  <c:v>54.109375383936559</c:v>
                </c:pt>
                <c:pt idx="89">
                  <c:v>54.109375383936559</c:v>
                </c:pt>
                <c:pt idx="90">
                  <c:v>54.109375383936559</c:v>
                </c:pt>
                <c:pt idx="91">
                  <c:v>54.109375383936559</c:v>
                </c:pt>
                <c:pt idx="92">
                  <c:v>54.109375383936559</c:v>
                </c:pt>
                <c:pt idx="93">
                  <c:v>54.109375383936559</c:v>
                </c:pt>
                <c:pt idx="94">
                  <c:v>54.109375383936559</c:v>
                </c:pt>
                <c:pt idx="95">
                  <c:v>54.109375383936559</c:v>
                </c:pt>
                <c:pt idx="96">
                  <c:v>54.109375383936559</c:v>
                </c:pt>
                <c:pt idx="97">
                  <c:v>54.109375383936559</c:v>
                </c:pt>
                <c:pt idx="98">
                  <c:v>54.109375383936559</c:v>
                </c:pt>
                <c:pt idx="99">
                  <c:v>54.109375383936559</c:v>
                </c:pt>
                <c:pt idx="100">
                  <c:v>54.109375383936559</c:v>
                </c:pt>
                <c:pt idx="101">
                  <c:v>54.109375383936559</c:v>
                </c:pt>
                <c:pt idx="102">
                  <c:v>54.109375383936559</c:v>
                </c:pt>
                <c:pt idx="103">
                  <c:v>54.109375383936559</c:v>
                </c:pt>
                <c:pt idx="104">
                  <c:v>54.109375383936559</c:v>
                </c:pt>
                <c:pt idx="105">
                  <c:v>54.109375383936559</c:v>
                </c:pt>
                <c:pt idx="106">
                  <c:v>54.109375383936559</c:v>
                </c:pt>
                <c:pt idx="107">
                  <c:v>54.109375383936559</c:v>
                </c:pt>
                <c:pt idx="108">
                  <c:v>54.109375383936559</c:v>
                </c:pt>
                <c:pt idx="109">
                  <c:v>54.109375383936559</c:v>
                </c:pt>
                <c:pt idx="110">
                  <c:v>54.109375383936559</c:v>
                </c:pt>
                <c:pt idx="111">
                  <c:v>54.109375383936559</c:v>
                </c:pt>
                <c:pt idx="112">
                  <c:v>54.109375383936559</c:v>
                </c:pt>
                <c:pt idx="113">
                  <c:v>54.109375383936559</c:v>
                </c:pt>
                <c:pt idx="114">
                  <c:v>54.109375383936559</c:v>
                </c:pt>
                <c:pt idx="115">
                  <c:v>54.109375383936559</c:v>
                </c:pt>
                <c:pt idx="116">
                  <c:v>54.109375383936559</c:v>
                </c:pt>
                <c:pt idx="117">
                  <c:v>54.109375383936559</c:v>
                </c:pt>
                <c:pt idx="118">
                  <c:v>54.109375383936559</c:v>
                </c:pt>
                <c:pt idx="119">
                  <c:v>54.109375383936559</c:v>
                </c:pt>
                <c:pt idx="120">
                  <c:v>54.109375383936559</c:v>
                </c:pt>
                <c:pt idx="121">
                  <c:v>54.109375383936559</c:v>
                </c:pt>
                <c:pt idx="122">
                  <c:v>54.109375383936559</c:v>
                </c:pt>
                <c:pt idx="123">
                  <c:v>54.109375383936559</c:v>
                </c:pt>
                <c:pt idx="124">
                  <c:v>54.109375383936559</c:v>
                </c:pt>
                <c:pt idx="125">
                  <c:v>54.109375383936559</c:v>
                </c:pt>
                <c:pt idx="126">
                  <c:v>54.109375383936559</c:v>
                </c:pt>
                <c:pt idx="127">
                  <c:v>54.109375383936559</c:v>
                </c:pt>
                <c:pt idx="128">
                  <c:v>54.109375383936559</c:v>
                </c:pt>
                <c:pt idx="129">
                  <c:v>54.109375383936559</c:v>
                </c:pt>
                <c:pt idx="130">
                  <c:v>54.109375383936559</c:v>
                </c:pt>
                <c:pt idx="131">
                  <c:v>54.109375383936559</c:v>
                </c:pt>
                <c:pt idx="132">
                  <c:v>54.109375383936559</c:v>
                </c:pt>
                <c:pt idx="133">
                  <c:v>54.109375383936559</c:v>
                </c:pt>
                <c:pt idx="134">
                  <c:v>54.109375383936559</c:v>
                </c:pt>
                <c:pt idx="135">
                  <c:v>54.109375383936559</c:v>
                </c:pt>
                <c:pt idx="136">
                  <c:v>54.109375383936559</c:v>
                </c:pt>
                <c:pt idx="137">
                  <c:v>54.109375383936559</c:v>
                </c:pt>
                <c:pt idx="138">
                  <c:v>54.109375383936559</c:v>
                </c:pt>
                <c:pt idx="139">
                  <c:v>54.109375383936559</c:v>
                </c:pt>
                <c:pt idx="140">
                  <c:v>54.109375383936559</c:v>
                </c:pt>
                <c:pt idx="141">
                  <c:v>54.109375383936559</c:v>
                </c:pt>
                <c:pt idx="142">
                  <c:v>54.109375383936559</c:v>
                </c:pt>
                <c:pt idx="143">
                  <c:v>54.109375383936559</c:v>
                </c:pt>
                <c:pt idx="144">
                  <c:v>54.109375383936559</c:v>
                </c:pt>
                <c:pt idx="145">
                  <c:v>54.109375383936559</c:v>
                </c:pt>
                <c:pt idx="146">
                  <c:v>54.109375383936559</c:v>
                </c:pt>
                <c:pt idx="147">
                  <c:v>54.109375383936559</c:v>
                </c:pt>
                <c:pt idx="148">
                  <c:v>54.109375383936559</c:v>
                </c:pt>
                <c:pt idx="149">
                  <c:v>54.109375383936559</c:v>
                </c:pt>
                <c:pt idx="150">
                  <c:v>54.109375383936559</c:v>
                </c:pt>
                <c:pt idx="151">
                  <c:v>54.109375383936559</c:v>
                </c:pt>
                <c:pt idx="152">
                  <c:v>54.109375383936559</c:v>
                </c:pt>
                <c:pt idx="153">
                  <c:v>54.109375383936559</c:v>
                </c:pt>
                <c:pt idx="154">
                  <c:v>54.109375383936559</c:v>
                </c:pt>
                <c:pt idx="155">
                  <c:v>54.109375383936559</c:v>
                </c:pt>
                <c:pt idx="156">
                  <c:v>54.109375383936559</c:v>
                </c:pt>
                <c:pt idx="157">
                  <c:v>54.109375383936559</c:v>
                </c:pt>
                <c:pt idx="158">
                  <c:v>54.109375383936559</c:v>
                </c:pt>
                <c:pt idx="159">
                  <c:v>54.109375383936559</c:v>
                </c:pt>
                <c:pt idx="160">
                  <c:v>54.109375383936559</c:v>
                </c:pt>
                <c:pt idx="161">
                  <c:v>54.109375383936559</c:v>
                </c:pt>
                <c:pt idx="162">
                  <c:v>54.109375383936559</c:v>
                </c:pt>
                <c:pt idx="163">
                  <c:v>54.109375383936559</c:v>
                </c:pt>
                <c:pt idx="164">
                  <c:v>54.109375383936559</c:v>
                </c:pt>
                <c:pt idx="165">
                  <c:v>54.109375383936559</c:v>
                </c:pt>
                <c:pt idx="166">
                  <c:v>54.109375383936559</c:v>
                </c:pt>
                <c:pt idx="167">
                  <c:v>54.109375383936559</c:v>
                </c:pt>
                <c:pt idx="168">
                  <c:v>54.109375383936559</c:v>
                </c:pt>
                <c:pt idx="169">
                  <c:v>54.109375383936559</c:v>
                </c:pt>
                <c:pt idx="170">
                  <c:v>54.109375383936559</c:v>
                </c:pt>
                <c:pt idx="171">
                  <c:v>54.109375383936559</c:v>
                </c:pt>
                <c:pt idx="172">
                  <c:v>54.109375383936559</c:v>
                </c:pt>
                <c:pt idx="173">
                  <c:v>54.109375383936559</c:v>
                </c:pt>
                <c:pt idx="174">
                  <c:v>54.109375383936559</c:v>
                </c:pt>
                <c:pt idx="175">
                  <c:v>54.109375383936559</c:v>
                </c:pt>
                <c:pt idx="176">
                  <c:v>54.109375383936559</c:v>
                </c:pt>
                <c:pt idx="177">
                  <c:v>54.109375383936559</c:v>
                </c:pt>
                <c:pt idx="178">
                  <c:v>54.109375383936559</c:v>
                </c:pt>
                <c:pt idx="179">
                  <c:v>54.109375383936559</c:v>
                </c:pt>
                <c:pt idx="180">
                  <c:v>54.109375383936559</c:v>
                </c:pt>
                <c:pt idx="181">
                  <c:v>54.109375383936559</c:v>
                </c:pt>
                <c:pt idx="182">
                  <c:v>54.109375383936559</c:v>
                </c:pt>
                <c:pt idx="183">
                  <c:v>54.109375383936559</c:v>
                </c:pt>
                <c:pt idx="184">
                  <c:v>54.109375383936559</c:v>
                </c:pt>
                <c:pt idx="185">
                  <c:v>54.109375383936559</c:v>
                </c:pt>
                <c:pt idx="186">
                  <c:v>54.109375383936559</c:v>
                </c:pt>
                <c:pt idx="187">
                  <c:v>54.109375383936559</c:v>
                </c:pt>
                <c:pt idx="188">
                  <c:v>54.109375383936559</c:v>
                </c:pt>
                <c:pt idx="189">
                  <c:v>54.109375383936559</c:v>
                </c:pt>
                <c:pt idx="190">
                  <c:v>54.109375383936559</c:v>
                </c:pt>
                <c:pt idx="191">
                  <c:v>54.109375383936559</c:v>
                </c:pt>
                <c:pt idx="192">
                  <c:v>54.109375383936559</c:v>
                </c:pt>
                <c:pt idx="193">
                  <c:v>54.109375383936559</c:v>
                </c:pt>
                <c:pt idx="194">
                  <c:v>54.109375383936559</c:v>
                </c:pt>
                <c:pt idx="195">
                  <c:v>54.109375383936559</c:v>
                </c:pt>
                <c:pt idx="196">
                  <c:v>54.109375383936559</c:v>
                </c:pt>
                <c:pt idx="197">
                  <c:v>54.109375383936559</c:v>
                </c:pt>
                <c:pt idx="198">
                  <c:v>54.109375383936559</c:v>
                </c:pt>
                <c:pt idx="199">
                  <c:v>54.109375383936559</c:v>
                </c:pt>
                <c:pt idx="200">
                  <c:v>54.109375383936559</c:v>
                </c:pt>
                <c:pt idx="201">
                  <c:v>54.109375383936559</c:v>
                </c:pt>
                <c:pt idx="202">
                  <c:v>54.109375383936559</c:v>
                </c:pt>
                <c:pt idx="203">
                  <c:v>54.109375383936559</c:v>
                </c:pt>
                <c:pt idx="204">
                  <c:v>54.109375383936559</c:v>
                </c:pt>
                <c:pt idx="205">
                  <c:v>54.109375383936559</c:v>
                </c:pt>
                <c:pt idx="206">
                  <c:v>54.109375383936559</c:v>
                </c:pt>
                <c:pt idx="207">
                  <c:v>54.109375383936559</c:v>
                </c:pt>
                <c:pt idx="208">
                  <c:v>54.109375383936559</c:v>
                </c:pt>
                <c:pt idx="209">
                  <c:v>54.109375383936559</c:v>
                </c:pt>
                <c:pt idx="210">
                  <c:v>54.109375383936559</c:v>
                </c:pt>
                <c:pt idx="211">
                  <c:v>54.109375383936559</c:v>
                </c:pt>
                <c:pt idx="212">
                  <c:v>54.109375383936559</c:v>
                </c:pt>
                <c:pt idx="213">
                  <c:v>54.109375383936559</c:v>
                </c:pt>
                <c:pt idx="214">
                  <c:v>54.109375383936559</c:v>
                </c:pt>
                <c:pt idx="215">
                  <c:v>54.109375383936559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267-BA90-5B037A05A035}"/>
            </c:ext>
          </c:extLst>
        </c:ser>
        <c:ser>
          <c:idx val="2"/>
          <c:order val="2"/>
          <c:tx>
            <c:v>A Rating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kencana!$F$30:$F$245</c:f>
              <c:numCache>
                <c:formatCode>[$-F400]h:mm:ss\ AM/PM</c:formatCode>
                <c:ptCount val="216"/>
                <c:pt idx="0">
                  <c:v>0.57291666666666663</c:v>
                </c:pt>
                <c:pt idx="1">
                  <c:v>0.57638888888888895</c:v>
                </c:pt>
                <c:pt idx="2">
                  <c:v>0.57847222222222217</c:v>
                </c:pt>
                <c:pt idx="3">
                  <c:v>0.58055555555555505</c:v>
                </c:pt>
                <c:pt idx="4">
                  <c:v>0.58263888888888904</c:v>
                </c:pt>
                <c:pt idx="5">
                  <c:v>0.58472222222222203</c:v>
                </c:pt>
                <c:pt idx="6">
                  <c:v>0.58680555555555503</c:v>
                </c:pt>
                <c:pt idx="7">
                  <c:v>0.58888888888888802</c:v>
                </c:pt>
                <c:pt idx="8">
                  <c:v>0.59027777777777779</c:v>
                </c:pt>
                <c:pt idx="9">
                  <c:v>0.59236111111111112</c:v>
                </c:pt>
                <c:pt idx="10">
                  <c:v>0.59444444444444444</c:v>
                </c:pt>
                <c:pt idx="11">
                  <c:v>0.59652777777777777</c:v>
                </c:pt>
                <c:pt idx="12">
                  <c:v>0.59861111111111109</c:v>
                </c:pt>
                <c:pt idx="13">
                  <c:v>0.60069444444444442</c:v>
                </c:pt>
                <c:pt idx="14">
                  <c:v>0.60277777777777775</c:v>
                </c:pt>
                <c:pt idx="15">
                  <c:v>0.60416666666666663</c:v>
                </c:pt>
                <c:pt idx="16">
                  <c:v>0.60625000000000007</c:v>
                </c:pt>
                <c:pt idx="17">
                  <c:v>0.60833333333333395</c:v>
                </c:pt>
                <c:pt idx="18">
                  <c:v>0.61041666666666705</c:v>
                </c:pt>
                <c:pt idx="19">
                  <c:v>0.61250000000000004</c:v>
                </c:pt>
                <c:pt idx="20">
                  <c:v>0.61458333333333404</c:v>
                </c:pt>
                <c:pt idx="21">
                  <c:v>0.6166666666666667</c:v>
                </c:pt>
                <c:pt idx="22">
                  <c:v>0.61805555555555503</c:v>
                </c:pt>
                <c:pt idx="23">
                  <c:v>0.62013888888888891</c:v>
                </c:pt>
                <c:pt idx="24">
                  <c:v>0.62222222222222301</c:v>
                </c:pt>
                <c:pt idx="25">
                  <c:v>0.624305555555557</c:v>
                </c:pt>
                <c:pt idx="26">
                  <c:v>0.62638888888889099</c:v>
                </c:pt>
                <c:pt idx="27">
                  <c:v>0.62847222222222399</c:v>
                </c:pt>
                <c:pt idx="28">
                  <c:v>0.63055555555555798</c:v>
                </c:pt>
                <c:pt idx="29">
                  <c:v>0.63194444444444398</c:v>
                </c:pt>
                <c:pt idx="30">
                  <c:v>0.63402777777777775</c:v>
                </c:pt>
                <c:pt idx="31">
                  <c:v>0.63611111111111196</c:v>
                </c:pt>
                <c:pt idx="32">
                  <c:v>0.63819444444444495</c:v>
                </c:pt>
                <c:pt idx="33">
                  <c:v>0.64027777777777894</c:v>
                </c:pt>
                <c:pt idx="34">
                  <c:v>0.64236111111111305</c:v>
                </c:pt>
                <c:pt idx="35">
                  <c:v>0.64444444444444704</c:v>
                </c:pt>
                <c:pt idx="36">
                  <c:v>0.64583333333333304</c:v>
                </c:pt>
                <c:pt idx="37">
                  <c:v>0.6479166666666667</c:v>
                </c:pt>
                <c:pt idx="38">
                  <c:v>0.65</c:v>
                </c:pt>
                <c:pt idx="39">
                  <c:v>0.65208333333333401</c:v>
                </c:pt>
                <c:pt idx="40">
                  <c:v>0.65416666666666801</c:v>
                </c:pt>
                <c:pt idx="41">
                  <c:v>0.656250000000001</c:v>
                </c:pt>
                <c:pt idx="42">
                  <c:v>0.65833333333333499</c:v>
                </c:pt>
                <c:pt idx="43">
                  <c:v>0.65972222222222199</c:v>
                </c:pt>
                <c:pt idx="44">
                  <c:v>0.66180555555555554</c:v>
                </c:pt>
                <c:pt idx="45">
                  <c:v>0.66388888888888897</c:v>
                </c:pt>
                <c:pt idx="46">
                  <c:v>0.66597222222222296</c:v>
                </c:pt>
                <c:pt idx="47">
                  <c:v>0.66805555555555596</c:v>
                </c:pt>
                <c:pt idx="48">
                  <c:v>0.67013888888888995</c:v>
                </c:pt>
                <c:pt idx="49">
                  <c:v>0.67222222222222305</c:v>
                </c:pt>
                <c:pt idx="50">
                  <c:v>0.67361111111111105</c:v>
                </c:pt>
                <c:pt idx="51">
                  <c:v>0.67569444444444438</c:v>
                </c:pt>
                <c:pt idx="52">
                  <c:v>0.67777777777777803</c:v>
                </c:pt>
                <c:pt idx="53">
                  <c:v>0.67986111111111103</c:v>
                </c:pt>
                <c:pt idx="54">
                  <c:v>0.68194444444444402</c:v>
                </c:pt>
                <c:pt idx="55">
                  <c:v>0.68402777777777801</c:v>
                </c:pt>
                <c:pt idx="56">
                  <c:v>0.68611111111111101</c:v>
                </c:pt>
                <c:pt idx="57">
                  <c:v>0.6875</c:v>
                </c:pt>
                <c:pt idx="58">
                  <c:v>0.68958333333333333</c:v>
                </c:pt>
                <c:pt idx="59">
                  <c:v>0.69166666666666698</c:v>
                </c:pt>
                <c:pt idx="60">
                  <c:v>0.69374999999999998</c:v>
                </c:pt>
                <c:pt idx="61">
                  <c:v>0.69583333333333297</c:v>
                </c:pt>
                <c:pt idx="62">
                  <c:v>0.69791666666666696</c:v>
                </c:pt>
                <c:pt idx="63">
                  <c:v>0.7</c:v>
                </c:pt>
                <c:pt idx="64">
                  <c:v>0.70138888888888895</c:v>
                </c:pt>
                <c:pt idx="65">
                  <c:v>0.70347222222222217</c:v>
                </c:pt>
                <c:pt idx="66">
                  <c:v>0.70555555555555505</c:v>
                </c:pt>
                <c:pt idx="67">
                  <c:v>0.70763888888888904</c:v>
                </c:pt>
                <c:pt idx="68">
                  <c:v>0.70972222222222203</c:v>
                </c:pt>
                <c:pt idx="69">
                  <c:v>0.71180555555555503</c:v>
                </c:pt>
                <c:pt idx="70">
                  <c:v>0.71388888888888802</c:v>
                </c:pt>
                <c:pt idx="71">
                  <c:v>0.71527777777777701</c:v>
                </c:pt>
                <c:pt idx="72">
                  <c:v>0.71736111111111101</c:v>
                </c:pt>
                <c:pt idx="73">
                  <c:v>0.719444444444445</c:v>
                </c:pt>
                <c:pt idx="74">
                  <c:v>0.72152777777777899</c:v>
                </c:pt>
                <c:pt idx="75">
                  <c:v>0.72361111111111298</c:v>
                </c:pt>
                <c:pt idx="76">
                  <c:v>0.72569444444444697</c:v>
                </c:pt>
                <c:pt idx="77">
                  <c:v>0.72777777777778097</c:v>
                </c:pt>
                <c:pt idx="78">
                  <c:v>0.72916666666666596</c:v>
                </c:pt>
                <c:pt idx="79">
                  <c:v>0.73125000000000007</c:v>
                </c:pt>
                <c:pt idx="80">
                  <c:v>0.73333333333333395</c:v>
                </c:pt>
                <c:pt idx="81">
                  <c:v>0.73541666666666805</c:v>
                </c:pt>
                <c:pt idx="82">
                  <c:v>0.73750000000000204</c:v>
                </c:pt>
                <c:pt idx="83">
                  <c:v>0.73958333333333603</c:v>
                </c:pt>
                <c:pt idx="84">
                  <c:v>0.74166666666667103</c:v>
                </c:pt>
                <c:pt idx="85">
                  <c:v>0.74305555555555503</c:v>
                </c:pt>
                <c:pt idx="86">
                  <c:v>0.74513888888888891</c:v>
                </c:pt>
                <c:pt idx="87">
                  <c:v>0.74722222222222301</c:v>
                </c:pt>
                <c:pt idx="88">
                  <c:v>0.749305555555557</c:v>
                </c:pt>
                <c:pt idx="89">
                  <c:v>0.75138888888889099</c:v>
                </c:pt>
                <c:pt idx="90">
                  <c:v>0.75347222222222399</c:v>
                </c:pt>
                <c:pt idx="91">
                  <c:v>0.75555555555555798</c:v>
                </c:pt>
                <c:pt idx="92">
                  <c:v>0.75694444444444398</c:v>
                </c:pt>
                <c:pt idx="93">
                  <c:v>0.75902777777777775</c:v>
                </c:pt>
                <c:pt idx="94">
                  <c:v>0.76111111111111196</c:v>
                </c:pt>
                <c:pt idx="95">
                  <c:v>0.76319444444444495</c:v>
                </c:pt>
                <c:pt idx="96">
                  <c:v>0.76527777777777894</c:v>
                </c:pt>
                <c:pt idx="97">
                  <c:v>0.76736111111111305</c:v>
                </c:pt>
                <c:pt idx="98">
                  <c:v>0.76944444444444704</c:v>
                </c:pt>
                <c:pt idx="99">
                  <c:v>0.77083333333333304</c:v>
                </c:pt>
                <c:pt idx="100">
                  <c:v>0.7729166666666667</c:v>
                </c:pt>
                <c:pt idx="101">
                  <c:v>0.77500000000000002</c:v>
                </c:pt>
                <c:pt idx="102">
                  <c:v>0.77708333333333401</c:v>
                </c:pt>
                <c:pt idx="103">
                  <c:v>0.77916666666666801</c:v>
                </c:pt>
                <c:pt idx="104">
                  <c:v>0.781250000000001</c:v>
                </c:pt>
                <c:pt idx="105">
                  <c:v>0.78333333333333499</c:v>
                </c:pt>
                <c:pt idx="106">
                  <c:v>0.78472222222222221</c:v>
                </c:pt>
                <c:pt idx="107">
                  <c:v>0.78680555555555554</c:v>
                </c:pt>
                <c:pt idx="108">
                  <c:v>0.78888888888888897</c:v>
                </c:pt>
                <c:pt idx="109">
                  <c:v>0.79097222222222197</c:v>
                </c:pt>
                <c:pt idx="110">
                  <c:v>0.79305555555555596</c:v>
                </c:pt>
                <c:pt idx="111">
                  <c:v>0.79513888888888895</c:v>
                </c:pt>
                <c:pt idx="112">
                  <c:v>0.79722222222222205</c:v>
                </c:pt>
                <c:pt idx="113">
                  <c:v>0.79861111111111116</c:v>
                </c:pt>
                <c:pt idx="114">
                  <c:v>0.80069444444444438</c:v>
                </c:pt>
                <c:pt idx="115">
                  <c:v>0.80277777777777803</c:v>
                </c:pt>
                <c:pt idx="116">
                  <c:v>0.80486111111111103</c:v>
                </c:pt>
                <c:pt idx="117">
                  <c:v>0.80694444444444402</c:v>
                </c:pt>
                <c:pt idx="118">
                  <c:v>0.80902777777777701</c:v>
                </c:pt>
                <c:pt idx="119">
                  <c:v>0.81111111111111001</c:v>
                </c:pt>
                <c:pt idx="120">
                  <c:v>0.84722222222222221</c:v>
                </c:pt>
                <c:pt idx="121">
                  <c:v>0.84861111111111109</c:v>
                </c:pt>
                <c:pt idx="122">
                  <c:v>0.85</c:v>
                </c:pt>
                <c:pt idx="123">
                  <c:v>0.85138888888888897</c:v>
                </c:pt>
                <c:pt idx="124">
                  <c:v>0.85277777777777797</c:v>
                </c:pt>
                <c:pt idx="125">
                  <c:v>0.85416666666666663</c:v>
                </c:pt>
                <c:pt idx="126">
                  <c:v>0.85625000000000007</c:v>
                </c:pt>
                <c:pt idx="127">
                  <c:v>0.85833333333333395</c:v>
                </c:pt>
                <c:pt idx="128">
                  <c:v>0.86041666666666705</c:v>
                </c:pt>
                <c:pt idx="129">
                  <c:v>0.86250000000000004</c:v>
                </c:pt>
                <c:pt idx="130">
                  <c:v>0.86458333333333404</c:v>
                </c:pt>
                <c:pt idx="131">
                  <c:v>0.86666666666666703</c:v>
                </c:pt>
                <c:pt idx="132">
                  <c:v>0.86875000000000102</c:v>
                </c:pt>
                <c:pt idx="133">
                  <c:v>0.87083333333333401</c:v>
                </c:pt>
                <c:pt idx="134">
                  <c:v>0.87291666666666801</c:v>
                </c:pt>
                <c:pt idx="135">
                  <c:v>0.875000000000001</c:v>
                </c:pt>
                <c:pt idx="136">
                  <c:v>0.87708333333333399</c:v>
                </c:pt>
                <c:pt idx="137">
                  <c:v>0.87916666666666798</c:v>
                </c:pt>
                <c:pt idx="138">
                  <c:v>0.88125000000000098</c:v>
                </c:pt>
                <c:pt idx="139">
                  <c:v>0.88333333333333497</c:v>
                </c:pt>
                <c:pt idx="140">
                  <c:v>0.88541666666666796</c:v>
                </c:pt>
                <c:pt idx="141">
                  <c:v>0.88750000000000195</c:v>
                </c:pt>
                <c:pt idx="142">
                  <c:v>0.88958333333333495</c:v>
                </c:pt>
                <c:pt idx="143">
                  <c:v>0.89166666666666805</c:v>
                </c:pt>
                <c:pt idx="144">
                  <c:v>0.89375000000000204</c:v>
                </c:pt>
                <c:pt idx="145">
                  <c:v>0.89583333333333504</c:v>
                </c:pt>
                <c:pt idx="146">
                  <c:v>0.89791666666666903</c:v>
                </c:pt>
                <c:pt idx="147">
                  <c:v>0.90000000000000202</c:v>
                </c:pt>
                <c:pt idx="148">
                  <c:v>0.90208333333333601</c:v>
                </c:pt>
                <c:pt idx="149">
                  <c:v>0.90416666666666901</c:v>
                </c:pt>
                <c:pt idx="150">
                  <c:v>0.906250000000003</c:v>
                </c:pt>
                <c:pt idx="151">
                  <c:v>0.90833333333333599</c:v>
                </c:pt>
                <c:pt idx="152">
                  <c:v>0.91041666666666898</c:v>
                </c:pt>
                <c:pt idx="153">
                  <c:v>0.91250000000000298</c:v>
                </c:pt>
                <c:pt idx="154">
                  <c:v>0.91458333333333597</c:v>
                </c:pt>
                <c:pt idx="155">
                  <c:v>0.91666666666666996</c:v>
                </c:pt>
                <c:pt idx="156">
                  <c:v>0.91875000000000295</c:v>
                </c:pt>
                <c:pt idx="157">
                  <c:v>0.92083333333333695</c:v>
                </c:pt>
                <c:pt idx="158">
                  <c:v>0.92291666666667005</c:v>
                </c:pt>
                <c:pt idx="159">
                  <c:v>0.92500000000000304</c:v>
                </c:pt>
                <c:pt idx="160">
                  <c:v>0.92708333333333703</c:v>
                </c:pt>
                <c:pt idx="161">
                  <c:v>0.92916666666667003</c:v>
                </c:pt>
                <c:pt idx="162">
                  <c:v>0.93125000000000402</c:v>
                </c:pt>
                <c:pt idx="163">
                  <c:v>0.93333333333333701</c:v>
                </c:pt>
                <c:pt idx="164">
                  <c:v>0.935416666666671</c:v>
                </c:pt>
                <c:pt idx="165">
                  <c:v>0.937500000000004</c:v>
                </c:pt>
                <c:pt idx="166">
                  <c:v>0.93958333333333799</c:v>
                </c:pt>
                <c:pt idx="167">
                  <c:v>0.94166666666667098</c:v>
                </c:pt>
                <c:pt idx="168">
                  <c:v>0.94375000000000397</c:v>
                </c:pt>
                <c:pt idx="169">
                  <c:v>0.94583333333333797</c:v>
                </c:pt>
                <c:pt idx="170">
                  <c:v>0.94791666666667096</c:v>
                </c:pt>
                <c:pt idx="171">
                  <c:v>0.95000000000000495</c:v>
                </c:pt>
                <c:pt idx="172">
                  <c:v>0.95208333333333806</c:v>
                </c:pt>
                <c:pt idx="173">
                  <c:v>0.95416666666667205</c:v>
                </c:pt>
                <c:pt idx="174">
                  <c:v>0.95625000000000504</c:v>
                </c:pt>
                <c:pt idx="175">
                  <c:v>0.95833333333333903</c:v>
                </c:pt>
                <c:pt idx="176">
                  <c:v>0.96041666666667203</c:v>
                </c:pt>
                <c:pt idx="177">
                  <c:v>0.96250000000000602</c:v>
                </c:pt>
                <c:pt idx="178">
                  <c:v>0.96458333333333901</c:v>
                </c:pt>
                <c:pt idx="179">
                  <c:v>0.966666666666673</c:v>
                </c:pt>
                <c:pt idx="180">
                  <c:v>0.968750000000006</c:v>
                </c:pt>
                <c:pt idx="181">
                  <c:v>0.97083333333333899</c:v>
                </c:pt>
                <c:pt idx="182">
                  <c:v>0.97291666666667298</c:v>
                </c:pt>
                <c:pt idx="183">
                  <c:v>0.97500000000000597</c:v>
                </c:pt>
                <c:pt idx="184">
                  <c:v>0.97708333333333997</c:v>
                </c:pt>
                <c:pt idx="185">
                  <c:v>0.97916666666667296</c:v>
                </c:pt>
                <c:pt idx="186">
                  <c:v>0.98125000000000695</c:v>
                </c:pt>
                <c:pt idx="187">
                  <c:v>0.98333333333334005</c:v>
                </c:pt>
                <c:pt idx="188">
                  <c:v>0.98541666666667405</c:v>
                </c:pt>
                <c:pt idx="189">
                  <c:v>0.98750000000000704</c:v>
                </c:pt>
                <c:pt idx="190">
                  <c:v>0.98958333333334003</c:v>
                </c:pt>
                <c:pt idx="191">
                  <c:v>0.99166666666667402</c:v>
                </c:pt>
                <c:pt idx="192">
                  <c:v>0.99375000000000702</c:v>
                </c:pt>
                <c:pt idx="193">
                  <c:v>0.99583333333334101</c:v>
                </c:pt>
                <c:pt idx="194">
                  <c:v>0.997916666666674</c:v>
                </c:pt>
                <c:pt idx="195">
                  <c:v>1.00000000000001</c:v>
                </c:pt>
                <c:pt idx="196">
                  <c:v>1.0020833333333401</c:v>
                </c:pt>
                <c:pt idx="197">
                  <c:v>1.00416666666667</c:v>
                </c:pt>
                <c:pt idx="198">
                  <c:v>1.0062500000000101</c:v>
                </c:pt>
                <c:pt idx="199">
                  <c:v>1.00833333333334</c:v>
                </c:pt>
                <c:pt idx="200">
                  <c:v>1.0104166666666701</c:v>
                </c:pt>
                <c:pt idx="201">
                  <c:v>1.0125000000000099</c:v>
                </c:pt>
                <c:pt idx="202">
                  <c:v>1.0145833333333401</c:v>
                </c:pt>
                <c:pt idx="203">
                  <c:v>1.0166666666666699</c:v>
                </c:pt>
                <c:pt idx="204">
                  <c:v>1.01875000000001</c:v>
                </c:pt>
                <c:pt idx="205">
                  <c:v>1.0208333333333399</c:v>
                </c:pt>
                <c:pt idx="206">
                  <c:v>1.02291666666667</c:v>
                </c:pt>
                <c:pt idx="207">
                  <c:v>1.0250000000000099</c:v>
                </c:pt>
                <c:pt idx="208">
                  <c:v>1.02708333333334</c:v>
                </c:pt>
                <c:pt idx="209">
                  <c:v>1.0291666666666801</c:v>
                </c:pt>
                <c:pt idx="210">
                  <c:v>1.03125000000002</c:v>
                </c:pt>
                <c:pt idx="211">
                  <c:v>1.0333333333333601</c:v>
                </c:pt>
                <c:pt idx="212">
                  <c:v>1.0354166666667</c:v>
                </c:pt>
                <c:pt idx="213">
                  <c:v>1.0375000000000401</c:v>
                </c:pt>
                <c:pt idx="214">
                  <c:v>1.0395833333333799</c:v>
                </c:pt>
                <c:pt idx="215">
                  <c:v>1.04166666666672</c:v>
                </c:pt>
              </c:numCache>
            </c:numRef>
          </c:cat>
          <c:val>
            <c:numRef>
              <c:f>kencana!$P$30:$P$245</c:f>
              <c:numCache>
                <c:formatCode>0.000</c:formatCode>
                <c:ptCount val="216"/>
                <c:pt idx="0">
                  <c:v>41.123125291791787</c:v>
                </c:pt>
                <c:pt idx="1">
                  <c:v>41.123125291791787</c:v>
                </c:pt>
                <c:pt idx="2">
                  <c:v>41.123125291791787</c:v>
                </c:pt>
                <c:pt idx="3">
                  <c:v>41.123125291791787</c:v>
                </c:pt>
                <c:pt idx="4">
                  <c:v>41.123125291791787</c:v>
                </c:pt>
                <c:pt idx="5">
                  <c:v>41.123125291791787</c:v>
                </c:pt>
                <c:pt idx="6">
                  <c:v>41.123125291791787</c:v>
                </c:pt>
                <c:pt idx="7">
                  <c:v>41.123125291791787</c:v>
                </c:pt>
                <c:pt idx="8">
                  <c:v>41.123125291791787</c:v>
                </c:pt>
                <c:pt idx="9">
                  <c:v>41.123125291791787</c:v>
                </c:pt>
                <c:pt idx="10">
                  <c:v>41.123125291791787</c:v>
                </c:pt>
                <c:pt idx="11">
                  <c:v>41.123125291791787</c:v>
                </c:pt>
                <c:pt idx="12">
                  <c:v>41.123125291791787</c:v>
                </c:pt>
                <c:pt idx="13">
                  <c:v>41.123125291791787</c:v>
                </c:pt>
                <c:pt idx="14">
                  <c:v>41.123125291791787</c:v>
                </c:pt>
                <c:pt idx="15">
                  <c:v>41.123125291791787</c:v>
                </c:pt>
                <c:pt idx="16">
                  <c:v>41.123125291791787</c:v>
                </c:pt>
                <c:pt idx="17">
                  <c:v>41.123125291791787</c:v>
                </c:pt>
                <c:pt idx="18">
                  <c:v>41.123125291791787</c:v>
                </c:pt>
                <c:pt idx="19">
                  <c:v>41.123125291791787</c:v>
                </c:pt>
                <c:pt idx="20">
                  <c:v>41.123125291791787</c:v>
                </c:pt>
                <c:pt idx="21">
                  <c:v>41.123125291791787</c:v>
                </c:pt>
                <c:pt idx="22">
                  <c:v>41.123125291791787</c:v>
                </c:pt>
                <c:pt idx="23">
                  <c:v>41.123125291791787</c:v>
                </c:pt>
                <c:pt idx="24">
                  <c:v>41.123125291791787</c:v>
                </c:pt>
                <c:pt idx="25">
                  <c:v>41.123125291791787</c:v>
                </c:pt>
                <c:pt idx="26">
                  <c:v>41.123125291791787</c:v>
                </c:pt>
                <c:pt idx="27">
                  <c:v>41.123125291791787</c:v>
                </c:pt>
                <c:pt idx="28">
                  <c:v>41.123125291791787</c:v>
                </c:pt>
                <c:pt idx="29">
                  <c:v>41.123125291791787</c:v>
                </c:pt>
                <c:pt idx="30">
                  <c:v>41.123125291791787</c:v>
                </c:pt>
                <c:pt idx="31">
                  <c:v>41.123125291791787</c:v>
                </c:pt>
                <c:pt idx="32">
                  <c:v>41.123125291791787</c:v>
                </c:pt>
                <c:pt idx="33">
                  <c:v>41.123125291791787</c:v>
                </c:pt>
                <c:pt idx="34">
                  <c:v>41.123125291791787</c:v>
                </c:pt>
                <c:pt idx="35">
                  <c:v>41.123125291791787</c:v>
                </c:pt>
                <c:pt idx="36">
                  <c:v>41.123125291791787</c:v>
                </c:pt>
                <c:pt idx="37">
                  <c:v>41.123125291791787</c:v>
                </c:pt>
                <c:pt idx="38">
                  <c:v>41.123125291791787</c:v>
                </c:pt>
                <c:pt idx="39">
                  <c:v>41.123125291791787</c:v>
                </c:pt>
                <c:pt idx="40">
                  <c:v>41.123125291791787</c:v>
                </c:pt>
                <c:pt idx="41">
                  <c:v>41.123125291791787</c:v>
                </c:pt>
                <c:pt idx="42">
                  <c:v>41.123125291791787</c:v>
                </c:pt>
                <c:pt idx="43">
                  <c:v>41.123125291791787</c:v>
                </c:pt>
                <c:pt idx="44">
                  <c:v>41.123125291791787</c:v>
                </c:pt>
                <c:pt idx="45">
                  <c:v>41.123125291791787</c:v>
                </c:pt>
                <c:pt idx="46">
                  <c:v>41.123125291791787</c:v>
                </c:pt>
                <c:pt idx="47">
                  <c:v>41.123125291791787</c:v>
                </c:pt>
                <c:pt idx="48">
                  <c:v>41.123125291791787</c:v>
                </c:pt>
                <c:pt idx="49">
                  <c:v>41.123125291791787</c:v>
                </c:pt>
                <c:pt idx="50">
                  <c:v>41.123125291791787</c:v>
                </c:pt>
                <c:pt idx="51">
                  <c:v>41.123125291791787</c:v>
                </c:pt>
                <c:pt idx="52">
                  <c:v>41.123125291791787</c:v>
                </c:pt>
                <c:pt idx="53">
                  <c:v>41.123125291791787</c:v>
                </c:pt>
                <c:pt idx="54">
                  <c:v>41.123125291791787</c:v>
                </c:pt>
                <c:pt idx="55">
                  <c:v>41.123125291791787</c:v>
                </c:pt>
                <c:pt idx="56">
                  <c:v>41.123125291791787</c:v>
                </c:pt>
                <c:pt idx="57">
                  <c:v>41.123125291791787</c:v>
                </c:pt>
                <c:pt idx="58">
                  <c:v>41.123125291791787</c:v>
                </c:pt>
                <c:pt idx="59">
                  <c:v>41.123125291791787</c:v>
                </c:pt>
                <c:pt idx="60">
                  <c:v>41.123125291791787</c:v>
                </c:pt>
                <c:pt idx="61">
                  <c:v>41.123125291791787</c:v>
                </c:pt>
                <c:pt idx="62">
                  <c:v>41.123125291791787</c:v>
                </c:pt>
                <c:pt idx="63">
                  <c:v>41.123125291791787</c:v>
                </c:pt>
                <c:pt idx="64">
                  <c:v>41.123125291791787</c:v>
                </c:pt>
                <c:pt idx="65">
                  <c:v>41.123125291791787</c:v>
                </c:pt>
                <c:pt idx="66">
                  <c:v>41.123125291791787</c:v>
                </c:pt>
                <c:pt idx="67">
                  <c:v>41.123125291791787</c:v>
                </c:pt>
                <c:pt idx="68">
                  <c:v>41.123125291791787</c:v>
                </c:pt>
                <c:pt idx="69">
                  <c:v>41.123125291791787</c:v>
                </c:pt>
                <c:pt idx="70">
                  <c:v>41.123125291791787</c:v>
                </c:pt>
                <c:pt idx="71">
                  <c:v>41.123125291791787</c:v>
                </c:pt>
                <c:pt idx="72">
                  <c:v>41.123125291791787</c:v>
                </c:pt>
                <c:pt idx="73">
                  <c:v>41.123125291791787</c:v>
                </c:pt>
                <c:pt idx="74">
                  <c:v>41.123125291791787</c:v>
                </c:pt>
                <c:pt idx="75">
                  <c:v>41.123125291791787</c:v>
                </c:pt>
                <c:pt idx="76">
                  <c:v>41.123125291791787</c:v>
                </c:pt>
                <c:pt idx="77">
                  <c:v>41.123125291791787</c:v>
                </c:pt>
                <c:pt idx="78">
                  <c:v>41.123125291791787</c:v>
                </c:pt>
                <c:pt idx="79">
                  <c:v>41.123125291791787</c:v>
                </c:pt>
                <c:pt idx="80">
                  <c:v>41.123125291791787</c:v>
                </c:pt>
                <c:pt idx="81">
                  <c:v>41.123125291791787</c:v>
                </c:pt>
                <c:pt idx="82">
                  <c:v>41.123125291791787</c:v>
                </c:pt>
                <c:pt idx="83">
                  <c:v>41.123125291791787</c:v>
                </c:pt>
                <c:pt idx="84">
                  <c:v>41.123125291791787</c:v>
                </c:pt>
                <c:pt idx="85">
                  <c:v>41.123125291791787</c:v>
                </c:pt>
                <c:pt idx="86">
                  <c:v>41.123125291791787</c:v>
                </c:pt>
                <c:pt idx="87">
                  <c:v>41.123125291791787</c:v>
                </c:pt>
                <c:pt idx="88">
                  <c:v>41.123125291791787</c:v>
                </c:pt>
                <c:pt idx="89">
                  <c:v>41.123125291791787</c:v>
                </c:pt>
                <c:pt idx="90">
                  <c:v>41.123125291791787</c:v>
                </c:pt>
                <c:pt idx="91">
                  <c:v>41.123125291791787</c:v>
                </c:pt>
                <c:pt idx="92">
                  <c:v>41.123125291791787</c:v>
                </c:pt>
                <c:pt idx="93">
                  <c:v>41.123125291791787</c:v>
                </c:pt>
                <c:pt idx="94">
                  <c:v>41.123125291791787</c:v>
                </c:pt>
                <c:pt idx="95">
                  <c:v>41.123125291791787</c:v>
                </c:pt>
                <c:pt idx="96">
                  <c:v>41.123125291791787</c:v>
                </c:pt>
                <c:pt idx="97">
                  <c:v>41.123125291791787</c:v>
                </c:pt>
                <c:pt idx="98">
                  <c:v>41.123125291791787</c:v>
                </c:pt>
                <c:pt idx="99">
                  <c:v>41.123125291791787</c:v>
                </c:pt>
                <c:pt idx="100">
                  <c:v>41.123125291791787</c:v>
                </c:pt>
                <c:pt idx="101">
                  <c:v>41.123125291791787</c:v>
                </c:pt>
                <c:pt idx="102">
                  <c:v>41.123125291791787</c:v>
                </c:pt>
                <c:pt idx="103">
                  <c:v>41.123125291791787</c:v>
                </c:pt>
                <c:pt idx="104">
                  <c:v>41.123125291791787</c:v>
                </c:pt>
                <c:pt idx="105">
                  <c:v>41.123125291791787</c:v>
                </c:pt>
                <c:pt idx="106">
                  <c:v>41.123125291791787</c:v>
                </c:pt>
                <c:pt idx="107">
                  <c:v>41.123125291791787</c:v>
                </c:pt>
                <c:pt idx="108">
                  <c:v>41.123125291791787</c:v>
                </c:pt>
                <c:pt idx="109">
                  <c:v>41.123125291791787</c:v>
                </c:pt>
                <c:pt idx="110">
                  <c:v>41.123125291791787</c:v>
                </c:pt>
                <c:pt idx="111">
                  <c:v>41.123125291791787</c:v>
                </c:pt>
                <c:pt idx="112">
                  <c:v>41.123125291791787</c:v>
                </c:pt>
                <c:pt idx="113">
                  <c:v>41.123125291791787</c:v>
                </c:pt>
                <c:pt idx="114">
                  <c:v>41.123125291791787</c:v>
                </c:pt>
                <c:pt idx="115">
                  <c:v>41.123125291791787</c:v>
                </c:pt>
                <c:pt idx="116">
                  <c:v>41.123125291791787</c:v>
                </c:pt>
                <c:pt idx="117">
                  <c:v>41.123125291791787</c:v>
                </c:pt>
                <c:pt idx="118">
                  <c:v>41.123125291791787</c:v>
                </c:pt>
                <c:pt idx="119">
                  <c:v>41.123125291791787</c:v>
                </c:pt>
                <c:pt idx="120">
                  <c:v>41.123125291791787</c:v>
                </c:pt>
                <c:pt idx="121">
                  <c:v>41.123125291791787</c:v>
                </c:pt>
                <c:pt idx="122">
                  <c:v>41.123125291791787</c:v>
                </c:pt>
                <c:pt idx="123">
                  <c:v>41.123125291791787</c:v>
                </c:pt>
                <c:pt idx="124">
                  <c:v>41.123125291791787</c:v>
                </c:pt>
                <c:pt idx="125">
                  <c:v>41.123125291791787</c:v>
                </c:pt>
                <c:pt idx="126">
                  <c:v>41.123125291791787</c:v>
                </c:pt>
                <c:pt idx="127">
                  <c:v>41.123125291791787</c:v>
                </c:pt>
                <c:pt idx="128">
                  <c:v>41.123125291791787</c:v>
                </c:pt>
                <c:pt idx="129">
                  <c:v>41.123125291791787</c:v>
                </c:pt>
                <c:pt idx="130">
                  <c:v>41.123125291791787</c:v>
                </c:pt>
                <c:pt idx="131">
                  <c:v>41.123125291791787</c:v>
                </c:pt>
                <c:pt idx="132">
                  <c:v>41.123125291791787</c:v>
                </c:pt>
                <c:pt idx="133">
                  <c:v>41.123125291791787</c:v>
                </c:pt>
                <c:pt idx="134">
                  <c:v>41.123125291791787</c:v>
                </c:pt>
                <c:pt idx="135">
                  <c:v>41.123125291791787</c:v>
                </c:pt>
                <c:pt idx="136">
                  <c:v>41.123125291791787</c:v>
                </c:pt>
                <c:pt idx="137">
                  <c:v>41.123125291791787</c:v>
                </c:pt>
                <c:pt idx="138">
                  <c:v>41.123125291791787</c:v>
                </c:pt>
                <c:pt idx="139">
                  <c:v>41.123125291791787</c:v>
                </c:pt>
                <c:pt idx="140">
                  <c:v>41.123125291791787</c:v>
                </c:pt>
                <c:pt idx="141">
                  <c:v>41.123125291791787</c:v>
                </c:pt>
                <c:pt idx="142">
                  <c:v>41.123125291791787</c:v>
                </c:pt>
                <c:pt idx="143">
                  <c:v>41.123125291791787</c:v>
                </c:pt>
                <c:pt idx="144">
                  <c:v>41.123125291791787</c:v>
                </c:pt>
                <c:pt idx="145">
                  <c:v>41.123125291791787</c:v>
                </c:pt>
                <c:pt idx="146">
                  <c:v>41.123125291791787</c:v>
                </c:pt>
                <c:pt idx="147">
                  <c:v>41.123125291791787</c:v>
                </c:pt>
                <c:pt idx="148">
                  <c:v>41.123125291791787</c:v>
                </c:pt>
                <c:pt idx="149">
                  <c:v>41.123125291791787</c:v>
                </c:pt>
                <c:pt idx="150">
                  <c:v>41.123125291791787</c:v>
                </c:pt>
                <c:pt idx="151">
                  <c:v>41.123125291791787</c:v>
                </c:pt>
                <c:pt idx="152">
                  <c:v>41.123125291791787</c:v>
                </c:pt>
                <c:pt idx="153">
                  <c:v>41.123125291791787</c:v>
                </c:pt>
                <c:pt idx="154">
                  <c:v>41.123125291791787</c:v>
                </c:pt>
                <c:pt idx="155">
                  <c:v>41.123125291791787</c:v>
                </c:pt>
                <c:pt idx="156">
                  <c:v>41.123125291791787</c:v>
                </c:pt>
                <c:pt idx="157">
                  <c:v>41.123125291791787</c:v>
                </c:pt>
                <c:pt idx="158">
                  <c:v>41.123125291791787</c:v>
                </c:pt>
                <c:pt idx="159">
                  <c:v>41.123125291791787</c:v>
                </c:pt>
                <c:pt idx="160">
                  <c:v>41.123125291791787</c:v>
                </c:pt>
                <c:pt idx="161">
                  <c:v>41.123125291791787</c:v>
                </c:pt>
                <c:pt idx="162">
                  <c:v>41.123125291791787</c:v>
                </c:pt>
                <c:pt idx="163">
                  <c:v>41.123125291791787</c:v>
                </c:pt>
                <c:pt idx="164">
                  <c:v>41.123125291791787</c:v>
                </c:pt>
                <c:pt idx="165">
                  <c:v>41.123125291791787</c:v>
                </c:pt>
                <c:pt idx="166">
                  <c:v>41.123125291791787</c:v>
                </c:pt>
                <c:pt idx="167">
                  <c:v>41.123125291791787</c:v>
                </c:pt>
                <c:pt idx="168">
                  <c:v>41.123125291791787</c:v>
                </c:pt>
                <c:pt idx="169">
                  <c:v>41.123125291791787</c:v>
                </c:pt>
                <c:pt idx="170">
                  <c:v>41.123125291791787</c:v>
                </c:pt>
                <c:pt idx="171">
                  <c:v>41.123125291791787</c:v>
                </c:pt>
                <c:pt idx="172">
                  <c:v>41.123125291791787</c:v>
                </c:pt>
                <c:pt idx="173">
                  <c:v>41.123125291791787</c:v>
                </c:pt>
                <c:pt idx="174">
                  <c:v>41.123125291791787</c:v>
                </c:pt>
                <c:pt idx="175">
                  <c:v>41.123125291791787</c:v>
                </c:pt>
                <c:pt idx="176">
                  <c:v>41.123125291791787</c:v>
                </c:pt>
                <c:pt idx="177">
                  <c:v>41.123125291791787</c:v>
                </c:pt>
                <c:pt idx="178">
                  <c:v>41.123125291791787</c:v>
                </c:pt>
                <c:pt idx="179">
                  <c:v>41.123125291791787</c:v>
                </c:pt>
                <c:pt idx="180">
                  <c:v>41.123125291791787</c:v>
                </c:pt>
                <c:pt idx="181">
                  <c:v>41.123125291791787</c:v>
                </c:pt>
                <c:pt idx="182">
                  <c:v>41.123125291791787</c:v>
                </c:pt>
                <c:pt idx="183">
                  <c:v>41.123125291791787</c:v>
                </c:pt>
                <c:pt idx="184">
                  <c:v>41.123125291791787</c:v>
                </c:pt>
                <c:pt idx="185">
                  <c:v>41.123125291791787</c:v>
                </c:pt>
                <c:pt idx="186">
                  <c:v>41.123125291791787</c:v>
                </c:pt>
                <c:pt idx="187">
                  <c:v>41.123125291791787</c:v>
                </c:pt>
                <c:pt idx="188">
                  <c:v>41.123125291791787</c:v>
                </c:pt>
                <c:pt idx="189">
                  <c:v>41.123125291791787</c:v>
                </c:pt>
                <c:pt idx="190">
                  <c:v>41.123125291791787</c:v>
                </c:pt>
                <c:pt idx="191">
                  <c:v>41.123125291791787</c:v>
                </c:pt>
                <c:pt idx="192">
                  <c:v>41.123125291791787</c:v>
                </c:pt>
                <c:pt idx="193">
                  <c:v>41.123125291791787</c:v>
                </c:pt>
                <c:pt idx="194">
                  <c:v>41.123125291791787</c:v>
                </c:pt>
                <c:pt idx="195">
                  <c:v>41.123125291791787</c:v>
                </c:pt>
                <c:pt idx="196">
                  <c:v>41.123125291791787</c:v>
                </c:pt>
                <c:pt idx="197">
                  <c:v>41.123125291791787</c:v>
                </c:pt>
                <c:pt idx="198">
                  <c:v>41.123125291791787</c:v>
                </c:pt>
                <c:pt idx="199">
                  <c:v>41.123125291791787</c:v>
                </c:pt>
                <c:pt idx="200">
                  <c:v>41.123125291791787</c:v>
                </c:pt>
                <c:pt idx="201">
                  <c:v>41.123125291791787</c:v>
                </c:pt>
                <c:pt idx="202">
                  <c:v>41.123125291791787</c:v>
                </c:pt>
                <c:pt idx="203">
                  <c:v>41.123125291791787</c:v>
                </c:pt>
                <c:pt idx="204">
                  <c:v>41.123125291791787</c:v>
                </c:pt>
                <c:pt idx="205">
                  <c:v>41.123125291791787</c:v>
                </c:pt>
                <c:pt idx="206">
                  <c:v>41.123125291791787</c:v>
                </c:pt>
                <c:pt idx="207">
                  <c:v>41.123125291791787</c:v>
                </c:pt>
                <c:pt idx="208">
                  <c:v>41.123125291791787</c:v>
                </c:pt>
                <c:pt idx="209">
                  <c:v>41.123125291791787</c:v>
                </c:pt>
                <c:pt idx="210">
                  <c:v>41.123125291791787</c:v>
                </c:pt>
                <c:pt idx="211">
                  <c:v>41.123125291791787</c:v>
                </c:pt>
                <c:pt idx="212">
                  <c:v>41.123125291791787</c:v>
                </c:pt>
                <c:pt idx="213">
                  <c:v>41.123125291791787</c:v>
                </c:pt>
                <c:pt idx="214">
                  <c:v>41.123125291791787</c:v>
                </c:pt>
                <c:pt idx="215">
                  <c:v>41.123125291791787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5-4267-BA90-5B037A05A035}"/>
            </c:ext>
          </c:extLst>
        </c:ser>
        <c:ser>
          <c:idx val="3"/>
          <c:order val="3"/>
          <c:tx>
            <c:v>B Rating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kencana!$F$30:$F$245</c:f>
              <c:numCache>
                <c:formatCode>[$-F400]h:mm:ss\ AM/PM</c:formatCode>
                <c:ptCount val="216"/>
                <c:pt idx="0">
                  <c:v>0.57291666666666663</c:v>
                </c:pt>
                <c:pt idx="1">
                  <c:v>0.57638888888888895</c:v>
                </c:pt>
                <c:pt idx="2">
                  <c:v>0.57847222222222217</c:v>
                </c:pt>
                <c:pt idx="3">
                  <c:v>0.58055555555555505</c:v>
                </c:pt>
                <c:pt idx="4">
                  <c:v>0.58263888888888904</c:v>
                </c:pt>
                <c:pt idx="5">
                  <c:v>0.58472222222222203</c:v>
                </c:pt>
                <c:pt idx="6">
                  <c:v>0.58680555555555503</c:v>
                </c:pt>
                <c:pt idx="7">
                  <c:v>0.58888888888888802</c:v>
                </c:pt>
                <c:pt idx="8">
                  <c:v>0.59027777777777779</c:v>
                </c:pt>
                <c:pt idx="9">
                  <c:v>0.59236111111111112</c:v>
                </c:pt>
                <c:pt idx="10">
                  <c:v>0.59444444444444444</c:v>
                </c:pt>
                <c:pt idx="11">
                  <c:v>0.59652777777777777</c:v>
                </c:pt>
                <c:pt idx="12">
                  <c:v>0.59861111111111109</c:v>
                </c:pt>
                <c:pt idx="13">
                  <c:v>0.60069444444444442</c:v>
                </c:pt>
                <c:pt idx="14">
                  <c:v>0.60277777777777775</c:v>
                </c:pt>
                <c:pt idx="15">
                  <c:v>0.60416666666666663</c:v>
                </c:pt>
                <c:pt idx="16">
                  <c:v>0.60625000000000007</c:v>
                </c:pt>
                <c:pt idx="17">
                  <c:v>0.60833333333333395</c:v>
                </c:pt>
                <c:pt idx="18">
                  <c:v>0.61041666666666705</c:v>
                </c:pt>
                <c:pt idx="19">
                  <c:v>0.61250000000000004</c:v>
                </c:pt>
                <c:pt idx="20">
                  <c:v>0.61458333333333404</c:v>
                </c:pt>
                <c:pt idx="21">
                  <c:v>0.6166666666666667</c:v>
                </c:pt>
                <c:pt idx="22">
                  <c:v>0.61805555555555503</c:v>
                </c:pt>
                <c:pt idx="23">
                  <c:v>0.62013888888888891</c:v>
                </c:pt>
                <c:pt idx="24">
                  <c:v>0.62222222222222301</c:v>
                </c:pt>
                <c:pt idx="25">
                  <c:v>0.624305555555557</c:v>
                </c:pt>
                <c:pt idx="26">
                  <c:v>0.62638888888889099</c:v>
                </c:pt>
                <c:pt idx="27">
                  <c:v>0.62847222222222399</c:v>
                </c:pt>
                <c:pt idx="28">
                  <c:v>0.63055555555555798</c:v>
                </c:pt>
                <c:pt idx="29">
                  <c:v>0.63194444444444398</c:v>
                </c:pt>
                <c:pt idx="30">
                  <c:v>0.63402777777777775</c:v>
                </c:pt>
                <c:pt idx="31">
                  <c:v>0.63611111111111196</c:v>
                </c:pt>
                <c:pt idx="32">
                  <c:v>0.63819444444444495</c:v>
                </c:pt>
                <c:pt idx="33">
                  <c:v>0.64027777777777894</c:v>
                </c:pt>
                <c:pt idx="34">
                  <c:v>0.64236111111111305</c:v>
                </c:pt>
                <c:pt idx="35">
                  <c:v>0.64444444444444704</c:v>
                </c:pt>
                <c:pt idx="36">
                  <c:v>0.64583333333333304</c:v>
                </c:pt>
                <c:pt idx="37">
                  <c:v>0.6479166666666667</c:v>
                </c:pt>
                <c:pt idx="38">
                  <c:v>0.65</c:v>
                </c:pt>
                <c:pt idx="39">
                  <c:v>0.65208333333333401</c:v>
                </c:pt>
                <c:pt idx="40">
                  <c:v>0.65416666666666801</c:v>
                </c:pt>
                <c:pt idx="41">
                  <c:v>0.656250000000001</c:v>
                </c:pt>
                <c:pt idx="42">
                  <c:v>0.65833333333333499</c:v>
                </c:pt>
                <c:pt idx="43">
                  <c:v>0.65972222222222199</c:v>
                </c:pt>
                <c:pt idx="44">
                  <c:v>0.66180555555555554</c:v>
                </c:pt>
                <c:pt idx="45">
                  <c:v>0.66388888888888897</c:v>
                </c:pt>
                <c:pt idx="46">
                  <c:v>0.66597222222222296</c:v>
                </c:pt>
                <c:pt idx="47">
                  <c:v>0.66805555555555596</c:v>
                </c:pt>
                <c:pt idx="48">
                  <c:v>0.67013888888888995</c:v>
                </c:pt>
                <c:pt idx="49">
                  <c:v>0.67222222222222305</c:v>
                </c:pt>
                <c:pt idx="50">
                  <c:v>0.67361111111111105</c:v>
                </c:pt>
                <c:pt idx="51">
                  <c:v>0.67569444444444438</c:v>
                </c:pt>
                <c:pt idx="52">
                  <c:v>0.67777777777777803</c:v>
                </c:pt>
                <c:pt idx="53">
                  <c:v>0.67986111111111103</c:v>
                </c:pt>
                <c:pt idx="54">
                  <c:v>0.68194444444444402</c:v>
                </c:pt>
                <c:pt idx="55">
                  <c:v>0.68402777777777801</c:v>
                </c:pt>
                <c:pt idx="56">
                  <c:v>0.68611111111111101</c:v>
                </c:pt>
                <c:pt idx="57">
                  <c:v>0.6875</c:v>
                </c:pt>
                <c:pt idx="58">
                  <c:v>0.68958333333333333</c:v>
                </c:pt>
                <c:pt idx="59">
                  <c:v>0.69166666666666698</c:v>
                </c:pt>
                <c:pt idx="60">
                  <c:v>0.69374999999999998</c:v>
                </c:pt>
                <c:pt idx="61">
                  <c:v>0.69583333333333297</c:v>
                </c:pt>
                <c:pt idx="62">
                  <c:v>0.69791666666666696</c:v>
                </c:pt>
                <c:pt idx="63">
                  <c:v>0.7</c:v>
                </c:pt>
                <c:pt idx="64">
                  <c:v>0.70138888888888895</c:v>
                </c:pt>
                <c:pt idx="65">
                  <c:v>0.70347222222222217</c:v>
                </c:pt>
                <c:pt idx="66">
                  <c:v>0.70555555555555505</c:v>
                </c:pt>
                <c:pt idx="67">
                  <c:v>0.70763888888888904</c:v>
                </c:pt>
                <c:pt idx="68">
                  <c:v>0.70972222222222203</c:v>
                </c:pt>
                <c:pt idx="69">
                  <c:v>0.71180555555555503</c:v>
                </c:pt>
                <c:pt idx="70">
                  <c:v>0.71388888888888802</c:v>
                </c:pt>
                <c:pt idx="71">
                  <c:v>0.71527777777777701</c:v>
                </c:pt>
                <c:pt idx="72">
                  <c:v>0.71736111111111101</c:v>
                </c:pt>
                <c:pt idx="73">
                  <c:v>0.719444444444445</c:v>
                </c:pt>
                <c:pt idx="74">
                  <c:v>0.72152777777777899</c:v>
                </c:pt>
                <c:pt idx="75">
                  <c:v>0.72361111111111298</c:v>
                </c:pt>
                <c:pt idx="76">
                  <c:v>0.72569444444444697</c:v>
                </c:pt>
                <c:pt idx="77">
                  <c:v>0.72777777777778097</c:v>
                </c:pt>
                <c:pt idx="78">
                  <c:v>0.72916666666666596</c:v>
                </c:pt>
                <c:pt idx="79">
                  <c:v>0.73125000000000007</c:v>
                </c:pt>
                <c:pt idx="80">
                  <c:v>0.73333333333333395</c:v>
                </c:pt>
                <c:pt idx="81">
                  <c:v>0.73541666666666805</c:v>
                </c:pt>
                <c:pt idx="82">
                  <c:v>0.73750000000000204</c:v>
                </c:pt>
                <c:pt idx="83">
                  <c:v>0.73958333333333603</c:v>
                </c:pt>
                <c:pt idx="84">
                  <c:v>0.74166666666667103</c:v>
                </c:pt>
                <c:pt idx="85">
                  <c:v>0.74305555555555503</c:v>
                </c:pt>
                <c:pt idx="86">
                  <c:v>0.74513888888888891</c:v>
                </c:pt>
                <c:pt idx="87">
                  <c:v>0.74722222222222301</c:v>
                </c:pt>
                <c:pt idx="88">
                  <c:v>0.749305555555557</c:v>
                </c:pt>
                <c:pt idx="89">
                  <c:v>0.75138888888889099</c:v>
                </c:pt>
                <c:pt idx="90">
                  <c:v>0.75347222222222399</c:v>
                </c:pt>
                <c:pt idx="91">
                  <c:v>0.75555555555555798</c:v>
                </c:pt>
                <c:pt idx="92">
                  <c:v>0.75694444444444398</c:v>
                </c:pt>
                <c:pt idx="93">
                  <c:v>0.75902777777777775</c:v>
                </c:pt>
                <c:pt idx="94">
                  <c:v>0.76111111111111196</c:v>
                </c:pt>
                <c:pt idx="95">
                  <c:v>0.76319444444444495</c:v>
                </c:pt>
                <c:pt idx="96">
                  <c:v>0.76527777777777894</c:v>
                </c:pt>
                <c:pt idx="97">
                  <c:v>0.76736111111111305</c:v>
                </c:pt>
                <c:pt idx="98">
                  <c:v>0.76944444444444704</c:v>
                </c:pt>
                <c:pt idx="99">
                  <c:v>0.77083333333333304</c:v>
                </c:pt>
                <c:pt idx="100">
                  <c:v>0.7729166666666667</c:v>
                </c:pt>
                <c:pt idx="101">
                  <c:v>0.77500000000000002</c:v>
                </c:pt>
                <c:pt idx="102">
                  <c:v>0.77708333333333401</c:v>
                </c:pt>
                <c:pt idx="103">
                  <c:v>0.77916666666666801</c:v>
                </c:pt>
                <c:pt idx="104">
                  <c:v>0.781250000000001</c:v>
                </c:pt>
                <c:pt idx="105">
                  <c:v>0.78333333333333499</c:v>
                </c:pt>
                <c:pt idx="106">
                  <c:v>0.78472222222222221</c:v>
                </c:pt>
                <c:pt idx="107">
                  <c:v>0.78680555555555554</c:v>
                </c:pt>
                <c:pt idx="108">
                  <c:v>0.78888888888888897</c:v>
                </c:pt>
                <c:pt idx="109">
                  <c:v>0.79097222222222197</c:v>
                </c:pt>
                <c:pt idx="110">
                  <c:v>0.79305555555555596</c:v>
                </c:pt>
                <c:pt idx="111">
                  <c:v>0.79513888888888895</c:v>
                </c:pt>
                <c:pt idx="112">
                  <c:v>0.79722222222222205</c:v>
                </c:pt>
                <c:pt idx="113">
                  <c:v>0.79861111111111116</c:v>
                </c:pt>
                <c:pt idx="114">
                  <c:v>0.80069444444444438</c:v>
                </c:pt>
                <c:pt idx="115">
                  <c:v>0.80277777777777803</c:v>
                </c:pt>
                <c:pt idx="116">
                  <c:v>0.80486111111111103</c:v>
                </c:pt>
                <c:pt idx="117">
                  <c:v>0.80694444444444402</c:v>
                </c:pt>
                <c:pt idx="118">
                  <c:v>0.80902777777777701</c:v>
                </c:pt>
                <c:pt idx="119">
                  <c:v>0.81111111111111001</c:v>
                </c:pt>
                <c:pt idx="120">
                  <c:v>0.84722222222222221</c:v>
                </c:pt>
                <c:pt idx="121">
                  <c:v>0.84861111111111109</c:v>
                </c:pt>
                <c:pt idx="122">
                  <c:v>0.85</c:v>
                </c:pt>
                <c:pt idx="123">
                  <c:v>0.85138888888888897</c:v>
                </c:pt>
                <c:pt idx="124">
                  <c:v>0.85277777777777797</c:v>
                </c:pt>
                <c:pt idx="125">
                  <c:v>0.85416666666666663</c:v>
                </c:pt>
                <c:pt idx="126">
                  <c:v>0.85625000000000007</c:v>
                </c:pt>
                <c:pt idx="127">
                  <c:v>0.85833333333333395</c:v>
                </c:pt>
                <c:pt idx="128">
                  <c:v>0.86041666666666705</c:v>
                </c:pt>
                <c:pt idx="129">
                  <c:v>0.86250000000000004</c:v>
                </c:pt>
                <c:pt idx="130">
                  <c:v>0.86458333333333404</c:v>
                </c:pt>
                <c:pt idx="131">
                  <c:v>0.86666666666666703</c:v>
                </c:pt>
                <c:pt idx="132">
                  <c:v>0.86875000000000102</c:v>
                </c:pt>
                <c:pt idx="133">
                  <c:v>0.87083333333333401</c:v>
                </c:pt>
                <c:pt idx="134">
                  <c:v>0.87291666666666801</c:v>
                </c:pt>
                <c:pt idx="135">
                  <c:v>0.875000000000001</c:v>
                </c:pt>
                <c:pt idx="136">
                  <c:v>0.87708333333333399</c:v>
                </c:pt>
                <c:pt idx="137">
                  <c:v>0.87916666666666798</c:v>
                </c:pt>
                <c:pt idx="138">
                  <c:v>0.88125000000000098</c:v>
                </c:pt>
                <c:pt idx="139">
                  <c:v>0.88333333333333497</c:v>
                </c:pt>
                <c:pt idx="140">
                  <c:v>0.88541666666666796</c:v>
                </c:pt>
                <c:pt idx="141">
                  <c:v>0.88750000000000195</c:v>
                </c:pt>
                <c:pt idx="142">
                  <c:v>0.88958333333333495</c:v>
                </c:pt>
                <c:pt idx="143">
                  <c:v>0.89166666666666805</c:v>
                </c:pt>
                <c:pt idx="144">
                  <c:v>0.89375000000000204</c:v>
                </c:pt>
                <c:pt idx="145">
                  <c:v>0.89583333333333504</c:v>
                </c:pt>
                <c:pt idx="146">
                  <c:v>0.89791666666666903</c:v>
                </c:pt>
                <c:pt idx="147">
                  <c:v>0.90000000000000202</c:v>
                </c:pt>
                <c:pt idx="148">
                  <c:v>0.90208333333333601</c:v>
                </c:pt>
                <c:pt idx="149">
                  <c:v>0.90416666666666901</c:v>
                </c:pt>
                <c:pt idx="150">
                  <c:v>0.906250000000003</c:v>
                </c:pt>
                <c:pt idx="151">
                  <c:v>0.90833333333333599</c:v>
                </c:pt>
                <c:pt idx="152">
                  <c:v>0.91041666666666898</c:v>
                </c:pt>
                <c:pt idx="153">
                  <c:v>0.91250000000000298</c:v>
                </c:pt>
                <c:pt idx="154">
                  <c:v>0.91458333333333597</c:v>
                </c:pt>
                <c:pt idx="155">
                  <c:v>0.91666666666666996</c:v>
                </c:pt>
                <c:pt idx="156">
                  <c:v>0.91875000000000295</c:v>
                </c:pt>
                <c:pt idx="157">
                  <c:v>0.92083333333333695</c:v>
                </c:pt>
                <c:pt idx="158">
                  <c:v>0.92291666666667005</c:v>
                </c:pt>
                <c:pt idx="159">
                  <c:v>0.92500000000000304</c:v>
                </c:pt>
                <c:pt idx="160">
                  <c:v>0.92708333333333703</c:v>
                </c:pt>
                <c:pt idx="161">
                  <c:v>0.92916666666667003</c:v>
                </c:pt>
                <c:pt idx="162">
                  <c:v>0.93125000000000402</c:v>
                </c:pt>
                <c:pt idx="163">
                  <c:v>0.93333333333333701</c:v>
                </c:pt>
                <c:pt idx="164">
                  <c:v>0.935416666666671</c:v>
                </c:pt>
                <c:pt idx="165">
                  <c:v>0.937500000000004</c:v>
                </c:pt>
                <c:pt idx="166">
                  <c:v>0.93958333333333799</c:v>
                </c:pt>
                <c:pt idx="167">
                  <c:v>0.94166666666667098</c:v>
                </c:pt>
                <c:pt idx="168">
                  <c:v>0.94375000000000397</c:v>
                </c:pt>
                <c:pt idx="169">
                  <c:v>0.94583333333333797</c:v>
                </c:pt>
                <c:pt idx="170">
                  <c:v>0.94791666666667096</c:v>
                </c:pt>
                <c:pt idx="171">
                  <c:v>0.95000000000000495</c:v>
                </c:pt>
                <c:pt idx="172">
                  <c:v>0.95208333333333806</c:v>
                </c:pt>
                <c:pt idx="173">
                  <c:v>0.95416666666667205</c:v>
                </c:pt>
                <c:pt idx="174">
                  <c:v>0.95625000000000504</c:v>
                </c:pt>
                <c:pt idx="175">
                  <c:v>0.95833333333333903</c:v>
                </c:pt>
                <c:pt idx="176">
                  <c:v>0.96041666666667203</c:v>
                </c:pt>
                <c:pt idx="177">
                  <c:v>0.96250000000000602</c:v>
                </c:pt>
                <c:pt idx="178">
                  <c:v>0.96458333333333901</c:v>
                </c:pt>
                <c:pt idx="179">
                  <c:v>0.966666666666673</c:v>
                </c:pt>
                <c:pt idx="180">
                  <c:v>0.968750000000006</c:v>
                </c:pt>
                <c:pt idx="181">
                  <c:v>0.97083333333333899</c:v>
                </c:pt>
                <c:pt idx="182">
                  <c:v>0.97291666666667298</c:v>
                </c:pt>
                <c:pt idx="183">
                  <c:v>0.97500000000000597</c:v>
                </c:pt>
                <c:pt idx="184">
                  <c:v>0.97708333333333997</c:v>
                </c:pt>
                <c:pt idx="185">
                  <c:v>0.97916666666667296</c:v>
                </c:pt>
                <c:pt idx="186">
                  <c:v>0.98125000000000695</c:v>
                </c:pt>
                <c:pt idx="187">
                  <c:v>0.98333333333334005</c:v>
                </c:pt>
                <c:pt idx="188">
                  <c:v>0.98541666666667405</c:v>
                </c:pt>
                <c:pt idx="189">
                  <c:v>0.98750000000000704</c:v>
                </c:pt>
                <c:pt idx="190">
                  <c:v>0.98958333333334003</c:v>
                </c:pt>
                <c:pt idx="191">
                  <c:v>0.99166666666667402</c:v>
                </c:pt>
                <c:pt idx="192">
                  <c:v>0.99375000000000702</c:v>
                </c:pt>
                <c:pt idx="193">
                  <c:v>0.99583333333334101</c:v>
                </c:pt>
                <c:pt idx="194">
                  <c:v>0.997916666666674</c:v>
                </c:pt>
                <c:pt idx="195">
                  <c:v>1.00000000000001</c:v>
                </c:pt>
                <c:pt idx="196">
                  <c:v>1.0020833333333401</c:v>
                </c:pt>
                <c:pt idx="197">
                  <c:v>1.00416666666667</c:v>
                </c:pt>
                <c:pt idx="198">
                  <c:v>1.0062500000000101</c:v>
                </c:pt>
                <c:pt idx="199">
                  <c:v>1.00833333333334</c:v>
                </c:pt>
                <c:pt idx="200">
                  <c:v>1.0104166666666701</c:v>
                </c:pt>
                <c:pt idx="201">
                  <c:v>1.0125000000000099</c:v>
                </c:pt>
                <c:pt idx="202">
                  <c:v>1.0145833333333401</c:v>
                </c:pt>
                <c:pt idx="203">
                  <c:v>1.0166666666666699</c:v>
                </c:pt>
                <c:pt idx="204">
                  <c:v>1.01875000000001</c:v>
                </c:pt>
                <c:pt idx="205">
                  <c:v>1.0208333333333399</c:v>
                </c:pt>
                <c:pt idx="206">
                  <c:v>1.02291666666667</c:v>
                </c:pt>
                <c:pt idx="207">
                  <c:v>1.0250000000000099</c:v>
                </c:pt>
                <c:pt idx="208">
                  <c:v>1.02708333333334</c:v>
                </c:pt>
                <c:pt idx="209">
                  <c:v>1.0291666666666801</c:v>
                </c:pt>
                <c:pt idx="210">
                  <c:v>1.03125000000002</c:v>
                </c:pt>
                <c:pt idx="211">
                  <c:v>1.0333333333333601</c:v>
                </c:pt>
                <c:pt idx="212">
                  <c:v>1.0354166666667</c:v>
                </c:pt>
                <c:pt idx="213">
                  <c:v>1.0375000000000401</c:v>
                </c:pt>
                <c:pt idx="214">
                  <c:v>1.0395833333333799</c:v>
                </c:pt>
                <c:pt idx="215">
                  <c:v>1.04166666666672</c:v>
                </c:pt>
              </c:numCache>
            </c:numRef>
          </c:cat>
          <c:val>
            <c:numRef>
              <c:f>kencana!$Q$30:$Q$245</c:f>
              <c:numCache>
                <c:formatCode>0.000</c:formatCode>
                <c:ptCount val="216"/>
                <c:pt idx="0">
                  <c:v>49.780625353221637</c:v>
                </c:pt>
                <c:pt idx="1">
                  <c:v>49.780625353221637</c:v>
                </c:pt>
                <c:pt idx="2">
                  <c:v>49.780625353221637</c:v>
                </c:pt>
                <c:pt idx="3">
                  <c:v>49.780625353221637</c:v>
                </c:pt>
                <c:pt idx="4">
                  <c:v>49.780625353221637</c:v>
                </c:pt>
                <c:pt idx="5">
                  <c:v>49.780625353221637</c:v>
                </c:pt>
                <c:pt idx="6">
                  <c:v>49.780625353221637</c:v>
                </c:pt>
                <c:pt idx="7">
                  <c:v>49.780625353221637</c:v>
                </c:pt>
                <c:pt idx="8">
                  <c:v>49.780625353221637</c:v>
                </c:pt>
                <c:pt idx="9">
                  <c:v>49.780625353221637</c:v>
                </c:pt>
                <c:pt idx="10">
                  <c:v>49.780625353221637</c:v>
                </c:pt>
                <c:pt idx="11">
                  <c:v>49.780625353221637</c:v>
                </c:pt>
                <c:pt idx="12">
                  <c:v>49.780625353221637</c:v>
                </c:pt>
                <c:pt idx="13">
                  <c:v>49.780625353221637</c:v>
                </c:pt>
                <c:pt idx="14">
                  <c:v>49.780625353221637</c:v>
                </c:pt>
                <c:pt idx="15">
                  <c:v>49.780625353221637</c:v>
                </c:pt>
                <c:pt idx="16">
                  <c:v>49.780625353221637</c:v>
                </c:pt>
                <c:pt idx="17">
                  <c:v>49.780625353221637</c:v>
                </c:pt>
                <c:pt idx="18">
                  <c:v>49.780625353221637</c:v>
                </c:pt>
                <c:pt idx="19">
                  <c:v>49.780625353221637</c:v>
                </c:pt>
                <c:pt idx="20">
                  <c:v>49.780625353221637</c:v>
                </c:pt>
                <c:pt idx="21">
                  <c:v>49.780625353221637</c:v>
                </c:pt>
                <c:pt idx="22">
                  <c:v>49.780625353221637</c:v>
                </c:pt>
                <c:pt idx="23">
                  <c:v>49.780625353221637</c:v>
                </c:pt>
                <c:pt idx="24">
                  <c:v>49.780625353221637</c:v>
                </c:pt>
                <c:pt idx="25">
                  <c:v>49.780625353221637</c:v>
                </c:pt>
                <c:pt idx="26">
                  <c:v>49.780625353221637</c:v>
                </c:pt>
                <c:pt idx="27">
                  <c:v>49.780625353221637</c:v>
                </c:pt>
                <c:pt idx="28">
                  <c:v>49.780625353221637</c:v>
                </c:pt>
                <c:pt idx="29">
                  <c:v>49.780625353221637</c:v>
                </c:pt>
                <c:pt idx="30">
                  <c:v>49.780625353221637</c:v>
                </c:pt>
                <c:pt idx="31">
                  <c:v>49.780625353221637</c:v>
                </c:pt>
                <c:pt idx="32">
                  <c:v>49.780625353221637</c:v>
                </c:pt>
                <c:pt idx="33">
                  <c:v>49.780625353221637</c:v>
                </c:pt>
                <c:pt idx="34">
                  <c:v>49.780625353221637</c:v>
                </c:pt>
                <c:pt idx="35">
                  <c:v>49.780625353221637</c:v>
                </c:pt>
                <c:pt idx="36">
                  <c:v>49.780625353221637</c:v>
                </c:pt>
                <c:pt idx="37">
                  <c:v>49.780625353221637</c:v>
                </c:pt>
                <c:pt idx="38">
                  <c:v>49.780625353221637</c:v>
                </c:pt>
                <c:pt idx="39">
                  <c:v>49.780625353221637</c:v>
                </c:pt>
                <c:pt idx="40">
                  <c:v>49.780625353221637</c:v>
                </c:pt>
                <c:pt idx="41">
                  <c:v>49.780625353221637</c:v>
                </c:pt>
                <c:pt idx="42">
                  <c:v>49.780625353221637</c:v>
                </c:pt>
                <c:pt idx="43">
                  <c:v>49.780625353221637</c:v>
                </c:pt>
                <c:pt idx="44">
                  <c:v>49.780625353221637</c:v>
                </c:pt>
                <c:pt idx="45">
                  <c:v>49.780625353221637</c:v>
                </c:pt>
                <c:pt idx="46">
                  <c:v>49.780625353221637</c:v>
                </c:pt>
                <c:pt idx="47">
                  <c:v>49.780625353221637</c:v>
                </c:pt>
                <c:pt idx="48">
                  <c:v>49.780625353221637</c:v>
                </c:pt>
                <c:pt idx="49">
                  <c:v>49.780625353221637</c:v>
                </c:pt>
                <c:pt idx="50">
                  <c:v>49.780625353221637</c:v>
                </c:pt>
                <c:pt idx="51">
                  <c:v>49.780625353221637</c:v>
                </c:pt>
                <c:pt idx="52">
                  <c:v>49.780625353221637</c:v>
                </c:pt>
                <c:pt idx="53">
                  <c:v>49.780625353221637</c:v>
                </c:pt>
                <c:pt idx="54">
                  <c:v>49.780625353221637</c:v>
                </c:pt>
                <c:pt idx="55">
                  <c:v>49.780625353221637</c:v>
                </c:pt>
                <c:pt idx="56">
                  <c:v>49.780625353221637</c:v>
                </c:pt>
                <c:pt idx="57">
                  <c:v>49.780625353221637</c:v>
                </c:pt>
                <c:pt idx="58">
                  <c:v>49.780625353221637</c:v>
                </c:pt>
                <c:pt idx="59">
                  <c:v>49.780625353221637</c:v>
                </c:pt>
                <c:pt idx="60">
                  <c:v>49.780625353221637</c:v>
                </c:pt>
                <c:pt idx="61">
                  <c:v>49.780625353221637</c:v>
                </c:pt>
                <c:pt idx="62">
                  <c:v>49.780625353221637</c:v>
                </c:pt>
                <c:pt idx="63">
                  <c:v>49.780625353221637</c:v>
                </c:pt>
                <c:pt idx="64">
                  <c:v>49.780625353221637</c:v>
                </c:pt>
                <c:pt idx="65">
                  <c:v>49.780625353221637</c:v>
                </c:pt>
                <c:pt idx="66">
                  <c:v>49.780625353221637</c:v>
                </c:pt>
                <c:pt idx="67">
                  <c:v>49.780625353221637</c:v>
                </c:pt>
                <c:pt idx="68">
                  <c:v>49.780625353221637</c:v>
                </c:pt>
                <c:pt idx="69">
                  <c:v>49.780625353221637</c:v>
                </c:pt>
                <c:pt idx="70">
                  <c:v>49.780625353221637</c:v>
                </c:pt>
                <c:pt idx="71">
                  <c:v>49.780625353221637</c:v>
                </c:pt>
                <c:pt idx="72">
                  <c:v>49.780625353221637</c:v>
                </c:pt>
                <c:pt idx="73">
                  <c:v>49.780625353221637</c:v>
                </c:pt>
                <c:pt idx="74">
                  <c:v>49.780625353221637</c:v>
                </c:pt>
                <c:pt idx="75">
                  <c:v>49.780625353221637</c:v>
                </c:pt>
                <c:pt idx="76">
                  <c:v>49.780625353221637</c:v>
                </c:pt>
                <c:pt idx="77">
                  <c:v>49.780625353221637</c:v>
                </c:pt>
                <c:pt idx="78">
                  <c:v>49.780625353221637</c:v>
                </c:pt>
                <c:pt idx="79">
                  <c:v>49.780625353221637</c:v>
                </c:pt>
                <c:pt idx="80">
                  <c:v>49.780625353221637</c:v>
                </c:pt>
                <c:pt idx="81">
                  <c:v>49.780625353221637</c:v>
                </c:pt>
                <c:pt idx="82">
                  <c:v>49.780625353221637</c:v>
                </c:pt>
                <c:pt idx="83">
                  <c:v>49.780625353221637</c:v>
                </c:pt>
                <c:pt idx="84">
                  <c:v>49.780625353221637</c:v>
                </c:pt>
                <c:pt idx="85">
                  <c:v>49.780625353221637</c:v>
                </c:pt>
                <c:pt idx="86">
                  <c:v>49.780625353221637</c:v>
                </c:pt>
                <c:pt idx="87">
                  <c:v>49.780625353221637</c:v>
                </c:pt>
                <c:pt idx="88">
                  <c:v>49.780625353221637</c:v>
                </c:pt>
                <c:pt idx="89">
                  <c:v>49.780625353221637</c:v>
                </c:pt>
                <c:pt idx="90">
                  <c:v>49.780625353221637</c:v>
                </c:pt>
                <c:pt idx="91">
                  <c:v>49.780625353221637</c:v>
                </c:pt>
                <c:pt idx="92">
                  <c:v>49.780625353221637</c:v>
                </c:pt>
                <c:pt idx="93">
                  <c:v>49.780625353221637</c:v>
                </c:pt>
                <c:pt idx="94">
                  <c:v>49.780625353221637</c:v>
                </c:pt>
                <c:pt idx="95">
                  <c:v>49.780625353221637</c:v>
                </c:pt>
                <c:pt idx="96">
                  <c:v>49.780625353221637</c:v>
                </c:pt>
                <c:pt idx="97">
                  <c:v>49.780625353221637</c:v>
                </c:pt>
                <c:pt idx="98">
                  <c:v>49.780625353221637</c:v>
                </c:pt>
                <c:pt idx="99">
                  <c:v>49.780625353221637</c:v>
                </c:pt>
                <c:pt idx="100">
                  <c:v>49.780625353221637</c:v>
                </c:pt>
                <c:pt idx="101">
                  <c:v>49.780625353221637</c:v>
                </c:pt>
                <c:pt idx="102">
                  <c:v>49.780625353221637</c:v>
                </c:pt>
                <c:pt idx="103">
                  <c:v>49.780625353221637</c:v>
                </c:pt>
                <c:pt idx="104">
                  <c:v>49.780625353221637</c:v>
                </c:pt>
                <c:pt idx="105">
                  <c:v>49.780625353221637</c:v>
                </c:pt>
                <c:pt idx="106">
                  <c:v>49.780625353221637</c:v>
                </c:pt>
                <c:pt idx="107">
                  <c:v>49.780625353221637</c:v>
                </c:pt>
                <c:pt idx="108">
                  <c:v>49.780625353221637</c:v>
                </c:pt>
                <c:pt idx="109">
                  <c:v>49.780625353221637</c:v>
                </c:pt>
                <c:pt idx="110">
                  <c:v>49.780625353221637</c:v>
                </c:pt>
                <c:pt idx="111">
                  <c:v>49.780625353221637</c:v>
                </c:pt>
                <c:pt idx="112">
                  <c:v>49.780625353221637</c:v>
                </c:pt>
                <c:pt idx="113">
                  <c:v>49.780625353221637</c:v>
                </c:pt>
                <c:pt idx="114">
                  <c:v>49.780625353221637</c:v>
                </c:pt>
                <c:pt idx="115">
                  <c:v>49.780625353221637</c:v>
                </c:pt>
                <c:pt idx="116">
                  <c:v>49.780625353221637</c:v>
                </c:pt>
                <c:pt idx="117">
                  <c:v>49.780625353221637</c:v>
                </c:pt>
                <c:pt idx="118">
                  <c:v>49.780625353221637</c:v>
                </c:pt>
                <c:pt idx="119">
                  <c:v>49.780625353221637</c:v>
                </c:pt>
                <c:pt idx="120">
                  <c:v>49.780625353221637</c:v>
                </c:pt>
                <c:pt idx="121">
                  <c:v>49.780625353221637</c:v>
                </c:pt>
                <c:pt idx="122">
                  <c:v>49.780625353221637</c:v>
                </c:pt>
                <c:pt idx="123">
                  <c:v>49.780625353221637</c:v>
                </c:pt>
                <c:pt idx="124">
                  <c:v>49.780625353221637</c:v>
                </c:pt>
                <c:pt idx="125">
                  <c:v>49.780625353221637</c:v>
                </c:pt>
                <c:pt idx="126">
                  <c:v>49.780625353221637</c:v>
                </c:pt>
                <c:pt idx="127">
                  <c:v>49.780625353221637</c:v>
                </c:pt>
                <c:pt idx="128">
                  <c:v>49.780625353221637</c:v>
                </c:pt>
                <c:pt idx="129">
                  <c:v>49.780625353221637</c:v>
                </c:pt>
                <c:pt idx="130">
                  <c:v>49.780625353221637</c:v>
                </c:pt>
                <c:pt idx="131">
                  <c:v>49.780625353221637</c:v>
                </c:pt>
                <c:pt idx="132">
                  <c:v>49.780625353221637</c:v>
                </c:pt>
                <c:pt idx="133">
                  <c:v>49.780625353221637</c:v>
                </c:pt>
                <c:pt idx="134">
                  <c:v>49.780625353221637</c:v>
                </c:pt>
                <c:pt idx="135">
                  <c:v>49.780625353221637</c:v>
                </c:pt>
                <c:pt idx="136">
                  <c:v>49.780625353221637</c:v>
                </c:pt>
                <c:pt idx="137">
                  <c:v>49.780625353221637</c:v>
                </c:pt>
                <c:pt idx="138">
                  <c:v>49.780625353221637</c:v>
                </c:pt>
                <c:pt idx="139">
                  <c:v>49.780625353221637</c:v>
                </c:pt>
                <c:pt idx="140">
                  <c:v>49.780625353221637</c:v>
                </c:pt>
                <c:pt idx="141">
                  <c:v>49.780625353221637</c:v>
                </c:pt>
                <c:pt idx="142">
                  <c:v>49.780625353221637</c:v>
                </c:pt>
                <c:pt idx="143">
                  <c:v>49.780625353221637</c:v>
                </c:pt>
                <c:pt idx="144">
                  <c:v>49.780625353221637</c:v>
                </c:pt>
                <c:pt idx="145">
                  <c:v>49.780625353221637</c:v>
                </c:pt>
                <c:pt idx="146">
                  <c:v>49.780625353221637</c:v>
                </c:pt>
                <c:pt idx="147">
                  <c:v>49.780625353221637</c:v>
                </c:pt>
                <c:pt idx="148">
                  <c:v>49.780625353221637</c:v>
                </c:pt>
                <c:pt idx="149">
                  <c:v>49.780625353221637</c:v>
                </c:pt>
                <c:pt idx="150">
                  <c:v>49.780625353221637</c:v>
                </c:pt>
                <c:pt idx="151">
                  <c:v>49.780625353221637</c:v>
                </c:pt>
                <c:pt idx="152">
                  <c:v>49.780625353221637</c:v>
                </c:pt>
                <c:pt idx="153">
                  <c:v>49.780625353221637</c:v>
                </c:pt>
                <c:pt idx="154">
                  <c:v>49.780625353221637</c:v>
                </c:pt>
                <c:pt idx="155">
                  <c:v>49.780625353221637</c:v>
                </c:pt>
                <c:pt idx="156">
                  <c:v>49.780625353221637</c:v>
                </c:pt>
                <c:pt idx="157">
                  <c:v>49.780625353221637</c:v>
                </c:pt>
                <c:pt idx="158">
                  <c:v>49.780625353221637</c:v>
                </c:pt>
                <c:pt idx="159">
                  <c:v>49.780625353221637</c:v>
                </c:pt>
                <c:pt idx="160">
                  <c:v>49.780625353221637</c:v>
                </c:pt>
                <c:pt idx="161">
                  <c:v>49.780625353221637</c:v>
                </c:pt>
                <c:pt idx="162">
                  <c:v>49.780625353221637</c:v>
                </c:pt>
                <c:pt idx="163">
                  <c:v>49.780625353221637</c:v>
                </c:pt>
                <c:pt idx="164">
                  <c:v>49.780625353221637</c:v>
                </c:pt>
                <c:pt idx="165">
                  <c:v>49.780625353221637</c:v>
                </c:pt>
                <c:pt idx="166">
                  <c:v>49.780625353221637</c:v>
                </c:pt>
                <c:pt idx="167">
                  <c:v>49.780625353221637</c:v>
                </c:pt>
                <c:pt idx="168">
                  <c:v>49.780625353221637</c:v>
                </c:pt>
                <c:pt idx="169">
                  <c:v>49.780625353221637</c:v>
                </c:pt>
                <c:pt idx="170">
                  <c:v>49.780625353221637</c:v>
                </c:pt>
                <c:pt idx="171">
                  <c:v>49.780625353221637</c:v>
                </c:pt>
                <c:pt idx="172">
                  <c:v>49.780625353221637</c:v>
                </c:pt>
                <c:pt idx="173">
                  <c:v>49.780625353221637</c:v>
                </c:pt>
                <c:pt idx="174">
                  <c:v>49.780625353221637</c:v>
                </c:pt>
                <c:pt idx="175">
                  <c:v>49.780625353221637</c:v>
                </c:pt>
                <c:pt idx="176">
                  <c:v>49.780625353221637</c:v>
                </c:pt>
                <c:pt idx="177">
                  <c:v>49.780625353221637</c:v>
                </c:pt>
                <c:pt idx="178">
                  <c:v>49.780625353221637</c:v>
                </c:pt>
                <c:pt idx="179">
                  <c:v>49.780625353221637</c:v>
                </c:pt>
                <c:pt idx="180">
                  <c:v>49.780625353221637</c:v>
                </c:pt>
                <c:pt idx="181">
                  <c:v>49.780625353221637</c:v>
                </c:pt>
                <c:pt idx="182">
                  <c:v>49.780625353221637</c:v>
                </c:pt>
                <c:pt idx="183">
                  <c:v>49.780625353221637</c:v>
                </c:pt>
                <c:pt idx="184">
                  <c:v>49.780625353221637</c:v>
                </c:pt>
                <c:pt idx="185">
                  <c:v>49.780625353221637</c:v>
                </c:pt>
                <c:pt idx="186">
                  <c:v>49.780625353221637</c:v>
                </c:pt>
                <c:pt idx="187">
                  <c:v>49.780625353221637</c:v>
                </c:pt>
                <c:pt idx="188">
                  <c:v>49.780625353221637</c:v>
                </c:pt>
                <c:pt idx="189">
                  <c:v>49.780625353221637</c:v>
                </c:pt>
                <c:pt idx="190">
                  <c:v>49.780625353221637</c:v>
                </c:pt>
                <c:pt idx="191">
                  <c:v>49.780625353221637</c:v>
                </c:pt>
                <c:pt idx="192">
                  <c:v>49.780625353221637</c:v>
                </c:pt>
                <c:pt idx="193">
                  <c:v>49.780625353221637</c:v>
                </c:pt>
                <c:pt idx="194">
                  <c:v>49.780625353221637</c:v>
                </c:pt>
                <c:pt idx="195">
                  <c:v>49.780625353221637</c:v>
                </c:pt>
                <c:pt idx="196">
                  <c:v>49.780625353221637</c:v>
                </c:pt>
                <c:pt idx="197">
                  <c:v>49.780625353221637</c:v>
                </c:pt>
                <c:pt idx="198">
                  <c:v>49.780625353221637</c:v>
                </c:pt>
                <c:pt idx="199">
                  <c:v>49.780625353221637</c:v>
                </c:pt>
                <c:pt idx="200">
                  <c:v>49.780625353221637</c:v>
                </c:pt>
                <c:pt idx="201">
                  <c:v>49.780625353221637</c:v>
                </c:pt>
                <c:pt idx="202">
                  <c:v>49.780625353221637</c:v>
                </c:pt>
                <c:pt idx="203">
                  <c:v>49.780625353221637</c:v>
                </c:pt>
                <c:pt idx="204">
                  <c:v>49.780625353221637</c:v>
                </c:pt>
                <c:pt idx="205">
                  <c:v>49.780625353221637</c:v>
                </c:pt>
                <c:pt idx="206">
                  <c:v>49.780625353221637</c:v>
                </c:pt>
                <c:pt idx="207">
                  <c:v>49.780625353221637</c:v>
                </c:pt>
                <c:pt idx="208">
                  <c:v>49.780625353221637</c:v>
                </c:pt>
                <c:pt idx="209">
                  <c:v>49.780625353221637</c:v>
                </c:pt>
                <c:pt idx="210">
                  <c:v>49.780625353221637</c:v>
                </c:pt>
                <c:pt idx="211">
                  <c:v>49.780625353221637</c:v>
                </c:pt>
                <c:pt idx="212">
                  <c:v>49.780625353221637</c:v>
                </c:pt>
                <c:pt idx="213">
                  <c:v>49.780625353221637</c:v>
                </c:pt>
                <c:pt idx="214">
                  <c:v>49.780625353221637</c:v>
                </c:pt>
                <c:pt idx="215">
                  <c:v>49.780625353221637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5-4267-BA90-5B037A05A035}"/>
            </c:ext>
          </c:extLst>
        </c:ser>
        <c:ser>
          <c:idx val="4"/>
          <c:order val="4"/>
          <c:tx>
            <c:v>D Rating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kencana!$F$30:$F$245</c:f>
              <c:numCache>
                <c:formatCode>[$-F400]h:mm:ss\ AM/PM</c:formatCode>
                <c:ptCount val="216"/>
                <c:pt idx="0">
                  <c:v>0.57291666666666663</c:v>
                </c:pt>
                <c:pt idx="1">
                  <c:v>0.57638888888888895</c:v>
                </c:pt>
                <c:pt idx="2">
                  <c:v>0.57847222222222217</c:v>
                </c:pt>
                <c:pt idx="3">
                  <c:v>0.58055555555555505</c:v>
                </c:pt>
                <c:pt idx="4">
                  <c:v>0.58263888888888904</c:v>
                </c:pt>
                <c:pt idx="5">
                  <c:v>0.58472222222222203</c:v>
                </c:pt>
                <c:pt idx="6">
                  <c:v>0.58680555555555503</c:v>
                </c:pt>
                <c:pt idx="7">
                  <c:v>0.58888888888888802</c:v>
                </c:pt>
                <c:pt idx="8">
                  <c:v>0.59027777777777779</c:v>
                </c:pt>
                <c:pt idx="9">
                  <c:v>0.59236111111111112</c:v>
                </c:pt>
                <c:pt idx="10">
                  <c:v>0.59444444444444444</c:v>
                </c:pt>
                <c:pt idx="11">
                  <c:v>0.59652777777777777</c:v>
                </c:pt>
                <c:pt idx="12">
                  <c:v>0.59861111111111109</c:v>
                </c:pt>
                <c:pt idx="13">
                  <c:v>0.60069444444444442</c:v>
                </c:pt>
                <c:pt idx="14">
                  <c:v>0.60277777777777775</c:v>
                </c:pt>
                <c:pt idx="15">
                  <c:v>0.60416666666666663</c:v>
                </c:pt>
                <c:pt idx="16">
                  <c:v>0.60625000000000007</c:v>
                </c:pt>
                <c:pt idx="17">
                  <c:v>0.60833333333333395</c:v>
                </c:pt>
                <c:pt idx="18">
                  <c:v>0.61041666666666705</c:v>
                </c:pt>
                <c:pt idx="19">
                  <c:v>0.61250000000000004</c:v>
                </c:pt>
                <c:pt idx="20">
                  <c:v>0.61458333333333404</c:v>
                </c:pt>
                <c:pt idx="21">
                  <c:v>0.6166666666666667</c:v>
                </c:pt>
                <c:pt idx="22">
                  <c:v>0.61805555555555503</c:v>
                </c:pt>
                <c:pt idx="23">
                  <c:v>0.62013888888888891</c:v>
                </c:pt>
                <c:pt idx="24">
                  <c:v>0.62222222222222301</c:v>
                </c:pt>
                <c:pt idx="25">
                  <c:v>0.624305555555557</c:v>
                </c:pt>
                <c:pt idx="26">
                  <c:v>0.62638888888889099</c:v>
                </c:pt>
                <c:pt idx="27">
                  <c:v>0.62847222222222399</c:v>
                </c:pt>
                <c:pt idx="28">
                  <c:v>0.63055555555555798</c:v>
                </c:pt>
                <c:pt idx="29">
                  <c:v>0.63194444444444398</c:v>
                </c:pt>
                <c:pt idx="30">
                  <c:v>0.63402777777777775</c:v>
                </c:pt>
                <c:pt idx="31">
                  <c:v>0.63611111111111196</c:v>
                </c:pt>
                <c:pt idx="32">
                  <c:v>0.63819444444444495</c:v>
                </c:pt>
                <c:pt idx="33">
                  <c:v>0.64027777777777894</c:v>
                </c:pt>
                <c:pt idx="34">
                  <c:v>0.64236111111111305</c:v>
                </c:pt>
                <c:pt idx="35">
                  <c:v>0.64444444444444704</c:v>
                </c:pt>
                <c:pt idx="36">
                  <c:v>0.64583333333333304</c:v>
                </c:pt>
                <c:pt idx="37">
                  <c:v>0.6479166666666667</c:v>
                </c:pt>
                <c:pt idx="38">
                  <c:v>0.65</c:v>
                </c:pt>
                <c:pt idx="39">
                  <c:v>0.65208333333333401</c:v>
                </c:pt>
                <c:pt idx="40">
                  <c:v>0.65416666666666801</c:v>
                </c:pt>
                <c:pt idx="41">
                  <c:v>0.656250000000001</c:v>
                </c:pt>
                <c:pt idx="42">
                  <c:v>0.65833333333333499</c:v>
                </c:pt>
                <c:pt idx="43">
                  <c:v>0.65972222222222199</c:v>
                </c:pt>
                <c:pt idx="44">
                  <c:v>0.66180555555555554</c:v>
                </c:pt>
                <c:pt idx="45">
                  <c:v>0.66388888888888897</c:v>
                </c:pt>
                <c:pt idx="46">
                  <c:v>0.66597222222222296</c:v>
                </c:pt>
                <c:pt idx="47">
                  <c:v>0.66805555555555596</c:v>
                </c:pt>
                <c:pt idx="48">
                  <c:v>0.67013888888888995</c:v>
                </c:pt>
                <c:pt idx="49">
                  <c:v>0.67222222222222305</c:v>
                </c:pt>
                <c:pt idx="50">
                  <c:v>0.67361111111111105</c:v>
                </c:pt>
                <c:pt idx="51">
                  <c:v>0.67569444444444438</c:v>
                </c:pt>
                <c:pt idx="52">
                  <c:v>0.67777777777777803</c:v>
                </c:pt>
                <c:pt idx="53">
                  <c:v>0.67986111111111103</c:v>
                </c:pt>
                <c:pt idx="54">
                  <c:v>0.68194444444444402</c:v>
                </c:pt>
                <c:pt idx="55">
                  <c:v>0.68402777777777801</c:v>
                </c:pt>
                <c:pt idx="56">
                  <c:v>0.68611111111111101</c:v>
                </c:pt>
                <c:pt idx="57">
                  <c:v>0.6875</c:v>
                </c:pt>
                <c:pt idx="58">
                  <c:v>0.68958333333333333</c:v>
                </c:pt>
                <c:pt idx="59">
                  <c:v>0.69166666666666698</c:v>
                </c:pt>
                <c:pt idx="60">
                  <c:v>0.69374999999999998</c:v>
                </c:pt>
                <c:pt idx="61">
                  <c:v>0.69583333333333297</c:v>
                </c:pt>
                <c:pt idx="62">
                  <c:v>0.69791666666666696</c:v>
                </c:pt>
                <c:pt idx="63">
                  <c:v>0.7</c:v>
                </c:pt>
                <c:pt idx="64">
                  <c:v>0.70138888888888895</c:v>
                </c:pt>
                <c:pt idx="65">
                  <c:v>0.70347222222222217</c:v>
                </c:pt>
                <c:pt idx="66">
                  <c:v>0.70555555555555505</c:v>
                </c:pt>
                <c:pt idx="67">
                  <c:v>0.70763888888888904</c:v>
                </c:pt>
                <c:pt idx="68">
                  <c:v>0.70972222222222203</c:v>
                </c:pt>
                <c:pt idx="69">
                  <c:v>0.71180555555555503</c:v>
                </c:pt>
                <c:pt idx="70">
                  <c:v>0.71388888888888802</c:v>
                </c:pt>
                <c:pt idx="71">
                  <c:v>0.71527777777777701</c:v>
                </c:pt>
                <c:pt idx="72">
                  <c:v>0.71736111111111101</c:v>
                </c:pt>
                <c:pt idx="73">
                  <c:v>0.719444444444445</c:v>
                </c:pt>
                <c:pt idx="74">
                  <c:v>0.72152777777777899</c:v>
                </c:pt>
                <c:pt idx="75">
                  <c:v>0.72361111111111298</c:v>
                </c:pt>
                <c:pt idx="76">
                  <c:v>0.72569444444444697</c:v>
                </c:pt>
                <c:pt idx="77">
                  <c:v>0.72777777777778097</c:v>
                </c:pt>
                <c:pt idx="78">
                  <c:v>0.72916666666666596</c:v>
                </c:pt>
                <c:pt idx="79">
                  <c:v>0.73125000000000007</c:v>
                </c:pt>
                <c:pt idx="80">
                  <c:v>0.73333333333333395</c:v>
                </c:pt>
                <c:pt idx="81">
                  <c:v>0.73541666666666805</c:v>
                </c:pt>
                <c:pt idx="82">
                  <c:v>0.73750000000000204</c:v>
                </c:pt>
                <c:pt idx="83">
                  <c:v>0.73958333333333603</c:v>
                </c:pt>
                <c:pt idx="84">
                  <c:v>0.74166666666667103</c:v>
                </c:pt>
                <c:pt idx="85">
                  <c:v>0.74305555555555503</c:v>
                </c:pt>
                <c:pt idx="86">
                  <c:v>0.74513888888888891</c:v>
                </c:pt>
                <c:pt idx="87">
                  <c:v>0.74722222222222301</c:v>
                </c:pt>
                <c:pt idx="88">
                  <c:v>0.749305555555557</c:v>
                </c:pt>
                <c:pt idx="89">
                  <c:v>0.75138888888889099</c:v>
                </c:pt>
                <c:pt idx="90">
                  <c:v>0.75347222222222399</c:v>
                </c:pt>
                <c:pt idx="91">
                  <c:v>0.75555555555555798</c:v>
                </c:pt>
                <c:pt idx="92">
                  <c:v>0.75694444444444398</c:v>
                </c:pt>
                <c:pt idx="93">
                  <c:v>0.75902777777777775</c:v>
                </c:pt>
                <c:pt idx="94">
                  <c:v>0.76111111111111196</c:v>
                </c:pt>
                <c:pt idx="95">
                  <c:v>0.76319444444444495</c:v>
                </c:pt>
                <c:pt idx="96">
                  <c:v>0.76527777777777894</c:v>
                </c:pt>
                <c:pt idx="97">
                  <c:v>0.76736111111111305</c:v>
                </c:pt>
                <c:pt idx="98">
                  <c:v>0.76944444444444704</c:v>
                </c:pt>
                <c:pt idx="99">
                  <c:v>0.77083333333333304</c:v>
                </c:pt>
                <c:pt idx="100">
                  <c:v>0.7729166666666667</c:v>
                </c:pt>
                <c:pt idx="101">
                  <c:v>0.77500000000000002</c:v>
                </c:pt>
                <c:pt idx="102">
                  <c:v>0.77708333333333401</c:v>
                </c:pt>
                <c:pt idx="103">
                  <c:v>0.77916666666666801</c:v>
                </c:pt>
                <c:pt idx="104">
                  <c:v>0.781250000000001</c:v>
                </c:pt>
                <c:pt idx="105">
                  <c:v>0.78333333333333499</c:v>
                </c:pt>
                <c:pt idx="106">
                  <c:v>0.78472222222222221</c:v>
                </c:pt>
                <c:pt idx="107">
                  <c:v>0.78680555555555554</c:v>
                </c:pt>
                <c:pt idx="108">
                  <c:v>0.78888888888888897</c:v>
                </c:pt>
                <c:pt idx="109">
                  <c:v>0.79097222222222197</c:v>
                </c:pt>
                <c:pt idx="110">
                  <c:v>0.79305555555555596</c:v>
                </c:pt>
                <c:pt idx="111">
                  <c:v>0.79513888888888895</c:v>
                </c:pt>
                <c:pt idx="112">
                  <c:v>0.79722222222222205</c:v>
                </c:pt>
                <c:pt idx="113">
                  <c:v>0.79861111111111116</c:v>
                </c:pt>
                <c:pt idx="114">
                  <c:v>0.80069444444444438</c:v>
                </c:pt>
                <c:pt idx="115">
                  <c:v>0.80277777777777803</c:v>
                </c:pt>
                <c:pt idx="116">
                  <c:v>0.80486111111111103</c:v>
                </c:pt>
                <c:pt idx="117">
                  <c:v>0.80694444444444402</c:v>
                </c:pt>
                <c:pt idx="118">
                  <c:v>0.80902777777777701</c:v>
                </c:pt>
                <c:pt idx="119">
                  <c:v>0.81111111111111001</c:v>
                </c:pt>
                <c:pt idx="120">
                  <c:v>0.84722222222222221</c:v>
                </c:pt>
                <c:pt idx="121">
                  <c:v>0.84861111111111109</c:v>
                </c:pt>
                <c:pt idx="122">
                  <c:v>0.85</c:v>
                </c:pt>
                <c:pt idx="123">
                  <c:v>0.85138888888888897</c:v>
                </c:pt>
                <c:pt idx="124">
                  <c:v>0.85277777777777797</c:v>
                </c:pt>
                <c:pt idx="125">
                  <c:v>0.85416666666666663</c:v>
                </c:pt>
                <c:pt idx="126">
                  <c:v>0.85625000000000007</c:v>
                </c:pt>
                <c:pt idx="127">
                  <c:v>0.85833333333333395</c:v>
                </c:pt>
                <c:pt idx="128">
                  <c:v>0.86041666666666705</c:v>
                </c:pt>
                <c:pt idx="129">
                  <c:v>0.86250000000000004</c:v>
                </c:pt>
                <c:pt idx="130">
                  <c:v>0.86458333333333404</c:v>
                </c:pt>
                <c:pt idx="131">
                  <c:v>0.86666666666666703</c:v>
                </c:pt>
                <c:pt idx="132">
                  <c:v>0.86875000000000102</c:v>
                </c:pt>
                <c:pt idx="133">
                  <c:v>0.87083333333333401</c:v>
                </c:pt>
                <c:pt idx="134">
                  <c:v>0.87291666666666801</c:v>
                </c:pt>
                <c:pt idx="135">
                  <c:v>0.875000000000001</c:v>
                </c:pt>
                <c:pt idx="136">
                  <c:v>0.87708333333333399</c:v>
                </c:pt>
                <c:pt idx="137">
                  <c:v>0.87916666666666798</c:v>
                </c:pt>
                <c:pt idx="138">
                  <c:v>0.88125000000000098</c:v>
                </c:pt>
                <c:pt idx="139">
                  <c:v>0.88333333333333497</c:v>
                </c:pt>
                <c:pt idx="140">
                  <c:v>0.88541666666666796</c:v>
                </c:pt>
                <c:pt idx="141">
                  <c:v>0.88750000000000195</c:v>
                </c:pt>
                <c:pt idx="142">
                  <c:v>0.88958333333333495</c:v>
                </c:pt>
                <c:pt idx="143">
                  <c:v>0.89166666666666805</c:v>
                </c:pt>
                <c:pt idx="144">
                  <c:v>0.89375000000000204</c:v>
                </c:pt>
                <c:pt idx="145">
                  <c:v>0.89583333333333504</c:v>
                </c:pt>
                <c:pt idx="146">
                  <c:v>0.89791666666666903</c:v>
                </c:pt>
                <c:pt idx="147">
                  <c:v>0.90000000000000202</c:v>
                </c:pt>
                <c:pt idx="148">
                  <c:v>0.90208333333333601</c:v>
                </c:pt>
                <c:pt idx="149">
                  <c:v>0.90416666666666901</c:v>
                </c:pt>
                <c:pt idx="150">
                  <c:v>0.906250000000003</c:v>
                </c:pt>
                <c:pt idx="151">
                  <c:v>0.90833333333333599</c:v>
                </c:pt>
                <c:pt idx="152">
                  <c:v>0.91041666666666898</c:v>
                </c:pt>
                <c:pt idx="153">
                  <c:v>0.91250000000000298</c:v>
                </c:pt>
                <c:pt idx="154">
                  <c:v>0.91458333333333597</c:v>
                </c:pt>
                <c:pt idx="155">
                  <c:v>0.91666666666666996</c:v>
                </c:pt>
                <c:pt idx="156">
                  <c:v>0.91875000000000295</c:v>
                </c:pt>
                <c:pt idx="157">
                  <c:v>0.92083333333333695</c:v>
                </c:pt>
                <c:pt idx="158">
                  <c:v>0.92291666666667005</c:v>
                </c:pt>
                <c:pt idx="159">
                  <c:v>0.92500000000000304</c:v>
                </c:pt>
                <c:pt idx="160">
                  <c:v>0.92708333333333703</c:v>
                </c:pt>
                <c:pt idx="161">
                  <c:v>0.92916666666667003</c:v>
                </c:pt>
                <c:pt idx="162">
                  <c:v>0.93125000000000402</c:v>
                </c:pt>
                <c:pt idx="163">
                  <c:v>0.93333333333333701</c:v>
                </c:pt>
                <c:pt idx="164">
                  <c:v>0.935416666666671</c:v>
                </c:pt>
                <c:pt idx="165">
                  <c:v>0.937500000000004</c:v>
                </c:pt>
                <c:pt idx="166">
                  <c:v>0.93958333333333799</c:v>
                </c:pt>
                <c:pt idx="167">
                  <c:v>0.94166666666667098</c:v>
                </c:pt>
                <c:pt idx="168">
                  <c:v>0.94375000000000397</c:v>
                </c:pt>
                <c:pt idx="169">
                  <c:v>0.94583333333333797</c:v>
                </c:pt>
                <c:pt idx="170">
                  <c:v>0.94791666666667096</c:v>
                </c:pt>
                <c:pt idx="171">
                  <c:v>0.95000000000000495</c:v>
                </c:pt>
                <c:pt idx="172">
                  <c:v>0.95208333333333806</c:v>
                </c:pt>
                <c:pt idx="173">
                  <c:v>0.95416666666667205</c:v>
                </c:pt>
                <c:pt idx="174">
                  <c:v>0.95625000000000504</c:v>
                </c:pt>
                <c:pt idx="175">
                  <c:v>0.95833333333333903</c:v>
                </c:pt>
                <c:pt idx="176">
                  <c:v>0.96041666666667203</c:v>
                </c:pt>
                <c:pt idx="177">
                  <c:v>0.96250000000000602</c:v>
                </c:pt>
                <c:pt idx="178">
                  <c:v>0.96458333333333901</c:v>
                </c:pt>
                <c:pt idx="179">
                  <c:v>0.966666666666673</c:v>
                </c:pt>
                <c:pt idx="180">
                  <c:v>0.968750000000006</c:v>
                </c:pt>
                <c:pt idx="181">
                  <c:v>0.97083333333333899</c:v>
                </c:pt>
                <c:pt idx="182">
                  <c:v>0.97291666666667298</c:v>
                </c:pt>
                <c:pt idx="183">
                  <c:v>0.97500000000000597</c:v>
                </c:pt>
                <c:pt idx="184">
                  <c:v>0.97708333333333997</c:v>
                </c:pt>
                <c:pt idx="185">
                  <c:v>0.97916666666667296</c:v>
                </c:pt>
                <c:pt idx="186">
                  <c:v>0.98125000000000695</c:v>
                </c:pt>
                <c:pt idx="187">
                  <c:v>0.98333333333334005</c:v>
                </c:pt>
                <c:pt idx="188">
                  <c:v>0.98541666666667405</c:v>
                </c:pt>
                <c:pt idx="189">
                  <c:v>0.98750000000000704</c:v>
                </c:pt>
                <c:pt idx="190">
                  <c:v>0.98958333333334003</c:v>
                </c:pt>
                <c:pt idx="191">
                  <c:v>0.99166666666667402</c:v>
                </c:pt>
                <c:pt idx="192">
                  <c:v>0.99375000000000702</c:v>
                </c:pt>
                <c:pt idx="193">
                  <c:v>0.99583333333334101</c:v>
                </c:pt>
                <c:pt idx="194">
                  <c:v>0.997916666666674</c:v>
                </c:pt>
                <c:pt idx="195">
                  <c:v>1.00000000000001</c:v>
                </c:pt>
                <c:pt idx="196">
                  <c:v>1.0020833333333401</c:v>
                </c:pt>
                <c:pt idx="197">
                  <c:v>1.00416666666667</c:v>
                </c:pt>
                <c:pt idx="198">
                  <c:v>1.0062500000000101</c:v>
                </c:pt>
                <c:pt idx="199">
                  <c:v>1.00833333333334</c:v>
                </c:pt>
                <c:pt idx="200">
                  <c:v>1.0104166666666701</c:v>
                </c:pt>
                <c:pt idx="201">
                  <c:v>1.0125000000000099</c:v>
                </c:pt>
                <c:pt idx="202">
                  <c:v>1.0145833333333401</c:v>
                </c:pt>
                <c:pt idx="203">
                  <c:v>1.0166666666666699</c:v>
                </c:pt>
                <c:pt idx="204">
                  <c:v>1.01875000000001</c:v>
                </c:pt>
                <c:pt idx="205">
                  <c:v>1.0208333333333399</c:v>
                </c:pt>
                <c:pt idx="206">
                  <c:v>1.02291666666667</c:v>
                </c:pt>
                <c:pt idx="207">
                  <c:v>1.0250000000000099</c:v>
                </c:pt>
                <c:pt idx="208">
                  <c:v>1.02708333333334</c:v>
                </c:pt>
                <c:pt idx="209">
                  <c:v>1.0291666666666801</c:v>
                </c:pt>
                <c:pt idx="210">
                  <c:v>1.03125000000002</c:v>
                </c:pt>
                <c:pt idx="211">
                  <c:v>1.0333333333333601</c:v>
                </c:pt>
                <c:pt idx="212">
                  <c:v>1.0354166666667</c:v>
                </c:pt>
                <c:pt idx="213">
                  <c:v>1.0375000000000401</c:v>
                </c:pt>
                <c:pt idx="214">
                  <c:v>1.0395833333333799</c:v>
                </c:pt>
                <c:pt idx="215">
                  <c:v>1.04166666666672</c:v>
                </c:pt>
              </c:numCache>
            </c:numRef>
          </c:cat>
          <c:val>
            <c:numRef>
              <c:f>kencana!$R$30:$R$245</c:f>
              <c:numCache>
                <c:formatCode>0.000</c:formatCode>
                <c:ptCount val="216"/>
                <c:pt idx="0">
                  <c:v>61.68468793768767</c:v>
                </c:pt>
                <c:pt idx="1">
                  <c:v>61.68468793768767</c:v>
                </c:pt>
                <c:pt idx="2">
                  <c:v>61.68468793768767</c:v>
                </c:pt>
                <c:pt idx="3">
                  <c:v>61.68468793768767</c:v>
                </c:pt>
                <c:pt idx="4">
                  <c:v>61.68468793768767</c:v>
                </c:pt>
                <c:pt idx="5">
                  <c:v>61.68468793768767</c:v>
                </c:pt>
                <c:pt idx="6">
                  <c:v>61.68468793768767</c:v>
                </c:pt>
                <c:pt idx="7">
                  <c:v>61.68468793768767</c:v>
                </c:pt>
                <c:pt idx="8">
                  <c:v>61.68468793768767</c:v>
                </c:pt>
                <c:pt idx="9">
                  <c:v>61.68468793768767</c:v>
                </c:pt>
                <c:pt idx="10">
                  <c:v>61.68468793768767</c:v>
                </c:pt>
                <c:pt idx="11">
                  <c:v>61.68468793768767</c:v>
                </c:pt>
                <c:pt idx="12">
                  <c:v>61.68468793768767</c:v>
                </c:pt>
                <c:pt idx="13">
                  <c:v>61.68468793768767</c:v>
                </c:pt>
                <c:pt idx="14">
                  <c:v>61.68468793768767</c:v>
                </c:pt>
                <c:pt idx="15">
                  <c:v>61.68468793768767</c:v>
                </c:pt>
                <c:pt idx="16">
                  <c:v>61.68468793768767</c:v>
                </c:pt>
                <c:pt idx="17">
                  <c:v>61.68468793768767</c:v>
                </c:pt>
                <c:pt idx="18">
                  <c:v>61.68468793768767</c:v>
                </c:pt>
                <c:pt idx="19">
                  <c:v>61.68468793768767</c:v>
                </c:pt>
                <c:pt idx="20">
                  <c:v>61.68468793768767</c:v>
                </c:pt>
                <c:pt idx="21">
                  <c:v>61.68468793768767</c:v>
                </c:pt>
                <c:pt idx="22">
                  <c:v>61.68468793768767</c:v>
                </c:pt>
                <c:pt idx="23">
                  <c:v>61.68468793768767</c:v>
                </c:pt>
                <c:pt idx="24">
                  <c:v>61.68468793768767</c:v>
                </c:pt>
                <c:pt idx="25">
                  <c:v>61.68468793768767</c:v>
                </c:pt>
                <c:pt idx="26">
                  <c:v>61.68468793768767</c:v>
                </c:pt>
                <c:pt idx="27">
                  <c:v>61.68468793768767</c:v>
                </c:pt>
                <c:pt idx="28">
                  <c:v>61.68468793768767</c:v>
                </c:pt>
                <c:pt idx="29">
                  <c:v>61.68468793768767</c:v>
                </c:pt>
                <c:pt idx="30">
                  <c:v>61.68468793768767</c:v>
                </c:pt>
                <c:pt idx="31">
                  <c:v>61.68468793768767</c:v>
                </c:pt>
                <c:pt idx="32">
                  <c:v>61.68468793768767</c:v>
                </c:pt>
                <c:pt idx="33">
                  <c:v>61.68468793768767</c:v>
                </c:pt>
                <c:pt idx="34">
                  <c:v>61.68468793768767</c:v>
                </c:pt>
                <c:pt idx="35">
                  <c:v>61.68468793768767</c:v>
                </c:pt>
                <c:pt idx="36">
                  <c:v>61.68468793768767</c:v>
                </c:pt>
                <c:pt idx="37">
                  <c:v>61.68468793768767</c:v>
                </c:pt>
                <c:pt idx="38">
                  <c:v>61.68468793768767</c:v>
                </c:pt>
                <c:pt idx="39">
                  <c:v>61.68468793768767</c:v>
                </c:pt>
                <c:pt idx="40">
                  <c:v>61.68468793768767</c:v>
                </c:pt>
                <c:pt idx="41">
                  <c:v>61.68468793768767</c:v>
                </c:pt>
                <c:pt idx="42">
                  <c:v>61.68468793768767</c:v>
                </c:pt>
                <c:pt idx="43">
                  <c:v>61.68468793768767</c:v>
                </c:pt>
                <c:pt idx="44">
                  <c:v>61.68468793768767</c:v>
                </c:pt>
                <c:pt idx="45">
                  <c:v>61.68468793768767</c:v>
                </c:pt>
                <c:pt idx="46">
                  <c:v>61.68468793768767</c:v>
                </c:pt>
                <c:pt idx="47">
                  <c:v>61.68468793768767</c:v>
                </c:pt>
                <c:pt idx="48">
                  <c:v>61.68468793768767</c:v>
                </c:pt>
                <c:pt idx="49">
                  <c:v>61.68468793768767</c:v>
                </c:pt>
                <c:pt idx="50">
                  <c:v>61.68468793768767</c:v>
                </c:pt>
                <c:pt idx="51">
                  <c:v>61.68468793768767</c:v>
                </c:pt>
                <c:pt idx="52">
                  <c:v>61.68468793768767</c:v>
                </c:pt>
                <c:pt idx="53">
                  <c:v>61.68468793768767</c:v>
                </c:pt>
                <c:pt idx="54">
                  <c:v>61.68468793768767</c:v>
                </c:pt>
                <c:pt idx="55">
                  <c:v>61.68468793768767</c:v>
                </c:pt>
                <c:pt idx="56">
                  <c:v>61.68468793768767</c:v>
                </c:pt>
                <c:pt idx="57">
                  <c:v>61.68468793768767</c:v>
                </c:pt>
                <c:pt idx="58">
                  <c:v>61.68468793768767</c:v>
                </c:pt>
                <c:pt idx="59">
                  <c:v>61.68468793768767</c:v>
                </c:pt>
                <c:pt idx="60">
                  <c:v>61.68468793768767</c:v>
                </c:pt>
                <c:pt idx="61">
                  <c:v>61.68468793768767</c:v>
                </c:pt>
                <c:pt idx="62">
                  <c:v>61.68468793768767</c:v>
                </c:pt>
                <c:pt idx="63">
                  <c:v>61.68468793768767</c:v>
                </c:pt>
                <c:pt idx="64">
                  <c:v>61.68468793768767</c:v>
                </c:pt>
                <c:pt idx="65">
                  <c:v>61.68468793768767</c:v>
                </c:pt>
                <c:pt idx="66">
                  <c:v>61.68468793768767</c:v>
                </c:pt>
                <c:pt idx="67">
                  <c:v>61.68468793768767</c:v>
                </c:pt>
                <c:pt idx="68">
                  <c:v>61.68468793768767</c:v>
                </c:pt>
                <c:pt idx="69">
                  <c:v>61.68468793768767</c:v>
                </c:pt>
                <c:pt idx="70">
                  <c:v>61.68468793768767</c:v>
                </c:pt>
                <c:pt idx="71">
                  <c:v>61.68468793768767</c:v>
                </c:pt>
                <c:pt idx="72">
                  <c:v>61.68468793768767</c:v>
                </c:pt>
                <c:pt idx="73">
                  <c:v>61.68468793768767</c:v>
                </c:pt>
                <c:pt idx="74">
                  <c:v>61.68468793768767</c:v>
                </c:pt>
                <c:pt idx="75">
                  <c:v>61.68468793768767</c:v>
                </c:pt>
                <c:pt idx="76">
                  <c:v>61.68468793768767</c:v>
                </c:pt>
                <c:pt idx="77">
                  <c:v>61.68468793768767</c:v>
                </c:pt>
                <c:pt idx="78">
                  <c:v>61.68468793768767</c:v>
                </c:pt>
                <c:pt idx="79">
                  <c:v>61.68468793768767</c:v>
                </c:pt>
                <c:pt idx="80">
                  <c:v>61.68468793768767</c:v>
                </c:pt>
                <c:pt idx="81">
                  <c:v>61.68468793768767</c:v>
                </c:pt>
                <c:pt idx="82">
                  <c:v>61.68468793768767</c:v>
                </c:pt>
                <c:pt idx="83">
                  <c:v>61.68468793768767</c:v>
                </c:pt>
                <c:pt idx="84">
                  <c:v>61.68468793768767</c:v>
                </c:pt>
                <c:pt idx="85">
                  <c:v>61.68468793768767</c:v>
                </c:pt>
                <c:pt idx="86">
                  <c:v>61.68468793768767</c:v>
                </c:pt>
                <c:pt idx="87">
                  <c:v>61.68468793768767</c:v>
                </c:pt>
                <c:pt idx="88">
                  <c:v>61.68468793768767</c:v>
                </c:pt>
                <c:pt idx="89">
                  <c:v>61.68468793768767</c:v>
                </c:pt>
                <c:pt idx="90">
                  <c:v>61.68468793768767</c:v>
                </c:pt>
                <c:pt idx="91">
                  <c:v>61.68468793768767</c:v>
                </c:pt>
                <c:pt idx="92">
                  <c:v>61.68468793768767</c:v>
                </c:pt>
                <c:pt idx="93">
                  <c:v>61.68468793768767</c:v>
                </c:pt>
                <c:pt idx="94">
                  <c:v>61.68468793768767</c:v>
                </c:pt>
                <c:pt idx="95">
                  <c:v>61.68468793768767</c:v>
                </c:pt>
                <c:pt idx="96">
                  <c:v>61.68468793768767</c:v>
                </c:pt>
                <c:pt idx="97">
                  <c:v>61.68468793768767</c:v>
                </c:pt>
                <c:pt idx="98">
                  <c:v>61.68468793768767</c:v>
                </c:pt>
                <c:pt idx="99">
                  <c:v>61.68468793768767</c:v>
                </c:pt>
                <c:pt idx="100">
                  <c:v>61.68468793768767</c:v>
                </c:pt>
                <c:pt idx="101">
                  <c:v>61.68468793768767</c:v>
                </c:pt>
                <c:pt idx="102">
                  <c:v>61.68468793768767</c:v>
                </c:pt>
                <c:pt idx="103">
                  <c:v>61.68468793768767</c:v>
                </c:pt>
                <c:pt idx="104">
                  <c:v>61.68468793768767</c:v>
                </c:pt>
                <c:pt idx="105">
                  <c:v>61.68468793768767</c:v>
                </c:pt>
                <c:pt idx="106">
                  <c:v>61.68468793768767</c:v>
                </c:pt>
                <c:pt idx="107">
                  <c:v>61.68468793768767</c:v>
                </c:pt>
                <c:pt idx="108">
                  <c:v>61.68468793768767</c:v>
                </c:pt>
                <c:pt idx="109">
                  <c:v>61.68468793768767</c:v>
                </c:pt>
                <c:pt idx="110">
                  <c:v>61.68468793768767</c:v>
                </c:pt>
                <c:pt idx="111">
                  <c:v>61.68468793768767</c:v>
                </c:pt>
                <c:pt idx="112">
                  <c:v>61.68468793768767</c:v>
                </c:pt>
                <c:pt idx="113">
                  <c:v>61.68468793768767</c:v>
                </c:pt>
                <c:pt idx="114">
                  <c:v>61.68468793768767</c:v>
                </c:pt>
                <c:pt idx="115">
                  <c:v>61.68468793768767</c:v>
                </c:pt>
                <c:pt idx="116">
                  <c:v>61.68468793768767</c:v>
                </c:pt>
                <c:pt idx="117">
                  <c:v>61.68468793768767</c:v>
                </c:pt>
                <c:pt idx="118">
                  <c:v>61.68468793768767</c:v>
                </c:pt>
                <c:pt idx="119">
                  <c:v>61.68468793768767</c:v>
                </c:pt>
                <c:pt idx="120">
                  <c:v>61.68468793768767</c:v>
                </c:pt>
                <c:pt idx="121">
                  <c:v>61.68468793768767</c:v>
                </c:pt>
                <c:pt idx="122">
                  <c:v>61.68468793768767</c:v>
                </c:pt>
                <c:pt idx="123">
                  <c:v>61.68468793768767</c:v>
                </c:pt>
                <c:pt idx="124">
                  <c:v>61.68468793768767</c:v>
                </c:pt>
                <c:pt idx="125">
                  <c:v>61.68468793768767</c:v>
                </c:pt>
                <c:pt idx="126">
                  <c:v>61.68468793768767</c:v>
                </c:pt>
                <c:pt idx="127">
                  <c:v>61.68468793768767</c:v>
                </c:pt>
                <c:pt idx="128">
                  <c:v>61.68468793768767</c:v>
                </c:pt>
                <c:pt idx="129">
                  <c:v>61.68468793768767</c:v>
                </c:pt>
                <c:pt idx="130">
                  <c:v>61.68468793768767</c:v>
                </c:pt>
                <c:pt idx="131">
                  <c:v>61.68468793768767</c:v>
                </c:pt>
                <c:pt idx="132">
                  <c:v>61.68468793768767</c:v>
                </c:pt>
                <c:pt idx="133">
                  <c:v>61.68468793768767</c:v>
                </c:pt>
                <c:pt idx="134">
                  <c:v>61.68468793768767</c:v>
                </c:pt>
                <c:pt idx="135">
                  <c:v>61.68468793768767</c:v>
                </c:pt>
                <c:pt idx="136">
                  <c:v>61.68468793768767</c:v>
                </c:pt>
                <c:pt idx="137">
                  <c:v>61.68468793768767</c:v>
                </c:pt>
                <c:pt idx="138">
                  <c:v>61.68468793768767</c:v>
                </c:pt>
                <c:pt idx="139">
                  <c:v>61.68468793768767</c:v>
                </c:pt>
                <c:pt idx="140">
                  <c:v>61.68468793768767</c:v>
                </c:pt>
                <c:pt idx="141">
                  <c:v>61.68468793768767</c:v>
                </c:pt>
                <c:pt idx="142">
                  <c:v>61.68468793768767</c:v>
                </c:pt>
                <c:pt idx="143">
                  <c:v>61.68468793768767</c:v>
                </c:pt>
                <c:pt idx="144">
                  <c:v>61.68468793768767</c:v>
                </c:pt>
                <c:pt idx="145">
                  <c:v>61.68468793768767</c:v>
                </c:pt>
                <c:pt idx="146">
                  <c:v>61.68468793768767</c:v>
                </c:pt>
                <c:pt idx="147">
                  <c:v>61.68468793768767</c:v>
                </c:pt>
                <c:pt idx="148">
                  <c:v>61.68468793768767</c:v>
                </c:pt>
                <c:pt idx="149">
                  <c:v>61.68468793768767</c:v>
                </c:pt>
                <c:pt idx="150">
                  <c:v>61.68468793768767</c:v>
                </c:pt>
                <c:pt idx="151">
                  <c:v>61.68468793768767</c:v>
                </c:pt>
                <c:pt idx="152">
                  <c:v>61.68468793768767</c:v>
                </c:pt>
                <c:pt idx="153">
                  <c:v>61.68468793768767</c:v>
                </c:pt>
                <c:pt idx="154">
                  <c:v>61.68468793768767</c:v>
                </c:pt>
                <c:pt idx="155">
                  <c:v>61.68468793768767</c:v>
                </c:pt>
                <c:pt idx="156">
                  <c:v>61.68468793768767</c:v>
                </c:pt>
                <c:pt idx="157">
                  <c:v>61.68468793768767</c:v>
                </c:pt>
                <c:pt idx="158">
                  <c:v>61.68468793768767</c:v>
                </c:pt>
                <c:pt idx="159">
                  <c:v>61.68468793768767</c:v>
                </c:pt>
                <c:pt idx="160">
                  <c:v>61.68468793768767</c:v>
                </c:pt>
                <c:pt idx="161">
                  <c:v>61.68468793768767</c:v>
                </c:pt>
                <c:pt idx="162">
                  <c:v>61.68468793768767</c:v>
                </c:pt>
                <c:pt idx="163">
                  <c:v>61.68468793768767</c:v>
                </c:pt>
                <c:pt idx="164">
                  <c:v>61.68468793768767</c:v>
                </c:pt>
                <c:pt idx="165">
                  <c:v>61.68468793768767</c:v>
                </c:pt>
                <c:pt idx="166">
                  <c:v>61.68468793768767</c:v>
                </c:pt>
                <c:pt idx="167">
                  <c:v>61.68468793768767</c:v>
                </c:pt>
                <c:pt idx="168">
                  <c:v>61.68468793768767</c:v>
                </c:pt>
                <c:pt idx="169">
                  <c:v>61.68468793768767</c:v>
                </c:pt>
                <c:pt idx="170">
                  <c:v>61.68468793768767</c:v>
                </c:pt>
                <c:pt idx="171">
                  <c:v>61.68468793768767</c:v>
                </c:pt>
                <c:pt idx="172">
                  <c:v>61.68468793768767</c:v>
                </c:pt>
                <c:pt idx="173">
                  <c:v>61.68468793768767</c:v>
                </c:pt>
                <c:pt idx="174">
                  <c:v>61.68468793768767</c:v>
                </c:pt>
                <c:pt idx="175">
                  <c:v>61.68468793768767</c:v>
                </c:pt>
                <c:pt idx="176">
                  <c:v>61.68468793768767</c:v>
                </c:pt>
                <c:pt idx="177">
                  <c:v>61.68468793768767</c:v>
                </c:pt>
                <c:pt idx="178">
                  <c:v>61.68468793768767</c:v>
                </c:pt>
                <c:pt idx="179">
                  <c:v>61.68468793768767</c:v>
                </c:pt>
                <c:pt idx="180">
                  <c:v>61.68468793768767</c:v>
                </c:pt>
                <c:pt idx="181">
                  <c:v>61.68468793768767</c:v>
                </c:pt>
                <c:pt idx="182">
                  <c:v>61.68468793768767</c:v>
                </c:pt>
                <c:pt idx="183">
                  <c:v>61.68468793768767</c:v>
                </c:pt>
                <c:pt idx="184">
                  <c:v>61.68468793768767</c:v>
                </c:pt>
                <c:pt idx="185">
                  <c:v>61.68468793768767</c:v>
                </c:pt>
                <c:pt idx="186">
                  <c:v>61.68468793768767</c:v>
                </c:pt>
                <c:pt idx="187">
                  <c:v>61.68468793768767</c:v>
                </c:pt>
                <c:pt idx="188">
                  <c:v>61.68468793768767</c:v>
                </c:pt>
                <c:pt idx="189">
                  <c:v>61.68468793768767</c:v>
                </c:pt>
                <c:pt idx="190">
                  <c:v>61.68468793768767</c:v>
                </c:pt>
                <c:pt idx="191">
                  <c:v>61.68468793768767</c:v>
                </c:pt>
                <c:pt idx="192">
                  <c:v>61.68468793768767</c:v>
                </c:pt>
                <c:pt idx="193">
                  <c:v>61.68468793768767</c:v>
                </c:pt>
                <c:pt idx="194">
                  <c:v>61.68468793768767</c:v>
                </c:pt>
                <c:pt idx="195">
                  <c:v>61.68468793768767</c:v>
                </c:pt>
                <c:pt idx="196">
                  <c:v>61.68468793768767</c:v>
                </c:pt>
                <c:pt idx="197">
                  <c:v>61.68468793768767</c:v>
                </c:pt>
                <c:pt idx="198">
                  <c:v>61.68468793768767</c:v>
                </c:pt>
                <c:pt idx="199">
                  <c:v>61.68468793768767</c:v>
                </c:pt>
                <c:pt idx="200">
                  <c:v>61.68468793768767</c:v>
                </c:pt>
                <c:pt idx="201">
                  <c:v>61.68468793768767</c:v>
                </c:pt>
                <c:pt idx="202">
                  <c:v>61.68468793768767</c:v>
                </c:pt>
                <c:pt idx="203">
                  <c:v>61.68468793768767</c:v>
                </c:pt>
                <c:pt idx="204">
                  <c:v>61.68468793768767</c:v>
                </c:pt>
                <c:pt idx="205">
                  <c:v>61.68468793768767</c:v>
                </c:pt>
                <c:pt idx="206">
                  <c:v>61.68468793768767</c:v>
                </c:pt>
                <c:pt idx="207">
                  <c:v>61.68468793768767</c:v>
                </c:pt>
                <c:pt idx="208">
                  <c:v>61.68468793768767</c:v>
                </c:pt>
                <c:pt idx="209">
                  <c:v>61.68468793768767</c:v>
                </c:pt>
                <c:pt idx="210">
                  <c:v>61.68468793768767</c:v>
                </c:pt>
                <c:pt idx="211">
                  <c:v>61.68468793768767</c:v>
                </c:pt>
                <c:pt idx="212">
                  <c:v>61.68468793768767</c:v>
                </c:pt>
                <c:pt idx="213">
                  <c:v>61.68468793768767</c:v>
                </c:pt>
                <c:pt idx="214">
                  <c:v>61.68468793768767</c:v>
                </c:pt>
                <c:pt idx="215">
                  <c:v>61.68468793768767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5-4267-BA90-5B037A05A035}"/>
            </c:ext>
          </c:extLst>
        </c:ser>
        <c:ser>
          <c:idx val="5"/>
          <c:order val="5"/>
          <c:tx>
            <c:v>E Rating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kencana!$F$30:$F$245</c:f>
              <c:numCache>
                <c:formatCode>[$-F400]h:mm:ss\ AM/PM</c:formatCode>
                <c:ptCount val="216"/>
                <c:pt idx="0">
                  <c:v>0.57291666666666663</c:v>
                </c:pt>
                <c:pt idx="1">
                  <c:v>0.57638888888888895</c:v>
                </c:pt>
                <c:pt idx="2">
                  <c:v>0.57847222222222217</c:v>
                </c:pt>
                <c:pt idx="3">
                  <c:v>0.58055555555555505</c:v>
                </c:pt>
                <c:pt idx="4">
                  <c:v>0.58263888888888904</c:v>
                </c:pt>
                <c:pt idx="5">
                  <c:v>0.58472222222222203</c:v>
                </c:pt>
                <c:pt idx="6">
                  <c:v>0.58680555555555503</c:v>
                </c:pt>
                <c:pt idx="7">
                  <c:v>0.58888888888888802</c:v>
                </c:pt>
                <c:pt idx="8">
                  <c:v>0.59027777777777779</c:v>
                </c:pt>
                <c:pt idx="9">
                  <c:v>0.59236111111111112</c:v>
                </c:pt>
                <c:pt idx="10">
                  <c:v>0.59444444444444444</c:v>
                </c:pt>
                <c:pt idx="11">
                  <c:v>0.59652777777777777</c:v>
                </c:pt>
                <c:pt idx="12">
                  <c:v>0.59861111111111109</c:v>
                </c:pt>
                <c:pt idx="13">
                  <c:v>0.60069444444444442</c:v>
                </c:pt>
                <c:pt idx="14">
                  <c:v>0.60277777777777775</c:v>
                </c:pt>
                <c:pt idx="15">
                  <c:v>0.60416666666666663</c:v>
                </c:pt>
                <c:pt idx="16">
                  <c:v>0.60625000000000007</c:v>
                </c:pt>
                <c:pt idx="17">
                  <c:v>0.60833333333333395</c:v>
                </c:pt>
                <c:pt idx="18">
                  <c:v>0.61041666666666705</c:v>
                </c:pt>
                <c:pt idx="19">
                  <c:v>0.61250000000000004</c:v>
                </c:pt>
                <c:pt idx="20">
                  <c:v>0.61458333333333404</c:v>
                </c:pt>
                <c:pt idx="21">
                  <c:v>0.6166666666666667</c:v>
                </c:pt>
                <c:pt idx="22">
                  <c:v>0.61805555555555503</c:v>
                </c:pt>
                <c:pt idx="23">
                  <c:v>0.62013888888888891</c:v>
                </c:pt>
                <c:pt idx="24">
                  <c:v>0.62222222222222301</c:v>
                </c:pt>
                <c:pt idx="25">
                  <c:v>0.624305555555557</c:v>
                </c:pt>
                <c:pt idx="26">
                  <c:v>0.62638888888889099</c:v>
                </c:pt>
                <c:pt idx="27">
                  <c:v>0.62847222222222399</c:v>
                </c:pt>
                <c:pt idx="28">
                  <c:v>0.63055555555555798</c:v>
                </c:pt>
                <c:pt idx="29">
                  <c:v>0.63194444444444398</c:v>
                </c:pt>
                <c:pt idx="30">
                  <c:v>0.63402777777777775</c:v>
                </c:pt>
                <c:pt idx="31">
                  <c:v>0.63611111111111196</c:v>
                </c:pt>
                <c:pt idx="32">
                  <c:v>0.63819444444444495</c:v>
                </c:pt>
                <c:pt idx="33">
                  <c:v>0.64027777777777894</c:v>
                </c:pt>
                <c:pt idx="34">
                  <c:v>0.64236111111111305</c:v>
                </c:pt>
                <c:pt idx="35">
                  <c:v>0.64444444444444704</c:v>
                </c:pt>
                <c:pt idx="36">
                  <c:v>0.64583333333333304</c:v>
                </c:pt>
                <c:pt idx="37">
                  <c:v>0.6479166666666667</c:v>
                </c:pt>
                <c:pt idx="38">
                  <c:v>0.65</c:v>
                </c:pt>
                <c:pt idx="39">
                  <c:v>0.65208333333333401</c:v>
                </c:pt>
                <c:pt idx="40">
                  <c:v>0.65416666666666801</c:v>
                </c:pt>
                <c:pt idx="41">
                  <c:v>0.656250000000001</c:v>
                </c:pt>
                <c:pt idx="42">
                  <c:v>0.65833333333333499</c:v>
                </c:pt>
                <c:pt idx="43">
                  <c:v>0.65972222222222199</c:v>
                </c:pt>
                <c:pt idx="44">
                  <c:v>0.66180555555555554</c:v>
                </c:pt>
                <c:pt idx="45">
                  <c:v>0.66388888888888897</c:v>
                </c:pt>
                <c:pt idx="46">
                  <c:v>0.66597222222222296</c:v>
                </c:pt>
                <c:pt idx="47">
                  <c:v>0.66805555555555596</c:v>
                </c:pt>
                <c:pt idx="48">
                  <c:v>0.67013888888888995</c:v>
                </c:pt>
                <c:pt idx="49">
                  <c:v>0.67222222222222305</c:v>
                </c:pt>
                <c:pt idx="50">
                  <c:v>0.67361111111111105</c:v>
                </c:pt>
                <c:pt idx="51">
                  <c:v>0.67569444444444438</c:v>
                </c:pt>
                <c:pt idx="52">
                  <c:v>0.67777777777777803</c:v>
                </c:pt>
                <c:pt idx="53">
                  <c:v>0.67986111111111103</c:v>
                </c:pt>
                <c:pt idx="54">
                  <c:v>0.68194444444444402</c:v>
                </c:pt>
                <c:pt idx="55">
                  <c:v>0.68402777777777801</c:v>
                </c:pt>
                <c:pt idx="56">
                  <c:v>0.68611111111111101</c:v>
                </c:pt>
                <c:pt idx="57">
                  <c:v>0.6875</c:v>
                </c:pt>
                <c:pt idx="58">
                  <c:v>0.68958333333333333</c:v>
                </c:pt>
                <c:pt idx="59">
                  <c:v>0.69166666666666698</c:v>
                </c:pt>
                <c:pt idx="60">
                  <c:v>0.69374999999999998</c:v>
                </c:pt>
                <c:pt idx="61">
                  <c:v>0.69583333333333297</c:v>
                </c:pt>
                <c:pt idx="62">
                  <c:v>0.69791666666666696</c:v>
                </c:pt>
                <c:pt idx="63">
                  <c:v>0.7</c:v>
                </c:pt>
                <c:pt idx="64">
                  <c:v>0.70138888888888895</c:v>
                </c:pt>
                <c:pt idx="65">
                  <c:v>0.70347222222222217</c:v>
                </c:pt>
                <c:pt idx="66">
                  <c:v>0.70555555555555505</c:v>
                </c:pt>
                <c:pt idx="67">
                  <c:v>0.70763888888888904</c:v>
                </c:pt>
                <c:pt idx="68">
                  <c:v>0.70972222222222203</c:v>
                </c:pt>
                <c:pt idx="69">
                  <c:v>0.71180555555555503</c:v>
                </c:pt>
                <c:pt idx="70">
                  <c:v>0.71388888888888802</c:v>
                </c:pt>
                <c:pt idx="71">
                  <c:v>0.71527777777777701</c:v>
                </c:pt>
                <c:pt idx="72">
                  <c:v>0.71736111111111101</c:v>
                </c:pt>
                <c:pt idx="73">
                  <c:v>0.719444444444445</c:v>
                </c:pt>
                <c:pt idx="74">
                  <c:v>0.72152777777777899</c:v>
                </c:pt>
                <c:pt idx="75">
                  <c:v>0.72361111111111298</c:v>
                </c:pt>
                <c:pt idx="76">
                  <c:v>0.72569444444444697</c:v>
                </c:pt>
                <c:pt idx="77">
                  <c:v>0.72777777777778097</c:v>
                </c:pt>
                <c:pt idx="78">
                  <c:v>0.72916666666666596</c:v>
                </c:pt>
                <c:pt idx="79">
                  <c:v>0.73125000000000007</c:v>
                </c:pt>
                <c:pt idx="80">
                  <c:v>0.73333333333333395</c:v>
                </c:pt>
                <c:pt idx="81">
                  <c:v>0.73541666666666805</c:v>
                </c:pt>
                <c:pt idx="82">
                  <c:v>0.73750000000000204</c:v>
                </c:pt>
                <c:pt idx="83">
                  <c:v>0.73958333333333603</c:v>
                </c:pt>
                <c:pt idx="84">
                  <c:v>0.74166666666667103</c:v>
                </c:pt>
                <c:pt idx="85">
                  <c:v>0.74305555555555503</c:v>
                </c:pt>
                <c:pt idx="86">
                  <c:v>0.74513888888888891</c:v>
                </c:pt>
                <c:pt idx="87">
                  <c:v>0.74722222222222301</c:v>
                </c:pt>
                <c:pt idx="88">
                  <c:v>0.749305555555557</c:v>
                </c:pt>
                <c:pt idx="89">
                  <c:v>0.75138888888889099</c:v>
                </c:pt>
                <c:pt idx="90">
                  <c:v>0.75347222222222399</c:v>
                </c:pt>
                <c:pt idx="91">
                  <c:v>0.75555555555555798</c:v>
                </c:pt>
                <c:pt idx="92">
                  <c:v>0.75694444444444398</c:v>
                </c:pt>
                <c:pt idx="93">
                  <c:v>0.75902777777777775</c:v>
                </c:pt>
                <c:pt idx="94">
                  <c:v>0.76111111111111196</c:v>
                </c:pt>
                <c:pt idx="95">
                  <c:v>0.76319444444444495</c:v>
                </c:pt>
                <c:pt idx="96">
                  <c:v>0.76527777777777894</c:v>
                </c:pt>
                <c:pt idx="97">
                  <c:v>0.76736111111111305</c:v>
                </c:pt>
                <c:pt idx="98">
                  <c:v>0.76944444444444704</c:v>
                </c:pt>
                <c:pt idx="99">
                  <c:v>0.77083333333333304</c:v>
                </c:pt>
                <c:pt idx="100">
                  <c:v>0.7729166666666667</c:v>
                </c:pt>
                <c:pt idx="101">
                  <c:v>0.77500000000000002</c:v>
                </c:pt>
                <c:pt idx="102">
                  <c:v>0.77708333333333401</c:v>
                </c:pt>
                <c:pt idx="103">
                  <c:v>0.77916666666666801</c:v>
                </c:pt>
                <c:pt idx="104">
                  <c:v>0.781250000000001</c:v>
                </c:pt>
                <c:pt idx="105">
                  <c:v>0.78333333333333499</c:v>
                </c:pt>
                <c:pt idx="106">
                  <c:v>0.78472222222222221</c:v>
                </c:pt>
                <c:pt idx="107">
                  <c:v>0.78680555555555554</c:v>
                </c:pt>
                <c:pt idx="108">
                  <c:v>0.78888888888888897</c:v>
                </c:pt>
                <c:pt idx="109">
                  <c:v>0.79097222222222197</c:v>
                </c:pt>
                <c:pt idx="110">
                  <c:v>0.79305555555555596</c:v>
                </c:pt>
                <c:pt idx="111">
                  <c:v>0.79513888888888895</c:v>
                </c:pt>
                <c:pt idx="112">
                  <c:v>0.79722222222222205</c:v>
                </c:pt>
                <c:pt idx="113">
                  <c:v>0.79861111111111116</c:v>
                </c:pt>
                <c:pt idx="114">
                  <c:v>0.80069444444444438</c:v>
                </c:pt>
                <c:pt idx="115">
                  <c:v>0.80277777777777803</c:v>
                </c:pt>
                <c:pt idx="116">
                  <c:v>0.80486111111111103</c:v>
                </c:pt>
                <c:pt idx="117">
                  <c:v>0.80694444444444402</c:v>
                </c:pt>
                <c:pt idx="118">
                  <c:v>0.80902777777777701</c:v>
                </c:pt>
                <c:pt idx="119">
                  <c:v>0.81111111111111001</c:v>
                </c:pt>
                <c:pt idx="120">
                  <c:v>0.84722222222222221</c:v>
                </c:pt>
                <c:pt idx="121">
                  <c:v>0.84861111111111109</c:v>
                </c:pt>
                <c:pt idx="122">
                  <c:v>0.85</c:v>
                </c:pt>
                <c:pt idx="123">
                  <c:v>0.85138888888888897</c:v>
                </c:pt>
                <c:pt idx="124">
                  <c:v>0.85277777777777797</c:v>
                </c:pt>
                <c:pt idx="125">
                  <c:v>0.85416666666666663</c:v>
                </c:pt>
                <c:pt idx="126">
                  <c:v>0.85625000000000007</c:v>
                </c:pt>
                <c:pt idx="127">
                  <c:v>0.85833333333333395</c:v>
                </c:pt>
                <c:pt idx="128">
                  <c:v>0.86041666666666705</c:v>
                </c:pt>
                <c:pt idx="129">
                  <c:v>0.86250000000000004</c:v>
                </c:pt>
                <c:pt idx="130">
                  <c:v>0.86458333333333404</c:v>
                </c:pt>
                <c:pt idx="131">
                  <c:v>0.86666666666666703</c:v>
                </c:pt>
                <c:pt idx="132">
                  <c:v>0.86875000000000102</c:v>
                </c:pt>
                <c:pt idx="133">
                  <c:v>0.87083333333333401</c:v>
                </c:pt>
                <c:pt idx="134">
                  <c:v>0.87291666666666801</c:v>
                </c:pt>
                <c:pt idx="135">
                  <c:v>0.875000000000001</c:v>
                </c:pt>
                <c:pt idx="136">
                  <c:v>0.87708333333333399</c:v>
                </c:pt>
                <c:pt idx="137">
                  <c:v>0.87916666666666798</c:v>
                </c:pt>
                <c:pt idx="138">
                  <c:v>0.88125000000000098</c:v>
                </c:pt>
                <c:pt idx="139">
                  <c:v>0.88333333333333497</c:v>
                </c:pt>
                <c:pt idx="140">
                  <c:v>0.88541666666666796</c:v>
                </c:pt>
                <c:pt idx="141">
                  <c:v>0.88750000000000195</c:v>
                </c:pt>
                <c:pt idx="142">
                  <c:v>0.88958333333333495</c:v>
                </c:pt>
                <c:pt idx="143">
                  <c:v>0.89166666666666805</c:v>
                </c:pt>
                <c:pt idx="144">
                  <c:v>0.89375000000000204</c:v>
                </c:pt>
                <c:pt idx="145">
                  <c:v>0.89583333333333504</c:v>
                </c:pt>
                <c:pt idx="146">
                  <c:v>0.89791666666666903</c:v>
                </c:pt>
                <c:pt idx="147">
                  <c:v>0.90000000000000202</c:v>
                </c:pt>
                <c:pt idx="148">
                  <c:v>0.90208333333333601</c:v>
                </c:pt>
                <c:pt idx="149">
                  <c:v>0.90416666666666901</c:v>
                </c:pt>
                <c:pt idx="150">
                  <c:v>0.906250000000003</c:v>
                </c:pt>
                <c:pt idx="151">
                  <c:v>0.90833333333333599</c:v>
                </c:pt>
                <c:pt idx="152">
                  <c:v>0.91041666666666898</c:v>
                </c:pt>
                <c:pt idx="153">
                  <c:v>0.91250000000000298</c:v>
                </c:pt>
                <c:pt idx="154">
                  <c:v>0.91458333333333597</c:v>
                </c:pt>
                <c:pt idx="155">
                  <c:v>0.91666666666666996</c:v>
                </c:pt>
                <c:pt idx="156">
                  <c:v>0.91875000000000295</c:v>
                </c:pt>
                <c:pt idx="157">
                  <c:v>0.92083333333333695</c:v>
                </c:pt>
                <c:pt idx="158">
                  <c:v>0.92291666666667005</c:v>
                </c:pt>
                <c:pt idx="159">
                  <c:v>0.92500000000000304</c:v>
                </c:pt>
                <c:pt idx="160">
                  <c:v>0.92708333333333703</c:v>
                </c:pt>
                <c:pt idx="161">
                  <c:v>0.92916666666667003</c:v>
                </c:pt>
                <c:pt idx="162">
                  <c:v>0.93125000000000402</c:v>
                </c:pt>
                <c:pt idx="163">
                  <c:v>0.93333333333333701</c:v>
                </c:pt>
                <c:pt idx="164">
                  <c:v>0.935416666666671</c:v>
                </c:pt>
                <c:pt idx="165">
                  <c:v>0.937500000000004</c:v>
                </c:pt>
                <c:pt idx="166">
                  <c:v>0.93958333333333799</c:v>
                </c:pt>
                <c:pt idx="167">
                  <c:v>0.94166666666667098</c:v>
                </c:pt>
                <c:pt idx="168">
                  <c:v>0.94375000000000397</c:v>
                </c:pt>
                <c:pt idx="169">
                  <c:v>0.94583333333333797</c:v>
                </c:pt>
                <c:pt idx="170">
                  <c:v>0.94791666666667096</c:v>
                </c:pt>
                <c:pt idx="171">
                  <c:v>0.95000000000000495</c:v>
                </c:pt>
                <c:pt idx="172">
                  <c:v>0.95208333333333806</c:v>
                </c:pt>
                <c:pt idx="173">
                  <c:v>0.95416666666667205</c:v>
                </c:pt>
                <c:pt idx="174">
                  <c:v>0.95625000000000504</c:v>
                </c:pt>
                <c:pt idx="175">
                  <c:v>0.95833333333333903</c:v>
                </c:pt>
                <c:pt idx="176">
                  <c:v>0.96041666666667203</c:v>
                </c:pt>
                <c:pt idx="177">
                  <c:v>0.96250000000000602</c:v>
                </c:pt>
                <c:pt idx="178">
                  <c:v>0.96458333333333901</c:v>
                </c:pt>
                <c:pt idx="179">
                  <c:v>0.966666666666673</c:v>
                </c:pt>
                <c:pt idx="180">
                  <c:v>0.968750000000006</c:v>
                </c:pt>
                <c:pt idx="181">
                  <c:v>0.97083333333333899</c:v>
                </c:pt>
                <c:pt idx="182">
                  <c:v>0.97291666666667298</c:v>
                </c:pt>
                <c:pt idx="183">
                  <c:v>0.97500000000000597</c:v>
                </c:pt>
                <c:pt idx="184">
                  <c:v>0.97708333333333997</c:v>
                </c:pt>
                <c:pt idx="185">
                  <c:v>0.97916666666667296</c:v>
                </c:pt>
                <c:pt idx="186">
                  <c:v>0.98125000000000695</c:v>
                </c:pt>
                <c:pt idx="187">
                  <c:v>0.98333333333334005</c:v>
                </c:pt>
                <c:pt idx="188">
                  <c:v>0.98541666666667405</c:v>
                </c:pt>
                <c:pt idx="189">
                  <c:v>0.98750000000000704</c:v>
                </c:pt>
                <c:pt idx="190">
                  <c:v>0.98958333333334003</c:v>
                </c:pt>
                <c:pt idx="191">
                  <c:v>0.99166666666667402</c:v>
                </c:pt>
                <c:pt idx="192">
                  <c:v>0.99375000000000702</c:v>
                </c:pt>
                <c:pt idx="193">
                  <c:v>0.99583333333334101</c:v>
                </c:pt>
                <c:pt idx="194">
                  <c:v>0.997916666666674</c:v>
                </c:pt>
                <c:pt idx="195">
                  <c:v>1.00000000000001</c:v>
                </c:pt>
                <c:pt idx="196">
                  <c:v>1.0020833333333401</c:v>
                </c:pt>
                <c:pt idx="197">
                  <c:v>1.00416666666667</c:v>
                </c:pt>
                <c:pt idx="198">
                  <c:v>1.0062500000000101</c:v>
                </c:pt>
                <c:pt idx="199">
                  <c:v>1.00833333333334</c:v>
                </c:pt>
                <c:pt idx="200">
                  <c:v>1.0104166666666701</c:v>
                </c:pt>
                <c:pt idx="201">
                  <c:v>1.0125000000000099</c:v>
                </c:pt>
                <c:pt idx="202">
                  <c:v>1.0145833333333401</c:v>
                </c:pt>
                <c:pt idx="203">
                  <c:v>1.0166666666666699</c:v>
                </c:pt>
                <c:pt idx="204">
                  <c:v>1.01875000000001</c:v>
                </c:pt>
                <c:pt idx="205">
                  <c:v>1.0208333333333399</c:v>
                </c:pt>
                <c:pt idx="206">
                  <c:v>1.02291666666667</c:v>
                </c:pt>
                <c:pt idx="207">
                  <c:v>1.0250000000000099</c:v>
                </c:pt>
                <c:pt idx="208">
                  <c:v>1.02708333333334</c:v>
                </c:pt>
                <c:pt idx="209">
                  <c:v>1.0291666666666801</c:v>
                </c:pt>
                <c:pt idx="210">
                  <c:v>1.03125000000002</c:v>
                </c:pt>
                <c:pt idx="211">
                  <c:v>1.0333333333333601</c:v>
                </c:pt>
                <c:pt idx="212">
                  <c:v>1.0354166666667</c:v>
                </c:pt>
                <c:pt idx="213">
                  <c:v>1.0375000000000401</c:v>
                </c:pt>
                <c:pt idx="214">
                  <c:v>1.0395833333333799</c:v>
                </c:pt>
                <c:pt idx="215">
                  <c:v>1.04166666666672</c:v>
                </c:pt>
              </c:numCache>
            </c:numRef>
          </c:cat>
          <c:val>
            <c:numRef>
              <c:f>kencana!$S$30:$S$245</c:f>
              <c:numCache>
                <c:formatCode>0.000</c:formatCode>
                <c:ptCount val="216"/>
                <c:pt idx="0">
                  <c:v>70.342187999117527</c:v>
                </c:pt>
                <c:pt idx="1">
                  <c:v>70.342187999117527</c:v>
                </c:pt>
                <c:pt idx="2">
                  <c:v>70.342187999117527</c:v>
                </c:pt>
                <c:pt idx="3">
                  <c:v>70.342187999117527</c:v>
                </c:pt>
                <c:pt idx="4">
                  <c:v>70.342187999117527</c:v>
                </c:pt>
                <c:pt idx="5">
                  <c:v>70.342187999117527</c:v>
                </c:pt>
                <c:pt idx="6">
                  <c:v>70.342187999117527</c:v>
                </c:pt>
                <c:pt idx="7">
                  <c:v>70.342187999117527</c:v>
                </c:pt>
                <c:pt idx="8">
                  <c:v>70.342187999117527</c:v>
                </c:pt>
                <c:pt idx="9">
                  <c:v>70.342187999117527</c:v>
                </c:pt>
                <c:pt idx="10">
                  <c:v>70.342187999117527</c:v>
                </c:pt>
                <c:pt idx="11">
                  <c:v>70.342187999117527</c:v>
                </c:pt>
                <c:pt idx="12">
                  <c:v>70.342187999117527</c:v>
                </c:pt>
                <c:pt idx="13">
                  <c:v>70.342187999117527</c:v>
                </c:pt>
                <c:pt idx="14">
                  <c:v>70.342187999117527</c:v>
                </c:pt>
                <c:pt idx="15">
                  <c:v>70.342187999117527</c:v>
                </c:pt>
                <c:pt idx="16">
                  <c:v>70.342187999117527</c:v>
                </c:pt>
                <c:pt idx="17">
                  <c:v>70.342187999117527</c:v>
                </c:pt>
                <c:pt idx="18">
                  <c:v>70.342187999117527</c:v>
                </c:pt>
                <c:pt idx="19">
                  <c:v>70.342187999117527</c:v>
                </c:pt>
                <c:pt idx="20">
                  <c:v>70.342187999117527</c:v>
                </c:pt>
                <c:pt idx="21">
                  <c:v>70.342187999117527</c:v>
                </c:pt>
                <c:pt idx="22">
                  <c:v>70.342187999117527</c:v>
                </c:pt>
                <c:pt idx="23">
                  <c:v>70.342187999117527</c:v>
                </c:pt>
                <c:pt idx="24">
                  <c:v>70.342187999117527</c:v>
                </c:pt>
                <c:pt idx="25">
                  <c:v>70.342187999117527</c:v>
                </c:pt>
                <c:pt idx="26">
                  <c:v>70.342187999117527</c:v>
                </c:pt>
                <c:pt idx="27">
                  <c:v>70.342187999117527</c:v>
                </c:pt>
                <c:pt idx="28">
                  <c:v>70.342187999117527</c:v>
                </c:pt>
                <c:pt idx="29">
                  <c:v>70.342187999117527</c:v>
                </c:pt>
                <c:pt idx="30">
                  <c:v>70.342187999117527</c:v>
                </c:pt>
                <c:pt idx="31">
                  <c:v>70.342187999117527</c:v>
                </c:pt>
                <c:pt idx="32">
                  <c:v>70.342187999117527</c:v>
                </c:pt>
                <c:pt idx="33">
                  <c:v>70.342187999117527</c:v>
                </c:pt>
                <c:pt idx="34">
                  <c:v>70.342187999117527</c:v>
                </c:pt>
                <c:pt idx="35">
                  <c:v>70.342187999117527</c:v>
                </c:pt>
                <c:pt idx="36">
                  <c:v>70.342187999117527</c:v>
                </c:pt>
                <c:pt idx="37">
                  <c:v>70.342187999117527</c:v>
                </c:pt>
                <c:pt idx="38">
                  <c:v>70.342187999117527</c:v>
                </c:pt>
                <c:pt idx="39">
                  <c:v>70.342187999117527</c:v>
                </c:pt>
                <c:pt idx="40">
                  <c:v>70.342187999117527</c:v>
                </c:pt>
                <c:pt idx="41">
                  <c:v>70.342187999117527</c:v>
                </c:pt>
                <c:pt idx="42">
                  <c:v>70.342187999117527</c:v>
                </c:pt>
                <c:pt idx="43">
                  <c:v>70.342187999117527</c:v>
                </c:pt>
                <c:pt idx="44">
                  <c:v>70.342187999117527</c:v>
                </c:pt>
                <c:pt idx="45">
                  <c:v>70.342187999117527</c:v>
                </c:pt>
                <c:pt idx="46">
                  <c:v>70.342187999117527</c:v>
                </c:pt>
                <c:pt idx="47">
                  <c:v>70.342187999117527</c:v>
                </c:pt>
                <c:pt idx="48">
                  <c:v>70.342187999117527</c:v>
                </c:pt>
                <c:pt idx="49">
                  <c:v>70.342187999117527</c:v>
                </c:pt>
                <c:pt idx="50">
                  <c:v>70.342187999117527</c:v>
                </c:pt>
                <c:pt idx="51">
                  <c:v>70.342187999117527</c:v>
                </c:pt>
                <c:pt idx="52">
                  <c:v>70.342187999117527</c:v>
                </c:pt>
                <c:pt idx="53">
                  <c:v>70.342187999117527</c:v>
                </c:pt>
                <c:pt idx="54">
                  <c:v>70.342187999117527</c:v>
                </c:pt>
                <c:pt idx="55">
                  <c:v>70.342187999117527</c:v>
                </c:pt>
                <c:pt idx="56">
                  <c:v>70.342187999117527</c:v>
                </c:pt>
                <c:pt idx="57">
                  <c:v>70.342187999117527</c:v>
                </c:pt>
                <c:pt idx="58">
                  <c:v>70.342187999117527</c:v>
                </c:pt>
                <c:pt idx="59">
                  <c:v>70.342187999117527</c:v>
                </c:pt>
                <c:pt idx="60">
                  <c:v>70.342187999117527</c:v>
                </c:pt>
                <c:pt idx="61">
                  <c:v>70.342187999117527</c:v>
                </c:pt>
                <c:pt idx="62">
                  <c:v>70.342187999117527</c:v>
                </c:pt>
                <c:pt idx="63">
                  <c:v>70.342187999117527</c:v>
                </c:pt>
                <c:pt idx="64">
                  <c:v>70.342187999117527</c:v>
                </c:pt>
                <c:pt idx="65">
                  <c:v>70.342187999117527</c:v>
                </c:pt>
                <c:pt idx="66">
                  <c:v>70.342187999117527</c:v>
                </c:pt>
                <c:pt idx="67">
                  <c:v>70.342187999117527</c:v>
                </c:pt>
                <c:pt idx="68">
                  <c:v>70.342187999117527</c:v>
                </c:pt>
                <c:pt idx="69">
                  <c:v>70.342187999117527</c:v>
                </c:pt>
                <c:pt idx="70">
                  <c:v>70.342187999117527</c:v>
                </c:pt>
                <c:pt idx="71">
                  <c:v>70.342187999117527</c:v>
                </c:pt>
                <c:pt idx="72">
                  <c:v>70.342187999117527</c:v>
                </c:pt>
                <c:pt idx="73">
                  <c:v>70.342187999117527</c:v>
                </c:pt>
                <c:pt idx="74">
                  <c:v>70.342187999117527</c:v>
                </c:pt>
                <c:pt idx="75">
                  <c:v>70.342187999117527</c:v>
                </c:pt>
                <c:pt idx="76">
                  <c:v>70.342187999117527</c:v>
                </c:pt>
                <c:pt idx="77">
                  <c:v>70.342187999117527</c:v>
                </c:pt>
                <c:pt idx="78">
                  <c:v>70.342187999117527</c:v>
                </c:pt>
                <c:pt idx="79">
                  <c:v>70.342187999117527</c:v>
                </c:pt>
                <c:pt idx="80">
                  <c:v>70.342187999117527</c:v>
                </c:pt>
                <c:pt idx="81">
                  <c:v>70.342187999117527</c:v>
                </c:pt>
                <c:pt idx="82">
                  <c:v>70.342187999117527</c:v>
                </c:pt>
                <c:pt idx="83">
                  <c:v>70.342187999117527</c:v>
                </c:pt>
                <c:pt idx="84">
                  <c:v>70.342187999117527</c:v>
                </c:pt>
                <c:pt idx="85">
                  <c:v>70.342187999117527</c:v>
                </c:pt>
                <c:pt idx="86">
                  <c:v>70.342187999117527</c:v>
                </c:pt>
                <c:pt idx="87">
                  <c:v>70.342187999117527</c:v>
                </c:pt>
                <c:pt idx="88">
                  <c:v>70.342187999117527</c:v>
                </c:pt>
                <c:pt idx="89">
                  <c:v>70.342187999117527</c:v>
                </c:pt>
                <c:pt idx="90">
                  <c:v>70.342187999117527</c:v>
                </c:pt>
                <c:pt idx="91">
                  <c:v>70.342187999117527</c:v>
                </c:pt>
                <c:pt idx="92">
                  <c:v>70.342187999117527</c:v>
                </c:pt>
                <c:pt idx="93">
                  <c:v>70.342187999117527</c:v>
                </c:pt>
                <c:pt idx="94">
                  <c:v>70.342187999117527</c:v>
                </c:pt>
                <c:pt idx="95">
                  <c:v>70.342187999117527</c:v>
                </c:pt>
                <c:pt idx="96">
                  <c:v>70.342187999117527</c:v>
                </c:pt>
                <c:pt idx="97">
                  <c:v>70.342187999117527</c:v>
                </c:pt>
                <c:pt idx="98">
                  <c:v>70.342187999117527</c:v>
                </c:pt>
                <c:pt idx="99">
                  <c:v>70.342187999117527</c:v>
                </c:pt>
                <c:pt idx="100">
                  <c:v>70.342187999117527</c:v>
                </c:pt>
                <c:pt idx="101">
                  <c:v>70.342187999117527</c:v>
                </c:pt>
                <c:pt idx="102">
                  <c:v>70.342187999117527</c:v>
                </c:pt>
                <c:pt idx="103">
                  <c:v>70.342187999117527</c:v>
                </c:pt>
                <c:pt idx="104">
                  <c:v>70.342187999117527</c:v>
                </c:pt>
                <c:pt idx="105">
                  <c:v>70.342187999117527</c:v>
                </c:pt>
                <c:pt idx="106">
                  <c:v>70.342187999117527</c:v>
                </c:pt>
                <c:pt idx="107">
                  <c:v>70.342187999117527</c:v>
                </c:pt>
                <c:pt idx="108">
                  <c:v>70.342187999117527</c:v>
                </c:pt>
                <c:pt idx="109">
                  <c:v>70.342187999117527</c:v>
                </c:pt>
                <c:pt idx="110">
                  <c:v>70.342187999117527</c:v>
                </c:pt>
                <c:pt idx="111">
                  <c:v>70.342187999117527</c:v>
                </c:pt>
                <c:pt idx="112">
                  <c:v>70.342187999117527</c:v>
                </c:pt>
                <c:pt idx="113">
                  <c:v>70.342187999117527</c:v>
                </c:pt>
                <c:pt idx="114">
                  <c:v>70.342187999117527</c:v>
                </c:pt>
                <c:pt idx="115">
                  <c:v>70.342187999117527</c:v>
                </c:pt>
                <c:pt idx="116">
                  <c:v>70.342187999117527</c:v>
                </c:pt>
                <c:pt idx="117">
                  <c:v>70.342187999117527</c:v>
                </c:pt>
                <c:pt idx="118">
                  <c:v>70.342187999117527</c:v>
                </c:pt>
                <c:pt idx="119">
                  <c:v>70.342187999117527</c:v>
                </c:pt>
                <c:pt idx="120">
                  <c:v>70.342187999117527</c:v>
                </c:pt>
                <c:pt idx="121">
                  <c:v>70.342187999117527</c:v>
                </c:pt>
                <c:pt idx="122">
                  <c:v>70.342187999117527</c:v>
                </c:pt>
                <c:pt idx="123">
                  <c:v>70.342187999117527</c:v>
                </c:pt>
                <c:pt idx="124">
                  <c:v>70.342187999117527</c:v>
                </c:pt>
                <c:pt idx="125">
                  <c:v>70.342187999117527</c:v>
                </c:pt>
                <c:pt idx="126">
                  <c:v>70.342187999117527</c:v>
                </c:pt>
                <c:pt idx="127">
                  <c:v>70.342187999117527</c:v>
                </c:pt>
                <c:pt idx="128">
                  <c:v>70.342187999117527</c:v>
                </c:pt>
                <c:pt idx="129">
                  <c:v>70.342187999117527</c:v>
                </c:pt>
                <c:pt idx="130">
                  <c:v>70.342187999117527</c:v>
                </c:pt>
                <c:pt idx="131">
                  <c:v>70.342187999117527</c:v>
                </c:pt>
                <c:pt idx="132">
                  <c:v>70.342187999117527</c:v>
                </c:pt>
                <c:pt idx="133">
                  <c:v>70.342187999117527</c:v>
                </c:pt>
                <c:pt idx="134">
                  <c:v>70.342187999117527</c:v>
                </c:pt>
                <c:pt idx="135">
                  <c:v>70.342187999117527</c:v>
                </c:pt>
                <c:pt idx="136">
                  <c:v>70.342187999117527</c:v>
                </c:pt>
                <c:pt idx="137">
                  <c:v>70.342187999117527</c:v>
                </c:pt>
                <c:pt idx="138">
                  <c:v>70.342187999117527</c:v>
                </c:pt>
                <c:pt idx="139">
                  <c:v>70.342187999117527</c:v>
                </c:pt>
                <c:pt idx="140">
                  <c:v>70.342187999117527</c:v>
                </c:pt>
                <c:pt idx="141">
                  <c:v>70.342187999117527</c:v>
                </c:pt>
                <c:pt idx="142">
                  <c:v>70.342187999117527</c:v>
                </c:pt>
                <c:pt idx="143">
                  <c:v>70.342187999117527</c:v>
                </c:pt>
                <c:pt idx="144">
                  <c:v>70.342187999117527</c:v>
                </c:pt>
                <c:pt idx="145">
                  <c:v>70.342187999117527</c:v>
                </c:pt>
                <c:pt idx="146">
                  <c:v>70.342187999117527</c:v>
                </c:pt>
                <c:pt idx="147">
                  <c:v>70.342187999117527</c:v>
                </c:pt>
                <c:pt idx="148">
                  <c:v>70.342187999117527</c:v>
                </c:pt>
                <c:pt idx="149">
                  <c:v>70.342187999117527</c:v>
                </c:pt>
                <c:pt idx="150">
                  <c:v>70.342187999117527</c:v>
                </c:pt>
                <c:pt idx="151">
                  <c:v>70.342187999117527</c:v>
                </c:pt>
                <c:pt idx="152">
                  <c:v>70.342187999117527</c:v>
                </c:pt>
                <c:pt idx="153">
                  <c:v>70.342187999117527</c:v>
                </c:pt>
                <c:pt idx="154">
                  <c:v>70.342187999117527</c:v>
                </c:pt>
                <c:pt idx="155">
                  <c:v>70.342187999117527</c:v>
                </c:pt>
                <c:pt idx="156">
                  <c:v>70.342187999117527</c:v>
                </c:pt>
                <c:pt idx="157">
                  <c:v>70.342187999117527</c:v>
                </c:pt>
                <c:pt idx="158">
                  <c:v>70.342187999117527</c:v>
                </c:pt>
                <c:pt idx="159">
                  <c:v>70.342187999117527</c:v>
                </c:pt>
                <c:pt idx="160">
                  <c:v>70.342187999117527</c:v>
                </c:pt>
                <c:pt idx="161">
                  <c:v>70.342187999117527</c:v>
                </c:pt>
                <c:pt idx="162">
                  <c:v>70.342187999117527</c:v>
                </c:pt>
                <c:pt idx="163">
                  <c:v>70.342187999117527</c:v>
                </c:pt>
                <c:pt idx="164">
                  <c:v>70.342187999117527</c:v>
                </c:pt>
                <c:pt idx="165">
                  <c:v>70.342187999117527</c:v>
                </c:pt>
                <c:pt idx="166">
                  <c:v>70.342187999117527</c:v>
                </c:pt>
                <c:pt idx="167">
                  <c:v>70.342187999117527</c:v>
                </c:pt>
                <c:pt idx="168">
                  <c:v>70.342187999117527</c:v>
                </c:pt>
                <c:pt idx="169">
                  <c:v>70.342187999117527</c:v>
                </c:pt>
                <c:pt idx="170">
                  <c:v>70.342187999117527</c:v>
                </c:pt>
                <c:pt idx="171">
                  <c:v>70.342187999117527</c:v>
                </c:pt>
                <c:pt idx="172">
                  <c:v>70.342187999117527</c:v>
                </c:pt>
                <c:pt idx="173">
                  <c:v>70.342187999117527</c:v>
                </c:pt>
                <c:pt idx="174">
                  <c:v>70.342187999117527</c:v>
                </c:pt>
                <c:pt idx="175">
                  <c:v>70.342187999117527</c:v>
                </c:pt>
                <c:pt idx="176">
                  <c:v>70.342187999117527</c:v>
                </c:pt>
                <c:pt idx="177">
                  <c:v>70.342187999117527</c:v>
                </c:pt>
                <c:pt idx="178">
                  <c:v>70.342187999117527</c:v>
                </c:pt>
                <c:pt idx="179">
                  <c:v>70.342187999117527</c:v>
                </c:pt>
                <c:pt idx="180">
                  <c:v>70.342187999117527</c:v>
                </c:pt>
                <c:pt idx="181">
                  <c:v>70.342187999117527</c:v>
                </c:pt>
                <c:pt idx="182">
                  <c:v>70.342187999117527</c:v>
                </c:pt>
                <c:pt idx="183">
                  <c:v>70.342187999117527</c:v>
                </c:pt>
                <c:pt idx="184">
                  <c:v>70.342187999117527</c:v>
                </c:pt>
                <c:pt idx="185">
                  <c:v>70.342187999117527</c:v>
                </c:pt>
                <c:pt idx="186">
                  <c:v>70.342187999117527</c:v>
                </c:pt>
                <c:pt idx="187">
                  <c:v>70.342187999117527</c:v>
                </c:pt>
                <c:pt idx="188">
                  <c:v>70.342187999117527</c:v>
                </c:pt>
                <c:pt idx="189">
                  <c:v>70.342187999117527</c:v>
                </c:pt>
                <c:pt idx="190">
                  <c:v>70.342187999117527</c:v>
                </c:pt>
                <c:pt idx="191">
                  <c:v>70.342187999117527</c:v>
                </c:pt>
                <c:pt idx="192">
                  <c:v>70.342187999117527</c:v>
                </c:pt>
                <c:pt idx="193">
                  <c:v>70.342187999117527</c:v>
                </c:pt>
                <c:pt idx="194">
                  <c:v>70.342187999117527</c:v>
                </c:pt>
                <c:pt idx="195">
                  <c:v>70.342187999117527</c:v>
                </c:pt>
                <c:pt idx="196">
                  <c:v>70.342187999117527</c:v>
                </c:pt>
                <c:pt idx="197">
                  <c:v>70.342187999117527</c:v>
                </c:pt>
                <c:pt idx="198">
                  <c:v>70.342187999117527</c:v>
                </c:pt>
                <c:pt idx="199">
                  <c:v>70.342187999117527</c:v>
                </c:pt>
                <c:pt idx="200">
                  <c:v>70.342187999117527</c:v>
                </c:pt>
                <c:pt idx="201">
                  <c:v>70.342187999117527</c:v>
                </c:pt>
                <c:pt idx="202">
                  <c:v>70.342187999117527</c:v>
                </c:pt>
                <c:pt idx="203">
                  <c:v>70.342187999117527</c:v>
                </c:pt>
                <c:pt idx="204">
                  <c:v>70.342187999117527</c:v>
                </c:pt>
                <c:pt idx="205">
                  <c:v>70.342187999117527</c:v>
                </c:pt>
                <c:pt idx="206">
                  <c:v>70.342187999117527</c:v>
                </c:pt>
                <c:pt idx="207">
                  <c:v>70.342187999117527</c:v>
                </c:pt>
                <c:pt idx="208">
                  <c:v>70.342187999117527</c:v>
                </c:pt>
                <c:pt idx="209">
                  <c:v>70.342187999117527</c:v>
                </c:pt>
                <c:pt idx="210">
                  <c:v>70.342187999117527</c:v>
                </c:pt>
                <c:pt idx="211">
                  <c:v>70.342187999117527</c:v>
                </c:pt>
                <c:pt idx="212">
                  <c:v>70.342187999117527</c:v>
                </c:pt>
                <c:pt idx="213">
                  <c:v>70.342187999117527</c:v>
                </c:pt>
                <c:pt idx="214">
                  <c:v>70.342187999117527</c:v>
                </c:pt>
                <c:pt idx="215">
                  <c:v>70.342187999117527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5-4267-BA90-5B037A05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482216"/>
        <c:axId val="633485168"/>
      </c:lineChart>
      <c:catAx>
        <c:axId val="63348221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3485168"/>
        <c:crosses val="autoZero"/>
        <c:auto val="1"/>
        <c:lblAlgn val="ctr"/>
        <c:lblOffset val="100"/>
        <c:noMultiLvlLbl val="0"/>
      </c:catAx>
      <c:valAx>
        <c:axId val="633485168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348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CII DF 8</a:t>
            </a:r>
            <a:r>
              <a:rPr lang="en-ID" baseline="0"/>
              <a:t> Lembar - P.Bai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kencana!$F$150:$F$245</c:f>
              <c:numCache>
                <c:formatCode>[$-F400]h:mm:ss\ AM/PM</c:formatCode>
                <c:ptCount val="96"/>
                <c:pt idx="0">
                  <c:v>0.84722222222222221</c:v>
                </c:pt>
                <c:pt idx="1">
                  <c:v>0.84861111111111109</c:v>
                </c:pt>
                <c:pt idx="2">
                  <c:v>0.85</c:v>
                </c:pt>
                <c:pt idx="3">
                  <c:v>0.85138888888888897</c:v>
                </c:pt>
                <c:pt idx="4">
                  <c:v>0.85277777777777797</c:v>
                </c:pt>
                <c:pt idx="5">
                  <c:v>0.85416666666666663</c:v>
                </c:pt>
                <c:pt idx="6">
                  <c:v>0.85625000000000007</c:v>
                </c:pt>
                <c:pt idx="7">
                  <c:v>0.85833333333333395</c:v>
                </c:pt>
                <c:pt idx="8">
                  <c:v>0.86041666666666705</c:v>
                </c:pt>
                <c:pt idx="9">
                  <c:v>0.86250000000000004</c:v>
                </c:pt>
                <c:pt idx="10">
                  <c:v>0.86458333333333404</c:v>
                </c:pt>
                <c:pt idx="11">
                  <c:v>0.86666666666666703</c:v>
                </c:pt>
                <c:pt idx="12">
                  <c:v>0.86875000000000102</c:v>
                </c:pt>
                <c:pt idx="13">
                  <c:v>0.87083333333333401</c:v>
                </c:pt>
                <c:pt idx="14">
                  <c:v>0.87291666666666801</c:v>
                </c:pt>
                <c:pt idx="15">
                  <c:v>0.875000000000001</c:v>
                </c:pt>
                <c:pt idx="16">
                  <c:v>0.87708333333333399</c:v>
                </c:pt>
                <c:pt idx="17">
                  <c:v>0.87916666666666798</c:v>
                </c:pt>
                <c:pt idx="18">
                  <c:v>0.88125000000000098</c:v>
                </c:pt>
                <c:pt idx="19">
                  <c:v>0.88333333333333497</c:v>
                </c:pt>
                <c:pt idx="20">
                  <c:v>0.88541666666666796</c:v>
                </c:pt>
                <c:pt idx="21">
                  <c:v>0.88750000000000195</c:v>
                </c:pt>
                <c:pt idx="22">
                  <c:v>0.88958333333333495</c:v>
                </c:pt>
                <c:pt idx="23">
                  <c:v>0.89166666666666805</c:v>
                </c:pt>
                <c:pt idx="24">
                  <c:v>0.89375000000000204</c:v>
                </c:pt>
                <c:pt idx="25">
                  <c:v>0.89583333333333504</c:v>
                </c:pt>
                <c:pt idx="26">
                  <c:v>0.89791666666666903</c:v>
                </c:pt>
                <c:pt idx="27">
                  <c:v>0.90000000000000202</c:v>
                </c:pt>
                <c:pt idx="28">
                  <c:v>0.90208333333333601</c:v>
                </c:pt>
                <c:pt idx="29">
                  <c:v>0.90416666666666901</c:v>
                </c:pt>
                <c:pt idx="30">
                  <c:v>0.906250000000003</c:v>
                </c:pt>
                <c:pt idx="31">
                  <c:v>0.90833333333333599</c:v>
                </c:pt>
                <c:pt idx="32">
                  <c:v>0.91041666666666898</c:v>
                </c:pt>
                <c:pt idx="33">
                  <c:v>0.91250000000000298</c:v>
                </c:pt>
                <c:pt idx="34">
                  <c:v>0.91458333333333597</c:v>
                </c:pt>
                <c:pt idx="35">
                  <c:v>0.91666666666666996</c:v>
                </c:pt>
                <c:pt idx="36">
                  <c:v>0.91875000000000295</c:v>
                </c:pt>
                <c:pt idx="37">
                  <c:v>0.92083333333333695</c:v>
                </c:pt>
                <c:pt idx="38">
                  <c:v>0.92291666666667005</c:v>
                </c:pt>
                <c:pt idx="39">
                  <c:v>0.92500000000000304</c:v>
                </c:pt>
                <c:pt idx="40">
                  <c:v>0.92708333333333703</c:v>
                </c:pt>
                <c:pt idx="41">
                  <c:v>0.92916666666667003</c:v>
                </c:pt>
                <c:pt idx="42">
                  <c:v>0.93125000000000402</c:v>
                </c:pt>
                <c:pt idx="43">
                  <c:v>0.93333333333333701</c:v>
                </c:pt>
                <c:pt idx="44">
                  <c:v>0.935416666666671</c:v>
                </c:pt>
                <c:pt idx="45">
                  <c:v>0.937500000000004</c:v>
                </c:pt>
                <c:pt idx="46">
                  <c:v>0.93958333333333799</c:v>
                </c:pt>
                <c:pt idx="47">
                  <c:v>0.94166666666667098</c:v>
                </c:pt>
                <c:pt idx="48">
                  <c:v>0.94375000000000397</c:v>
                </c:pt>
                <c:pt idx="49">
                  <c:v>0.94583333333333797</c:v>
                </c:pt>
                <c:pt idx="50">
                  <c:v>0.94791666666667096</c:v>
                </c:pt>
                <c:pt idx="51">
                  <c:v>0.95000000000000495</c:v>
                </c:pt>
                <c:pt idx="52">
                  <c:v>0.95208333333333806</c:v>
                </c:pt>
                <c:pt idx="53">
                  <c:v>0.95416666666667205</c:v>
                </c:pt>
                <c:pt idx="54">
                  <c:v>0.95625000000000504</c:v>
                </c:pt>
                <c:pt idx="55">
                  <c:v>0.95833333333333903</c:v>
                </c:pt>
                <c:pt idx="56">
                  <c:v>0.96041666666667203</c:v>
                </c:pt>
                <c:pt idx="57">
                  <c:v>0.96250000000000602</c:v>
                </c:pt>
                <c:pt idx="58">
                  <c:v>0.96458333333333901</c:v>
                </c:pt>
                <c:pt idx="59">
                  <c:v>0.966666666666673</c:v>
                </c:pt>
                <c:pt idx="60">
                  <c:v>0.968750000000006</c:v>
                </c:pt>
                <c:pt idx="61">
                  <c:v>0.97083333333333899</c:v>
                </c:pt>
                <c:pt idx="62">
                  <c:v>0.97291666666667298</c:v>
                </c:pt>
                <c:pt idx="63">
                  <c:v>0.97500000000000597</c:v>
                </c:pt>
                <c:pt idx="64">
                  <c:v>0.97708333333333997</c:v>
                </c:pt>
                <c:pt idx="65">
                  <c:v>0.97916666666667296</c:v>
                </c:pt>
                <c:pt idx="66">
                  <c:v>0.98125000000000695</c:v>
                </c:pt>
                <c:pt idx="67">
                  <c:v>0.98333333333334005</c:v>
                </c:pt>
                <c:pt idx="68">
                  <c:v>0.98541666666667405</c:v>
                </c:pt>
                <c:pt idx="69">
                  <c:v>0.98750000000000704</c:v>
                </c:pt>
                <c:pt idx="70">
                  <c:v>0.98958333333334003</c:v>
                </c:pt>
                <c:pt idx="71">
                  <c:v>0.99166666666667402</c:v>
                </c:pt>
                <c:pt idx="72">
                  <c:v>0.99375000000000702</c:v>
                </c:pt>
                <c:pt idx="73">
                  <c:v>0.99583333333334101</c:v>
                </c:pt>
                <c:pt idx="74">
                  <c:v>0.997916666666674</c:v>
                </c:pt>
                <c:pt idx="75">
                  <c:v>1.00000000000001</c:v>
                </c:pt>
                <c:pt idx="76">
                  <c:v>1.0020833333333401</c:v>
                </c:pt>
                <c:pt idx="77">
                  <c:v>1.00416666666667</c:v>
                </c:pt>
                <c:pt idx="78">
                  <c:v>1.0062500000000101</c:v>
                </c:pt>
                <c:pt idx="79">
                  <c:v>1.00833333333334</c:v>
                </c:pt>
                <c:pt idx="80">
                  <c:v>1.0104166666666701</c:v>
                </c:pt>
                <c:pt idx="81">
                  <c:v>1.0125000000000099</c:v>
                </c:pt>
                <c:pt idx="82">
                  <c:v>1.0145833333333401</c:v>
                </c:pt>
                <c:pt idx="83">
                  <c:v>1.0166666666666699</c:v>
                </c:pt>
                <c:pt idx="84">
                  <c:v>1.01875000000001</c:v>
                </c:pt>
                <c:pt idx="85">
                  <c:v>1.0208333333333399</c:v>
                </c:pt>
                <c:pt idx="86">
                  <c:v>1.02291666666667</c:v>
                </c:pt>
                <c:pt idx="87">
                  <c:v>1.0250000000000099</c:v>
                </c:pt>
                <c:pt idx="88">
                  <c:v>1.02708333333334</c:v>
                </c:pt>
                <c:pt idx="89">
                  <c:v>1.0291666666666801</c:v>
                </c:pt>
                <c:pt idx="90">
                  <c:v>1.03125000000002</c:v>
                </c:pt>
                <c:pt idx="91">
                  <c:v>1.0333333333333601</c:v>
                </c:pt>
                <c:pt idx="92">
                  <c:v>1.0354166666667</c:v>
                </c:pt>
                <c:pt idx="93">
                  <c:v>1.0375000000000401</c:v>
                </c:pt>
                <c:pt idx="94">
                  <c:v>1.0395833333333799</c:v>
                </c:pt>
                <c:pt idx="95">
                  <c:v>1.04166666666672</c:v>
                </c:pt>
              </c:numCache>
            </c:numRef>
          </c:cat>
          <c:val>
            <c:numRef>
              <c:f>kencana!$N$150:$N$245</c:f>
              <c:numCache>
                <c:formatCode>General</c:formatCode>
                <c:ptCount val="96"/>
                <c:pt idx="0">
                  <c:v>3.0544969512195119E-3</c:v>
                </c:pt>
                <c:pt idx="1">
                  <c:v>3.657821531216459E-5</c:v>
                </c:pt>
                <c:pt idx="2" formatCode="0.00000000">
                  <c:v>44.839798870679118</c:v>
                </c:pt>
                <c:pt idx="3" formatCode="0.00000000">
                  <c:v>26.696721445189304</c:v>
                </c:pt>
                <c:pt idx="4" formatCode="0.00000000">
                  <c:v>24.928013156237547</c:v>
                </c:pt>
                <c:pt idx="5" formatCode="0.00000000">
                  <c:v>31.709296454087308</c:v>
                </c:pt>
                <c:pt idx="6" formatCode="0.00000000">
                  <c:v>20.589564772198948</c:v>
                </c:pt>
                <c:pt idx="7" formatCode="0.00000000">
                  <c:v>18.850608494323563</c:v>
                </c:pt>
                <c:pt idx="8" formatCode="0.00000000">
                  <c:v>20.30391121389388</c:v>
                </c:pt>
                <c:pt idx="9" formatCode="0.00000000">
                  <c:v>25.478633997129563</c:v>
                </c:pt>
                <c:pt idx="10" formatCode="0.00000000">
                  <c:v>25.791510748588195</c:v>
                </c:pt>
                <c:pt idx="11" formatCode="0.00000000">
                  <c:v>21.556367691334181</c:v>
                </c:pt>
                <c:pt idx="12" formatCode="0.00000000">
                  <c:v>18.376401450192922</c:v>
                </c:pt>
                <c:pt idx="13" formatCode="0.00000000">
                  <c:v>26.658246427755973</c:v>
                </c:pt>
                <c:pt idx="14" formatCode="0.00000000">
                  <c:v>24.017548281682249</c:v>
                </c:pt>
                <c:pt idx="15" formatCode="0.00000000">
                  <c:v>23.77380404863526</c:v>
                </c:pt>
                <c:pt idx="16" formatCode="0.00000000">
                  <c:v>21.048755120563701</c:v>
                </c:pt>
                <c:pt idx="17" formatCode="0.00000000">
                  <c:v>21.397247207358568</c:v>
                </c:pt>
                <c:pt idx="18" formatCode="0.00000000">
                  <c:v>18.958548637773411</c:v>
                </c:pt>
                <c:pt idx="19" formatCode="0.00000000">
                  <c:v>18.7223971482832</c:v>
                </c:pt>
                <c:pt idx="20" formatCode="0.00000000">
                  <c:v>24.839761094083478</c:v>
                </c:pt>
                <c:pt idx="21" formatCode="0.00000000">
                  <c:v>25.259781995318718</c:v>
                </c:pt>
                <c:pt idx="22" formatCode="0.00000000">
                  <c:v>21.512784212991956</c:v>
                </c:pt>
                <c:pt idx="23" formatCode="0.00000000">
                  <c:v>18.537556721360485</c:v>
                </c:pt>
                <c:pt idx="24" formatCode="0.00000000">
                  <c:v>22.109412457281167</c:v>
                </c:pt>
                <c:pt idx="25" formatCode="0.00000000">
                  <c:v>23.501412383263574</c:v>
                </c:pt>
                <c:pt idx="26" formatCode="0.00000000">
                  <c:v>29.229749061226588</c:v>
                </c:pt>
                <c:pt idx="27" formatCode="0.00000000">
                  <c:v>29.180235878420643</c:v>
                </c:pt>
                <c:pt idx="28" formatCode="0.00000000">
                  <c:v>37.782257530969453</c:v>
                </c:pt>
                <c:pt idx="29" formatCode="0.00000000">
                  <c:v>18.342053061243558</c:v>
                </c:pt>
                <c:pt idx="30" formatCode="0.00000000">
                  <c:v>113.35600331914213</c:v>
                </c:pt>
                <c:pt idx="31" formatCode="0.00000000">
                  <c:v>39.853380128652496</c:v>
                </c:pt>
                <c:pt idx="32" formatCode="0.00000000">
                  <c:v>37.862415569915981</c:v>
                </c:pt>
                <c:pt idx="33" formatCode="0.00000000">
                  <c:v>26.245248867647074</c:v>
                </c:pt>
                <c:pt idx="34" formatCode="0.00000000">
                  <c:v>34.3497254238927</c:v>
                </c:pt>
                <c:pt idx="35" formatCode="0.00000000">
                  <c:v>23.96457699492321</c:v>
                </c:pt>
                <c:pt idx="36" formatCode="0.00000000">
                  <c:v>47.728864667716245</c:v>
                </c:pt>
                <c:pt idx="37" formatCode="0.00000000">
                  <c:v>23.118343580475283</c:v>
                </c:pt>
                <c:pt idx="38" formatCode="0.00000000">
                  <c:v>31.548913084368291</c:v>
                </c:pt>
                <c:pt idx="39" formatCode="0.00000000">
                  <c:v>28.876237114750825</c:v>
                </c:pt>
                <c:pt idx="40" formatCode="0.00000000">
                  <c:v>27.507113740871489</c:v>
                </c:pt>
                <c:pt idx="41" formatCode="0.00000000">
                  <c:v>32.949298429555583</c:v>
                </c:pt>
                <c:pt idx="42" formatCode="0.00000000">
                  <c:v>25.931053527901522</c:v>
                </c:pt>
                <c:pt idx="43" formatCode="0.00000000">
                  <c:v>44.239497297215046</c:v>
                </c:pt>
                <c:pt idx="44" formatCode="0.00000000">
                  <c:v>30.974949221058505</c:v>
                </c:pt>
                <c:pt idx="45" formatCode="0.00000000">
                  <c:v>27.830579581209484</c:v>
                </c:pt>
                <c:pt idx="46" formatCode="0.00000000">
                  <c:v>26.143055434953396</c:v>
                </c:pt>
                <c:pt idx="47" formatCode="0.00000000">
                  <c:v>47.780804702703691</c:v>
                </c:pt>
                <c:pt idx="48" formatCode="0.00000000">
                  <c:v>32.133139165685563</c:v>
                </c:pt>
                <c:pt idx="49" formatCode="0.00000000">
                  <c:v>27.686899535085246</c:v>
                </c:pt>
                <c:pt idx="50" formatCode="0.00000000">
                  <c:v>23.986943455565289</c:v>
                </c:pt>
                <c:pt idx="51" formatCode="0.00000000">
                  <c:v>36.017800676079005</c:v>
                </c:pt>
                <c:pt idx="52" formatCode="0.00000000">
                  <c:v>39.919425390655441</c:v>
                </c:pt>
                <c:pt idx="53" formatCode="0.00000000">
                  <c:v>48.004883192923465</c:v>
                </c:pt>
                <c:pt idx="54" formatCode="0.00000000">
                  <c:v>53.636286986401878</c:v>
                </c:pt>
                <c:pt idx="55" formatCode="0.00000000">
                  <c:v>33.77973757318194</c:v>
                </c:pt>
                <c:pt idx="56" formatCode="0.00000000">
                  <c:v>23.491305987580063</c:v>
                </c:pt>
                <c:pt idx="57" formatCode="0.00000000">
                  <c:v>24.798519883059406</c:v>
                </c:pt>
                <c:pt idx="58" formatCode="0.00000000">
                  <c:v>41.584297642586513</c:v>
                </c:pt>
                <c:pt idx="59" formatCode="0.00000000">
                  <c:v>35.412460027577609</c:v>
                </c:pt>
                <c:pt idx="60" formatCode="0.00000000">
                  <c:v>31.277049776538455</c:v>
                </c:pt>
                <c:pt idx="61" formatCode="0.00000000">
                  <c:v>18.307338692051012</c:v>
                </c:pt>
                <c:pt idx="62" formatCode="0.00000000">
                  <c:v>21.150137062089318</c:v>
                </c:pt>
                <c:pt idx="63" formatCode="0.00000000">
                  <c:v>18.536643698067731</c:v>
                </c:pt>
                <c:pt idx="64" formatCode="0.00000000">
                  <c:v>52.194146227787691</c:v>
                </c:pt>
                <c:pt idx="65" formatCode="0.00000000">
                  <c:v>135.38139368511867</c:v>
                </c:pt>
                <c:pt idx="66" formatCode="0.00000000">
                  <c:v>111.78532827866576</c:v>
                </c:pt>
                <c:pt idx="67" formatCode="0.00000000">
                  <c:v>32.219586070063471</c:v>
                </c:pt>
                <c:pt idx="68" formatCode="0.00000000">
                  <c:v>27.371653714456713</c:v>
                </c:pt>
                <c:pt idx="69" formatCode="0.00000000">
                  <c:v>25.200789710811478</c:v>
                </c:pt>
                <c:pt idx="70" formatCode="0.00000000">
                  <c:v>21.662694230320611</c:v>
                </c:pt>
                <c:pt idx="71" formatCode="0.00000000">
                  <c:v>34.02558271007441</c:v>
                </c:pt>
                <c:pt idx="72" formatCode="0.00000000">
                  <c:v>29.746965828523678</c:v>
                </c:pt>
                <c:pt idx="73" formatCode="0.00000000">
                  <c:v>38.792579951184919</c:v>
                </c:pt>
                <c:pt idx="74" formatCode="0.00000000">
                  <c:v>27.679692223180407</c:v>
                </c:pt>
                <c:pt idx="75" formatCode="0.00000000">
                  <c:v>27.904013289889704</c:v>
                </c:pt>
                <c:pt idx="76" formatCode="0.00000000">
                  <c:v>18.993929870115611</c:v>
                </c:pt>
                <c:pt idx="77" formatCode="0.00000000">
                  <c:v>20.909654022947667</c:v>
                </c:pt>
                <c:pt idx="78" formatCode="0.00000000">
                  <c:v>19.3604174422751</c:v>
                </c:pt>
                <c:pt idx="79" formatCode="0.00000000">
                  <c:v>20.926683492754954</c:v>
                </c:pt>
                <c:pt idx="80" formatCode="0.00000000">
                  <c:v>21.455745968222608</c:v>
                </c:pt>
                <c:pt idx="81" formatCode="0.00000000">
                  <c:v>26.222231788514151</c:v>
                </c:pt>
                <c:pt idx="82" formatCode="0.00000000">
                  <c:v>20.469689453551453</c:v>
                </c:pt>
                <c:pt idx="83" formatCode="0.00000000">
                  <c:v>28.853360199533977</c:v>
                </c:pt>
                <c:pt idx="84" formatCode="0.00000000">
                  <c:v>31.263310564407636</c:v>
                </c:pt>
                <c:pt idx="85" formatCode="0.00000000">
                  <c:v>42.304570647970138</c:v>
                </c:pt>
                <c:pt idx="86" formatCode="0.00000000">
                  <c:v>29.371393414200238</c:v>
                </c:pt>
                <c:pt idx="87" formatCode="0.00000000">
                  <c:v>30.71765124868001</c:v>
                </c:pt>
                <c:pt idx="88" formatCode="0.00000000">
                  <c:v>30.546038160515096</c:v>
                </c:pt>
                <c:pt idx="89" formatCode="0.00000000">
                  <c:v>31.416952934157891</c:v>
                </c:pt>
                <c:pt idx="90" formatCode="0.00000000">
                  <c:v>33.801421576286486</c:v>
                </c:pt>
                <c:pt idx="91" formatCode="0.00000000">
                  <c:v>29.161913458517024</c:v>
                </c:pt>
                <c:pt idx="92" formatCode="0.00000000">
                  <c:v>28.971543132923326</c:v>
                </c:pt>
                <c:pt idx="93" formatCode="0.00000000">
                  <c:v>29.023374077749633</c:v>
                </c:pt>
                <c:pt idx="94" formatCode="0.00000000">
                  <c:v>28.948459451589862</c:v>
                </c:pt>
                <c:pt idx="95" formatCode="0.00000000">
                  <c:v>29.785236816277216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A-4034-81E2-7096927427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kencana!$F$150:$F$245</c:f>
              <c:numCache>
                <c:formatCode>[$-F400]h:mm:ss\ AM/PM</c:formatCode>
                <c:ptCount val="96"/>
                <c:pt idx="0">
                  <c:v>0.84722222222222221</c:v>
                </c:pt>
                <c:pt idx="1">
                  <c:v>0.84861111111111109</c:v>
                </c:pt>
                <c:pt idx="2">
                  <c:v>0.85</c:v>
                </c:pt>
                <c:pt idx="3">
                  <c:v>0.85138888888888897</c:v>
                </c:pt>
                <c:pt idx="4">
                  <c:v>0.85277777777777797</c:v>
                </c:pt>
                <c:pt idx="5">
                  <c:v>0.85416666666666663</c:v>
                </c:pt>
                <c:pt idx="6">
                  <c:v>0.85625000000000007</c:v>
                </c:pt>
                <c:pt idx="7">
                  <c:v>0.85833333333333395</c:v>
                </c:pt>
                <c:pt idx="8">
                  <c:v>0.86041666666666705</c:v>
                </c:pt>
                <c:pt idx="9">
                  <c:v>0.86250000000000004</c:v>
                </c:pt>
                <c:pt idx="10">
                  <c:v>0.86458333333333404</c:v>
                </c:pt>
                <c:pt idx="11">
                  <c:v>0.86666666666666703</c:v>
                </c:pt>
                <c:pt idx="12">
                  <c:v>0.86875000000000102</c:v>
                </c:pt>
                <c:pt idx="13">
                  <c:v>0.87083333333333401</c:v>
                </c:pt>
                <c:pt idx="14">
                  <c:v>0.87291666666666801</c:v>
                </c:pt>
                <c:pt idx="15">
                  <c:v>0.875000000000001</c:v>
                </c:pt>
                <c:pt idx="16">
                  <c:v>0.87708333333333399</c:v>
                </c:pt>
                <c:pt idx="17">
                  <c:v>0.87916666666666798</c:v>
                </c:pt>
                <c:pt idx="18">
                  <c:v>0.88125000000000098</c:v>
                </c:pt>
                <c:pt idx="19">
                  <c:v>0.88333333333333497</c:v>
                </c:pt>
                <c:pt idx="20">
                  <c:v>0.88541666666666796</c:v>
                </c:pt>
                <c:pt idx="21">
                  <c:v>0.88750000000000195</c:v>
                </c:pt>
                <c:pt idx="22">
                  <c:v>0.88958333333333495</c:v>
                </c:pt>
                <c:pt idx="23">
                  <c:v>0.89166666666666805</c:v>
                </c:pt>
                <c:pt idx="24">
                  <c:v>0.89375000000000204</c:v>
                </c:pt>
                <c:pt idx="25">
                  <c:v>0.89583333333333504</c:v>
                </c:pt>
                <c:pt idx="26">
                  <c:v>0.89791666666666903</c:v>
                </c:pt>
                <c:pt idx="27">
                  <c:v>0.90000000000000202</c:v>
                </c:pt>
                <c:pt idx="28">
                  <c:v>0.90208333333333601</c:v>
                </c:pt>
                <c:pt idx="29">
                  <c:v>0.90416666666666901</c:v>
                </c:pt>
                <c:pt idx="30">
                  <c:v>0.906250000000003</c:v>
                </c:pt>
                <c:pt idx="31">
                  <c:v>0.90833333333333599</c:v>
                </c:pt>
                <c:pt idx="32">
                  <c:v>0.91041666666666898</c:v>
                </c:pt>
                <c:pt idx="33">
                  <c:v>0.91250000000000298</c:v>
                </c:pt>
                <c:pt idx="34">
                  <c:v>0.91458333333333597</c:v>
                </c:pt>
                <c:pt idx="35">
                  <c:v>0.91666666666666996</c:v>
                </c:pt>
                <c:pt idx="36">
                  <c:v>0.91875000000000295</c:v>
                </c:pt>
                <c:pt idx="37">
                  <c:v>0.92083333333333695</c:v>
                </c:pt>
                <c:pt idx="38">
                  <c:v>0.92291666666667005</c:v>
                </c:pt>
                <c:pt idx="39">
                  <c:v>0.92500000000000304</c:v>
                </c:pt>
                <c:pt idx="40">
                  <c:v>0.92708333333333703</c:v>
                </c:pt>
                <c:pt idx="41">
                  <c:v>0.92916666666667003</c:v>
                </c:pt>
                <c:pt idx="42">
                  <c:v>0.93125000000000402</c:v>
                </c:pt>
                <c:pt idx="43">
                  <c:v>0.93333333333333701</c:v>
                </c:pt>
                <c:pt idx="44">
                  <c:v>0.935416666666671</c:v>
                </c:pt>
                <c:pt idx="45">
                  <c:v>0.937500000000004</c:v>
                </c:pt>
                <c:pt idx="46">
                  <c:v>0.93958333333333799</c:v>
                </c:pt>
                <c:pt idx="47">
                  <c:v>0.94166666666667098</c:v>
                </c:pt>
                <c:pt idx="48">
                  <c:v>0.94375000000000397</c:v>
                </c:pt>
                <c:pt idx="49">
                  <c:v>0.94583333333333797</c:v>
                </c:pt>
                <c:pt idx="50">
                  <c:v>0.94791666666667096</c:v>
                </c:pt>
                <c:pt idx="51">
                  <c:v>0.95000000000000495</c:v>
                </c:pt>
                <c:pt idx="52">
                  <c:v>0.95208333333333806</c:v>
                </c:pt>
                <c:pt idx="53">
                  <c:v>0.95416666666667205</c:v>
                </c:pt>
                <c:pt idx="54">
                  <c:v>0.95625000000000504</c:v>
                </c:pt>
                <c:pt idx="55">
                  <c:v>0.95833333333333903</c:v>
                </c:pt>
                <c:pt idx="56">
                  <c:v>0.96041666666667203</c:v>
                </c:pt>
                <c:pt idx="57">
                  <c:v>0.96250000000000602</c:v>
                </c:pt>
                <c:pt idx="58">
                  <c:v>0.96458333333333901</c:v>
                </c:pt>
                <c:pt idx="59">
                  <c:v>0.966666666666673</c:v>
                </c:pt>
                <c:pt idx="60">
                  <c:v>0.968750000000006</c:v>
                </c:pt>
                <c:pt idx="61">
                  <c:v>0.97083333333333899</c:v>
                </c:pt>
                <c:pt idx="62">
                  <c:v>0.97291666666667298</c:v>
                </c:pt>
                <c:pt idx="63">
                  <c:v>0.97500000000000597</c:v>
                </c:pt>
                <c:pt idx="64">
                  <c:v>0.97708333333333997</c:v>
                </c:pt>
                <c:pt idx="65">
                  <c:v>0.97916666666667296</c:v>
                </c:pt>
                <c:pt idx="66">
                  <c:v>0.98125000000000695</c:v>
                </c:pt>
                <c:pt idx="67">
                  <c:v>0.98333333333334005</c:v>
                </c:pt>
                <c:pt idx="68">
                  <c:v>0.98541666666667405</c:v>
                </c:pt>
                <c:pt idx="69">
                  <c:v>0.98750000000000704</c:v>
                </c:pt>
                <c:pt idx="70">
                  <c:v>0.98958333333334003</c:v>
                </c:pt>
                <c:pt idx="71">
                  <c:v>0.99166666666667402</c:v>
                </c:pt>
                <c:pt idx="72">
                  <c:v>0.99375000000000702</c:v>
                </c:pt>
                <c:pt idx="73">
                  <c:v>0.99583333333334101</c:v>
                </c:pt>
                <c:pt idx="74">
                  <c:v>0.997916666666674</c:v>
                </c:pt>
                <c:pt idx="75">
                  <c:v>1.00000000000001</c:v>
                </c:pt>
                <c:pt idx="76">
                  <c:v>1.0020833333333401</c:v>
                </c:pt>
                <c:pt idx="77">
                  <c:v>1.00416666666667</c:v>
                </c:pt>
                <c:pt idx="78">
                  <c:v>1.0062500000000101</c:v>
                </c:pt>
                <c:pt idx="79">
                  <c:v>1.00833333333334</c:v>
                </c:pt>
                <c:pt idx="80">
                  <c:v>1.0104166666666701</c:v>
                </c:pt>
                <c:pt idx="81">
                  <c:v>1.0125000000000099</c:v>
                </c:pt>
                <c:pt idx="82">
                  <c:v>1.0145833333333401</c:v>
                </c:pt>
                <c:pt idx="83">
                  <c:v>1.0166666666666699</c:v>
                </c:pt>
                <c:pt idx="84">
                  <c:v>1.01875000000001</c:v>
                </c:pt>
                <c:pt idx="85">
                  <c:v>1.0208333333333399</c:v>
                </c:pt>
                <c:pt idx="86">
                  <c:v>1.02291666666667</c:v>
                </c:pt>
                <c:pt idx="87">
                  <c:v>1.0250000000000099</c:v>
                </c:pt>
                <c:pt idx="88">
                  <c:v>1.02708333333334</c:v>
                </c:pt>
                <c:pt idx="89">
                  <c:v>1.0291666666666801</c:v>
                </c:pt>
                <c:pt idx="90">
                  <c:v>1.03125000000002</c:v>
                </c:pt>
                <c:pt idx="91">
                  <c:v>1.0333333333333601</c:v>
                </c:pt>
                <c:pt idx="92">
                  <c:v>1.0354166666667</c:v>
                </c:pt>
                <c:pt idx="93">
                  <c:v>1.0375000000000401</c:v>
                </c:pt>
                <c:pt idx="94">
                  <c:v>1.0395833333333799</c:v>
                </c:pt>
                <c:pt idx="95">
                  <c:v>1.04166666666672</c:v>
                </c:pt>
              </c:numCache>
            </c:numRef>
          </c:cat>
          <c:val>
            <c:numRef>
              <c:f>kencana!$O$150:$O$245</c:f>
              <c:numCache>
                <c:formatCode>0.000</c:formatCode>
                <c:ptCount val="96"/>
                <c:pt idx="0">
                  <c:v>54.109375383936559</c:v>
                </c:pt>
                <c:pt idx="1">
                  <c:v>54.109375383936559</c:v>
                </c:pt>
                <c:pt idx="2">
                  <c:v>54.109375383936559</c:v>
                </c:pt>
                <c:pt idx="3">
                  <c:v>54.109375383936559</c:v>
                </c:pt>
                <c:pt idx="4">
                  <c:v>54.109375383936559</c:v>
                </c:pt>
                <c:pt idx="5">
                  <c:v>54.109375383936559</c:v>
                </c:pt>
                <c:pt idx="6">
                  <c:v>54.109375383936559</c:v>
                </c:pt>
                <c:pt idx="7">
                  <c:v>54.109375383936559</c:v>
                </c:pt>
                <c:pt idx="8">
                  <c:v>54.109375383936559</c:v>
                </c:pt>
                <c:pt idx="9">
                  <c:v>54.109375383936559</c:v>
                </c:pt>
                <c:pt idx="10">
                  <c:v>54.109375383936559</c:v>
                </c:pt>
                <c:pt idx="11">
                  <c:v>54.109375383936559</c:v>
                </c:pt>
                <c:pt idx="12">
                  <c:v>54.109375383936559</c:v>
                </c:pt>
                <c:pt idx="13">
                  <c:v>54.109375383936559</c:v>
                </c:pt>
                <c:pt idx="14">
                  <c:v>54.109375383936559</c:v>
                </c:pt>
                <c:pt idx="15">
                  <c:v>54.109375383936559</c:v>
                </c:pt>
                <c:pt idx="16">
                  <c:v>54.109375383936559</c:v>
                </c:pt>
                <c:pt idx="17">
                  <c:v>54.109375383936559</c:v>
                </c:pt>
                <c:pt idx="18">
                  <c:v>54.109375383936559</c:v>
                </c:pt>
                <c:pt idx="19">
                  <c:v>54.109375383936559</c:v>
                </c:pt>
                <c:pt idx="20">
                  <c:v>54.109375383936559</c:v>
                </c:pt>
                <c:pt idx="21">
                  <c:v>54.109375383936559</c:v>
                </c:pt>
                <c:pt idx="22">
                  <c:v>54.109375383936559</c:v>
                </c:pt>
                <c:pt idx="23">
                  <c:v>54.109375383936559</c:v>
                </c:pt>
                <c:pt idx="24">
                  <c:v>54.109375383936559</c:v>
                </c:pt>
                <c:pt idx="25">
                  <c:v>54.109375383936559</c:v>
                </c:pt>
                <c:pt idx="26">
                  <c:v>54.109375383936559</c:v>
                </c:pt>
                <c:pt idx="27">
                  <c:v>54.109375383936559</c:v>
                </c:pt>
                <c:pt idx="28">
                  <c:v>54.109375383936559</c:v>
                </c:pt>
                <c:pt idx="29">
                  <c:v>54.109375383936559</c:v>
                </c:pt>
                <c:pt idx="30">
                  <c:v>54.109375383936559</c:v>
                </c:pt>
                <c:pt idx="31">
                  <c:v>54.109375383936559</c:v>
                </c:pt>
                <c:pt idx="32">
                  <c:v>54.109375383936559</c:v>
                </c:pt>
                <c:pt idx="33">
                  <c:v>54.109375383936559</c:v>
                </c:pt>
                <c:pt idx="34">
                  <c:v>54.109375383936559</c:v>
                </c:pt>
                <c:pt idx="35">
                  <c:v>54.109375383936559</c:v>
                </c:pt>
                <c:pt idx="36">
                  <c:v>54.109375383936559</c:v>
                </c:pt>
                <c:pt idx="37">
                  <c:v>54.109375383936559</c:v>
                </c:pt>
                <c:pt idx="38">
                  <c:v>54.109375383936559</c:v>
                </c:pt>
                <c:pt idx="39">
                  <c:v>54.109375383936559</c:v>
                </c:pt>
                <c:pt idx="40">
                  <c:v>54.109375383936559</c:v>
                </c:pt>
                <c:pt idx="41">
                  <c:v>54.109375383936559</c:v>
                </c:pt>
                <c:pt idx="42">
                  <c:v>54.109375383936559</c:v>
                </c:pt>
                <c:pt idx="43">
                  <c:v>54.109375383936559</c:v>
                </c:pt>
                <c:pt idx="44">
                  <c:v>54.109375383936559</c:v>
                </c:pt>
                <c:pt idx="45">
                  <c:v>54.109375383936559</c:v>
                </c:pt>
                <c:pt idx="46">
                  <c:v>54.109375383936559</c:v>
                </c:pt>
                <c:pt idx="47">
                  <c:v>54.109375383936559</c:v>
                </c:pt>
                <c:pt idx="48">
                  <c:v>54.109375383936559</c:v>
                </c:pt>
                <c:pt idx="49">
                  <c:v>54.109375383936559</c:v>
                </c:pt>
                <c:pt idx="50">
                  <c:v>54.109375383936559</c:v>
                </c:pt>
                <c:pt idx="51">
                  <c:v>54.109375383936559</c:v>
                </c:pt>
                <c:pt idx="52">
                  <c:v>54.109375383936559</c:v>
                </c:pt>
                <c:pt idx="53">
                  <c:v>54.109375383936559</c:v>
                </c:pt>
                <c:pt idx="54">
                  <c:v>54.109375383936559</c:v>
                </c:pt>
                <c:pt idx="55">
                  <c:v>54.109375383936559</c:v>
                </c:pt>
                <c:pt idx="56">
                  <c:v>54.109375383936559</c:v>
                </c:pt>
                <c:pt idx="57">
                  <c:v>54.109375383936559</c:v>
                </c:pt>
                <c:pt idx="58">
                  <c:v>54.109375383936559</c:v>
                </c:pt>
                <c:pt idx="59">
                  <c:v>54.109375383936559</c:v>
                </c:pt>
                <c:pt idx="60">
                  <c:v>54.109375383936559</c:v>
                </c:pt>
                <c:pt idx="61">
                  <c:v>54.109375383936559</c:v>
                </c:pt>
                <c:pt idx="62">
                  <c:v>54.109375383936559</c:v>
                </c:pt>
                <c:pt idx="63">
                  <c:v>54.109375383936559</c:v>
                </c:pt>
                <c:pt idx="64">
                  <c:v>54.109375383936559</c:v>
                </c:pt>
                <c:pt idx="65">
                  <c:v>54.109375383936559</c:v>
                </c:pt>
                <c:pt idx="66">
                  <c:v>54.109375383936559</c:v>
                </c:pt>
                <c:pt idx="67">
                  <c:v>54.109375383936559</c:v>
                </c:pt>
                <c:pt idx="68">
                  <c:v>54.109375383936559</c:v>
                </c:pt>
                <c:pt idx="69">
                  <c:v>54.109375383936559</c:v>
                </c:pt>
                <c:pt idx="70">
                  <c:v>54.109375383936559</c:v>
                </c:pt>
                <c:pt idx="71">
                  <c:v>54.109375383936559</c:v>
                </c:pt>
                <c:pt idx="72">
                  <c:v>54.109375383936559</c:v>
                </c:pt>
                <c:pt idx="73">
                  <c:v>54.109375383936559</c:v>
                </c:pt>
                <c:pt idx="74">
                  <c:v>54.109375383936559</c:v>
                </c:pt>
                <c:pt idx="75">
                  <c:v>54.109375383936559</c:v>
                </c:pt>
                <c:pt idx="76">
                  <c:v>54.109375383936559</c:v>
                </c:pt>
                <c:pt idx="77">
                  <c:v>54.109375383936559</c:v>
                </c:pt>
                <c:pt idx="78">
                  <c:v>54.109375383936559</c:v>
                </c:pt>
                <c:pt idx="79">
                  <c:v>54.109375383936559</c:v>
                </c:pt>
                <c:pt idx="80">
                  <c:v>54.109375383936559</c:v>
                </c:pt>
                <c:pt idx="81">
                  <c:v>54.109375383936559</c:v>
                </c:pt>
                <c:pt idx="82">
                  <c:v>54.109375383936559</c:v>
                </c:pt>
                <c:pt idx="83">
                  <c:v>54.109375383936559</c:v>
                </c:pt>
                <c:pt idx="84">
                  <c:v>54.109375383936559</c:v>
                </c:pt>
                <c:pt idx="85">
                  <c:v>54.109375383936559</c:v>
                </c:pt>
                <c:pt idx="86">
                  <c:v>54.109375383936559</c:v>
                </c:pt>
                <c:pt idx="87">
                  <c:v>54.109375383936559</c:v>
                </c:pt>
                <c:pt idx="88">
                  <c:v>54.109375383936559</c:v>
                </c:pt>
                <c:pt idx="89">
                  <c:v>54.109375383936559</c:v>
                </c:pt>
                <c:pt idx="90">
                  <c:v>54.109375383936559</c:v>
                </c:pt>
                <c:pt idx="91">
                  <c:v>54.109375383936559</c:v>
                </c:pt>
                <c:pt idx="92">
                  <c:v>54.109375383936559</c:v>
                </c:pt>
                <c:pt idx="93">
                  <c:v>54.109375383936559</c:v>
                </c:pt>
                <c:pt idx="94">
                  <c:v>54.109375383936559</c:v>
                </c:pt>
                <c:pt idx="95">
                  <c:v>54.109375383936559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A-4034-81E2-7096927427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kencana!$F$150:$F$245</c:f>
              <c:numCache>
                <c:formatCode>[$-F400]h:mm:ss\ AM/PM</c:formatCode>
                <c:ptCount val="96"/>
                <c:pt idx="0">
                  <c:v>0.84722222222222221</c:v>
                </c:pt>
                <c:pt idx="1">
                  <c:v>0.84861111111111109</c:v>
                </c:pt>
                <c:pt idx="2">
                  <c:v>0.85</c:v>
                </c:pt>
                <c:pt idx="3">
                  <c:v>0.85138888888888897</c:v>
                </c:pt>
                <c:pt idx="4">
                  <c:v>0.85277777777777797</c:v>
                </c:pt>
                <c:pt idx="5">
                  <c:v>0.85416666666666663</c:v>
                </c:pt>
                <c:pt idx="6">
                  <c:v>0.85625000000000007</c:v>
                </c:pt>
                <c:pt idx="7">
                  <c:v>0.85833333333333395</c:v>
                </c:pt>
                <c:pt idx="8">
                  <c:v>0.86041666666666705</c:v>
                </c:pt>
                <c:pt idx="9">
                  <c:v>0.86250000000000004</c:v>
                </c:pt>
                <c:pt idx="10">
                  <c:v>0.86458333333333404</c:v>
                </c:pt>
                <c:pt idx="11">
                  <c:v>0.86666666666666703</c:v>
                </c:pt>
                <c:pt idx="12">
                  <c:v>0.86875000000000102</c:v>
                </c:pt>
                <c:pt idx="13">
                  <c:v>0.87083333333333401</c:v>
                </c:pt>
                <c:pt idx="14">
                  <c:v>0.87291666666666801</c:v>
                </c:pt>
                <c:pt idx="15">
                  <c:v>0.875000000000001</c:v>
                </c:pt>
                <c:pt idx="16">
                  <c:v>0.87708333333333399</c:v>
                </c:pt>
                <c:pt idx="17">
                  <c:v>0.87916666666666798</c:v>
                </c:pt>
                <c:pt idx="18">
                  <c:v>0.88125000000000098</c:v>
                </c:pt>
                <c:pt idx="19">
                  <c:v>0.88333333333333497</c:v>
                </c:pt>
                <c:pt idx="20">
                  <c:v>0.88541666666666796</c:v>
                </c:pt>
                <c:pt idx="21">
                  <c:v>0.88750000000000195</c:v>
                </c:pt>
                <c:pt idx="22">
                  <c:v>0.88958333333333495</c:v>
                </c:pt>
                <c:pt idx="23">
                  <c:v>0.89166666666666805</c:v>
                </c:pt>
                <c:pt idx="24">
                  <c:v>0.89375000000000204</c:v>
                </c:pt>
                <c:pt idx="25">
                  <c:v>0.89583333333333504</c:v>
                </c:pt>
                <c:pt idx="26">
                  <c:v>0.89791666666666903</c:v>
                </c:pt>
                <c:pt idx="27">
                  <c:v>0.90000000000000202</c:v>
                </c:pt>
                <c:pt idx="28">
                  <c:v>0.90208333333333601</c:v>
                </c:pt>
                <c:pt idx="29">
                  <c:v>0.90416666666666901</c:v>
                </c:pt>
                <c:pt idx="30">
                  <c:v>0.906250000000003</c:v>
                </c:pt>
                <c:pt idx="31">
                  <c:v>0.90833333333333599</c:v>
                </c:pt>
                <c:pt idx="32">
                  <c:v>0.91041666666666898</c:v>
                </c:pt>
                <c:pt idx="33">
                  <c:v>0.91250000000000298</c:v>
                </c:pt>
                <c:pt idx="34">
                  <c:v>0.91458333333333597</c:v>
                </c:pt>
                <c:pt idx="35">
                  <c:v>0.91666666666666996</c:v>
                </c:pt>
                <c:pt idx="36">
                  <c:v>0.91875000000000295</c:v>
                </c:pt>
                <c:pt idx="37">
                  <c:v>0.92083333333333695</c:v>
                </c:pt>
                <c:pt idx="38">
                  <c:v>0.92291666666667005</c:v>
                </c:pt>
                <c:pt idx="39">
                  <c:v>0.92500000000000304</c:v>
                </c:pt>
                <c:pt idx="40">
                  <c:v>0.92708333333333703</c:v>
                </c:pt>
                <c:pt idx="41">
                  <c:v>0.92916666666667003</c:v>
                </c:pt>
                <c:pt idx="42">
                  <c:v>0.93125000000000402</c:v>
                </c:pt>
                <c:pt idx="43">
                  <c:v>0.93333333333333701</c:v>
                </c:pt>
                <c:pt idx="44">
                  <c:v>0.935416666666671</c:v>
                </c:pt>
                <c:pt idx="45">
                  <c:v>0.937500000000004</c:v>
                </c:pt>
                <c:pt idx="46">
                  <c:v>0.93958333333333799</c:v>
                </c:pt>
                <c:pt idx="47">
                  <c:v>0.94166666666667098</c:v>
                </c:pt>
                <c:pt idx="48">
                  <c:v>0.94375000000000397</c:v>
                </c:pt>
                <c:pt idx="49">
                  <c:v>0.94583333333333797</c:v>
                </c:pt>
                <c:pt idx="50">
                  <c:v>0.94791666666667096</c:v>
                </c:pt>
                <c:pt idx="51">
                  <c:v>0.95000000000000495</c:v>
                </c:pt>
                <c:pt idx="52">
                  <c:v>0.95208333333333806</c:v>
                </c:pt>
                <c:pt idx="53">
                  <c:v>0.95416666666667205</c:v>
                </c:pt>
                <c:pt idx="54">
                  <c:v>0.95625000000000504</c:v>
                </c:pt>
                <c:pt idx="55">
                  <c:v>0.95833333333333903</c:v>
                </c:pt>
                <c:pt idx="56">
                  <c:v>0.96041666666667203</c:v>
                </c:pt>
                <c:pt idx="57">
                  <c:v>0.96250000000000602</c:v>
                </c:pt>
                <c:pt idx="58">
                  <c:v>0.96458333333333901</c:v>
                </c:pt>
                <c:pt idx="59">
                  <c:v>0.966666666666673</c:v>
                </c:pt>
                <c:pt idx="60">
                  <c:v>0.968750000000006</c:v>
                </c:pt>
                <c:pt idx="61">
                  <c:v>0.97083333333333899</c:v>
                </c:pt>
                <c:pt idx="62">
                  <c:v>0.97291666666667298</c:v>
                </c:pt>
                <c:pt idx="63">
                  <c:v>0.97500000000000597</c:v>
                </c:pt>
                <c:pt idx="64">
                  <c:v>0.97708333333333997</c:v>
                </c:pt>
                <c:pt idx="65">
                  <c:v>0.97916666666667296</c:v>
                </c:pt>
                <c:pt idx="66">
                  <c:v>0.98125000000000695</c:v>
                </c:pt>
                <c:pt idx="67">
                  <c:v>0.98333333333334005</c:v>
                </c:pt>
                <c:pt idx="68">
                  <c:v>0.98541666666667405</c:v>
                </c:pt>
                <c:pt idx="69">
                  <c:v>0.98750000000000704</c:v>
                </c:pt>
                <c:pt idx="70">
                  <c:v>0.98958333333334003</c:v>
                </c:pt>
                <c:pt idx="71">
                  <c:v>0.99166666666667402</c:v>
                </c:pt>
                <c:pt idx="72">
                  <c:v>0.99375000000000702</c:v>
                </c:pt>
                <c:pt idx="73">
                  <c:v>0.99583333333334101</c:v>
                </c:pt>
                <c:pt idx="74">
                  <c:v>0.997916666666674</c:v>
                </c:pt>
                <c:pt idx="75">
                  <c:v>1.00000000000001</c:v>
                </c:pt>
                <c:pt idx="76">
                  <c:v>1.0020833333333401</c:v>
                </c:pt>
                <c:pt idx="77">
                  <c:v>1.00416666666667</c:v>
                </c:pt>
                <c:pt idx="78">
                  <c:v>1.0062500000000101</c:v>
                </c:pt>
                <c:pt idx="79">
                  <c:v>1.00833333333334</c:v>
                </c:pt>
                <c:pt idx="80">
                  <c:v>1.0104166666666701</c:v>
                </c:pt>
                <c:pt idx="81">
                  <c:v>1.0125000000000099</c:v>
                </c:pt>
                <c:pt idx="82">
                  <c:v>1.0145833333333401</c:v>
                </c:pt>
                <c:pt idx="83">
                  <c:v>1.0166666666666699</c:v>
                </c:pt>
                <c:pt idx="84">
                  <c:v>1.01875000000001</c:v>
                </c:pt>
                <c:pt idx="85">
                  <c:v>1.0208333333333399</c:v>
                </c:pt>
                <c:pt idx="86">
                  <c:v>1.02291666666667</c:v>
                </c:pt>
                <c:pt idx="87">
                  <c:v>1.0250000000000099</c:v>
                </c:pt>
                <c:pt idx="88">
                  <c:v>1.02708333333334</c:v>
                </c:pt>
                <c:pt idx="89">
                  <c:v>1.0291666666666801</c:v>
                </c:pt>
                <c:pt idx="90">
                  <c:v>1.03125000000002</c:v>
                </c:pt>
                <c:pt idx="91">
                  <c:v>1.0333333333333601</c:v>
                </c:pt>
                <c:pt idx="92">
                  <c:v>1.0354166666667</c:v>
                </c:pt>
                <c:pt idx="93">
                  <c:v>1.0375000000000401</c:v>
                </c:pt>
                <c:pt idx="94">
                  <c:v>1.0395833333333799</c:v>
                </c:pt>
                <c:pt idx="95">
                  <c:v>1.04166666666672</c:v>
                </c:pt>
              </c:numCache>
            </c:numRef>
          </c:cat>
          <c:val>
            <c:numRef>
              <c:f>kencana!$P$150:$P$245</c:f>
              <c:numCache>
                <c:formatCode>0.000</c:formatCode>
                <c:ptCount val="96"/>
                <c:pt idx="0">
                  <c:v>41.123125291791787</c:v>
                </c:pt>
                <c:pt idx="1">
                  <c:v>41.123125291791787</c:v>
                </c:pt>
                <c:pt idx="2">
                  <c:v>41.123125291791787</c:v>
                </c:pt>
                <c:pt idx="3">
                  <c:v>41.123125291791787</c:v>
                </c:pt>
                <c:pt idx="4">
                  <c:v>41.123125291791787</c:v>
                </c:pt>
                <c:pt idx="5">
                  <c:v>41.123125291791787</c:v>
                </c:pt>
                <c:pt idx="6">
                  <c:v>41.123125291791787</c:v>
                </c:pt>
                <c:pt idx="7">
                  <c:v>41.123125291791787</c:v>
                </c:pt>
                <c:pt idx="8">
                  <c:v>41.123125291791787</c:v>
                </c:pt>
                <c:pt idx="9">
                  <c:v>41.123125291791787</c:v>
                </c:pt>
                <c:pt idx="10">
                  <c:v>41.123125291791787</c:v>
                </c:pt>
                <c:pt idx="11">
                  <c:v>41.123125291791787</c:v>
                </c:pt>
                <c:pt idx="12">
                  <c:v>41.123125291791787</c:v>
                </c:pt>
                <c:pt idx="13">
                  <c:v>41.123125291791787</c:v>
                </c:pt>
                <c:pt idx="14">
                  <c:v>41.123125291791787</c:v>
                </c:pt>
                <c:pt idx="15">
                  <c:v>41.123125291791787</c:v>
                </c:pt>
                <c:pt idx="16">
                  <c:v>41.123125291791787</c:v>
                </c:pt>
                <c:pt idx="17">
                  <c:v>41.123125291791787</c:v>
                </c:pt>
                <c:pt idx="18">
                  <c:v>41.123125291791787</c:v>
                </c:pt>
                <c:pt idx="19">
                  <c:v>41.123125291791787</c:v>
                </c:pt>
                <c:pt idx="20">
                  <c:v>41.123125291791787</c:v>
                </c:pt>
                <c:pt idx="21">
                  <c:v>41.123125291791787</c:v>
                </c:pt>
                <c:pt idx="22">
                  <c:v>41.123125291791787</c:v>
                </c:pt>
                <c:pt idx="23">
                  <c:v>41.123125291791787</c:v>
                </c:pt>
                <c:pt idx="24">
                  <c:v>41.123125291791787</c:v>
                </c:pt>
                <c:pt idx="25">
                  <c:v>41.123125291791787</c:v>
                </c:pt>
                <c:pt idx="26">
                  <c:v>41.123125291791787</c:v>
                </c:pt>
                <c:pt idx="27">
                  <c:v>41.123125291791787</c:v>
                </c:pt>
                <c:pt idx="28">
                  <c:v>41.123125291791787</c:v>
                </c:pt>
                <c:pt idx="29">
                  <c:v>41.123125291791787</c:v>
                </c:pt>
                <c:pt idx="30">
                  <c:v>41.123125291791787</c:v>
                </c:pt>
                <c:pt idx="31">
                  <c:v>41.123125291791787</c:v>
                </c:pt>
                <c:pt idx="32">
                  <c:v>41.123125291791787</c:v>
                </c:pt>
                <c:pt idx="33">
                  <c:v>41.123125291791787</c:v>
                </c:pt>
                <c:pt idx="34">
                  <c:v>41.123125291791787</c:v>
                </c:pt>
                <c:pt idx="35">
                  <c:v>41.123125291791787</c:v>
                </c:pt>
                <c:pt idx="36">
                  <c:v>41.123125291791787</c:v>
                </c:pt>
                <c:pt idx="37">
                  <c:v>41.123125291791787</c:v>
                </c:pt>
                <c:pt idx="38">
                  <c:v>41.123125291791787</c:v>
                </c:pt>
                <c:pt idx="39">
                  <c:v>41.123125291791787</c:v>
                </c:pt>
                <c:pt idx="40">
                  <c:v>41.123125291791787</c:v>
                </c:pt>
                <c:pt idx="41">
                  <c:v>41.123125291791787</c:v>
                </c:pt>
                <c:pt idx="42">
                  <c:v>41.123125291791787</c:v>
                </c:pt>
                <c:pt idx="43">
                  <c:v>41.123125291791787</c:v>
                </c:pt>
                <c:pt idx="44">
                  <c:v>41.123125291791787</c:v>
                </c:pt>
                <c:pt idx="45">
                  <c:v>41.123125291791787</c:v>
                </c:pt>
                <c:pt idx="46">
                  <c:v>41.123125291791787</c:v>
                </c:pt>
                <c:pt idx="47">
                  <c:v>41.123125291791787</c:v>
                </c:pt>
                <c:pt idx="48">
                  <c:v>41.123125291791787</c:v>
                </c:pt>
                <c:pt idx="49">
                  <c:v>41.123125291791787</c:v>
                </c:pt>
                <c:pt idx="50">
                  <c:v>41.123125291791787</c:v>
                </c:pt>
                <c:pt idx="51">
                  <c:v>41.123125291791787</c:v>
                </c:pt>
                <c:pt idx="52">
                  <c:v>41.123125291791787</c:v>
                </c:pt>
                <c:pt idx="53">
                  <c:v>41.123125291791787</c:v>
                </c:pt>
                <c:pt idx="54">
                  <c:v>41.123125291791787</c:v>
                </c:pt>
                <c:pt idx="55">
                  <c:v>41.123125291791787</c:v>
                </c:pt>
                <c:pt idx="56">
                  <c:v>41.123125291791787</c:v>
                </c:pt>
                <c:pt idx="57">
                  <c:v>41.123125291791787</c:v>
                </c:pt>
                <c:pt idx="58">
                  <c:v>41.123125291791787</c:v>
                </c:pt>
                <c:pt idx="59">
                  <c:v>41.123125291791787</c:v>
                </c:pt>
                <c:pt idx="60">
                  <c:v>41.123125291791787</c:v>
                </c:pt>
                <c:pt idx="61">
                  <c:v>41.123125291791787</c:v>
                </c:pt>
                <c:pt idx="62">
                  <c:v>41.123125291791787</c:v>
                </c:pt>
                <c:pt idx="63">
                  <c:v>41.123125291791787</c:v>
                </c:pt>
                <c:pt idx="64">
                  <c:v>41.123125291791787</c:v>
                </c:pt>
                <c:pt idx="65">
                  <c:v>41.123125291791787</c:v>
                </c:pt>
                <c:pt idx="66">
                  <c:v>41.123125291791787</c:v>
                </c:pt>
                <c:pt idx="67">
                  <c:v>41.123125291791787</c:v>
                </c:pt>
                <c:pt idx="68">
                  <c:v>41.123125291791787</c:v>
                </c:pt>
                <c:pt idx="69">
                  <c:v>41.123125291791787</c:v>
                </c:pt>
                <c:pt idx="70">
                  <c:v>41.123125291791787</c:v>
                </c:pt>
                <c:pt idx="71">
                  <c:v>41.123125291791787</c:v>
                </c:pt>
                <c:pt idx="72">
                  <c:v>41.123125291791787</c:v>
                </c:pt>
                <c:pt idx="73">
                  <c:v>41.123125291791787</c:v>
                </c:pt>
                <c:pt idx="74">
                  <c:v>41.123125291791787</c:v>
                </c:pt>
                <c:pt idx="75">
                  <c:v>41.123125291791787</c:v>
                </c:pt>
                <c:pt idx="76">
                  <c:v>41.123125291791787</c:v>
                </c:pt>
                <c:pt idx="77">
                  <c:v>41.123125291791787</c:v>
                </c:pt>
                <c:pt idx="78">
                  <c:v>41.123125291791787</c:v>
                </c:pt>
                <c:pt idx="79">
                  <c:v>41.123125291791787</c:v>
                </c:pt>
                <c:pt idx="80">
                  <c:v>41.123125291791787</c:v>
                </c:pt>
                <c:pt idx="81">
                  <c:v>41.123125291791787</c:v>
                </c:pt>
                <c:pt idx="82">
                  <c:v>41.123125291791787</c:v>
                </c:pt>
                <c:pt idx="83">
                  <c:v>41.123125291791787</c:v>
                </c:pt>
                <c:pt idx="84">
                  <c:v>41.123125291791787</c:v>
                </c:pt>
                <c:pt idx="85">
                  <c:v>41.123125291791787</c:v>
                </c:pt>
                <c:pt idx="86">
                  <c:v>41.123125291791787</c:v>
                </c:pt>
                <c:pt idx="87">
                  <c:v>41.123125291791787</c:v>
                </c:pt>
                <c:pt idx="88">
                  <c:v>41.123125291791787</c:v>
                </c:pt>
                <c:pt idx="89">
                  <c:v>41.123125291791787</c:v>
                </c:pt>
                <c:pt idx="90">
                  <c:v>41.123125291791787</c:v>
                </c:pt>
                <c:pt idx="91">
                  <c:v>41.123125291791787</c:v>
                </c:pt>
                <c:pt idx="92">
                  <c:v>41.123125291791787</c:v>
                </c:pt>
                <c:pt idx="93">
                  <c:v>41.123125291791787</c:v>
                </c:pt>
                <c:pt idx="94">
                  <c:v>41.123125291791787</c:v>
                </c:pt>
                <c:pt idx="95">
                  <c:v>41.123125291791787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A-4034-81E2-7096927427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kencana!$F$150:$F$245</c:f>
              <c:numCache>
                <c:formatCode>[$-F400]h:mm:ss\ AM/PM</c:formatCode>
                <c:ptCount val="96"/>
                <c:pt idx="0">
                  <c:v>0.84722222222222221</c:v>
                </c:pt>
                <c:pt idx="1">
                  <c:v>0.84861111111111109</c:v>
                </c:pt>
                <c:pt idx="2">
                  <c:v>0.85</c:v>
                </c:pt>
                <c:pt idx="3">
                  <c:v>0.85138888888888897</c:v>
                </c:pt>
                <c:pt idx="4">
                  <c:v>0.85277777777777797</c:v>
                </c:pt>
                <c:pt idx="5">
                  <c:v>0.85416666666666663</c:v>
                </c:pt>
                <c:pt idx="6">
                  <c:v>0.85625000000000007</c:v>
                </c:pt>
                <c:pt idx="7">
                  <c:v>0.85833333333333395</c:v>
                </c:pt>
                <c:pt idx="8">
                  <c:v>0.86041666666666705</c:v>
                </c:pt>
                <c:pt idx="9">
                  <c:v>0.86250000000000004</c:v>
                </c:pt>
                <c:pt idx="10">
                  <c:v>0.86458333333333404</c:v>
                </c:pt>
                <c:pt idx="11">
                  <c:v>0.86666666666666703</c:v>
                </c:pt>
                <c:pt idx="12">
                  <c:v>0.86875000000000102</c:v>
                </c:pt>
                <c:pt idx="13">
                  <c:v>0.87083333333333401</c:v>
                </c:pt>
                <c:pt idx="14">
                  <c:v>0.87291666666666801</c:v>
                </c:pt>
                <c:pt idx="15">
                  <c:v>0.875000000000001</c:v>
                </c:pt>
                <c:pt idx="16">
                  <c:v>0.87708333333333399</c:v>
                </c:pt>
                <c:pt idx="17">
                  <c:v>0.87916666666666798</c:v>
                </c:pt>
                <c:pt idx="18">
                  <c:v>0.88125000000000098</c:v>
                </c:pt>
                <c:pt idx="19">
                  <c:v>0.88333333333333497</c:v>
                </c:pt>
                <c:pt idx="20">
                  <c:v>0.88541666666666796</c:v>
                </c:pt>
                <c:pt idx="21">
                  <c:v>0.88750000000000195</c:v>
                </c:pt>
                <c:pt idx="22">
                  <c:v>0.88958333333333495</c:v>
                </c:pt>
                <c:pt idx="23">
                  <c:v>0.89166666666666805</c:v>
                </c:pt>
                <c:pt idx="24">
                  <c:v>0.89375000000000204</c:v>
                </c:pt>
                <c:pt idx="25">
                  <c:v>0.89583333333333504</c:v>
                </c:pt>
                <c:pt idx="26">
                  <c:v>0.89791666666666903</c:v>
                </c:pt>
                <c:pt idx="27">
                  <c:v>0.90000000000000202</c:v>
                </c:pt>
                <c:pt idx="28">
                  <c:v>0.90208333333333601</c:v>
                </c:pt>
                <c:pt idx="29">
                  <c:v>0.90416666666666901</c:v>
                </c:pt>
                <c:pt idx="30">
                  <c:v>0.906250000000003</c:v>
                </c:pt>
                <c:pt idx="31">
                  <c:v>0.90833333333333599</c:v>
                </c:pt>
                <c:pt idx="32">
                  <c:v>0.91041666666666898</c:v>
                </c:pt>
                <c:pt idx="33">
                  <c:v>0.91250000000000298</c:v>
                </c:pt>
                <c:pt idx="34">
                  <c:v>0.91458333333333597</c:v>
                </c:pt>
                <c:pt idx="35">
                  <c:v>0.91666666666666996</c:v>
                </c:pt>
                <c:pt idx="36">
                  <c:v>0.91875000000000295</c:v>
                </c:pt>
                <c:pt idx="37">
                  <c:v>0.92083333333333695</c:v>
                </c:pt>
                <c:pt idx="38">
                  <c:v>0.92291666666667005</c:v>
                </c:pt>
                <c:pt idx="39">
                  <c:v>0.92500000000000304</c:v>
                </c:pt>
                <c:pt idx="40">
                  <c:v>0.92708333333333703</c:v>
                </c:pt>
                <c:pt idx="41">
                  <c:v>0.92916666666667003</c:v>
                </c:pt>
                <c:pt idx="42">
                  <c:v>0.93125000000000402</c:v>
                </c:pt>
                <c:pt idx="43">
                  <c:v>0.93333333333333701</c:v>
                </c:pt>
                <c:pt idx="44">
                  <c:v>0.935416666666671</c:v>
                </c:pt>
                <c:pt idx="45">
                  <c:v>0.937500000000004</c:v>
                </c:pt>
                <c:pt idx="46">
                  <c:v>0.93958333333333799</c:v>
                </c:pt>
                <c:pt idx="47">
                  <c:v>0.94166666666667098</c:v>
                </c:pt>
                <c:pt idx="48">
                  <c:v>0.94375000000000397</c:v>
                </c:pt>
                <c:pt idx="49">
                  <c:v>0.94583333333333797</c:v>
                </c:pt>
                <c:pt idx="50">
                  <c:v>0.94791666666667096</c:v>
                </c:pt>
                <c:pt idx="51">
                  <c:v>0.95000000000000495</c:v>
                </c:pt>
                <c:pt idx="52">
                  <c:v>0.95208333333333806</c:v>
                </c:pt>
                <c:pt idx="53">
                  <c:v>0.95416666666667205</c:v>
                </c:pt>
                <c:pt idx="54">
                  <c:v>0.95625000000000504</c:v>
                </c:pt>
                <c:pt idx="55">
                  <c:v>0.95833333333333903</c:v>
                </c:pt>
                <c:pt idx="56">
                  <c:v>0.96041666666667203</c:v>
                </c:pt>
                <c:pt idx="57">
                  <c:v>0.96250000000000602</c:v>
                </c:pt>
                <c:pt idx="58">
                  <c:v>0.96458333333333901</c:v>
                </c:pt>
                <c:pt idx="59">
                  <c:v>0.966666666666673</c:v>
                </c:pt>
                <c:pt idx="60">
                  <c:v>0.968750000000006</c:v>
                </c:pt>
                <c:pt idx="61">
                  <c:v>0.97083333333333899</c:v>
                </c:pt>
                <c:pt idx="62">
                  <c:v>0.97291666666667298</c:v>
                </c:pt>
                <c:pt idx="63">
                  <c:v>0.97500000000000597</c:v>
                </c:pt>
                <c:pt idx="64">
                  <c:v>0.97708333333333997</c:v>
                </c:pt>
                <c:pt idx="65">
                  <c:v>0.97916666666667296</c:v>
                </c:pt>
                <c:pt idx="66">
                  <c:v>0.98125000000000695</c:v>
                </c:pt>
                <c:pt idx="67">
                  <c:v>0.98333333333334005</c:v>
                </c:pt>
                <c:pt idx="68">
                  <c:v>0.98541666666667405</c:v>
                </c:pt>
                <c:pt idx="69">
                  <c:v>0.98750000000000704</c:v>
                </c:pt>
                <c:pt idx="70">
                  <c:v>0.98958333333334003</c:v>
                </c:pt>
                <c:pt idx="71">
                  <c:v>0.99166666666667402</c:v>
                </c:pt>
                <c:pt idx="72">
                  <c:v>0.99375000000000702</c:v>
                </c:pt>
                <c:pt idx="73">
                  <c:v>0.99583333333334101</c:v>
                </c:pt>
                <c:pt idx="74">
                  <c:v>0.997916666666674</c:v>
                </c:pt>
                <c:pt idx="75">
                  <c:v>1.00000000000001</c:v>
                </c:pt>
                <c:pt idx="76">
                  <c:v>1.0020833333333401</c:v>
                </c:pt>
                <c:pt idx="77">
                  <c:v>1.00416666666667</c:v>
                </c:pt>
                <c:pt idx="78">
                  <c:v>1.0062500000000101</c:v>
                </c:pt>
                <c:pt idx="79">
                  <c:v>1.00833333333334</c:v>
                </c:pt>
                <c:pt idx="80">
                  <c:v>1.0104166666666701</c:v>
                </c:pt>
                <c:pt idx="81">
                  <c:v>1.0125000000000099</c:v>
                </c:pt>
                <c:pt idx="82">
                  <c:v>1.0145833333333401</c:v>
                </c:pt>
                <c:pt idx="83">
                  <c:v>1.0166666666666699</c:v>
                </c:pt>
                <c:pt idx="84">
                  <c:v>1.01875000000001</c:v>
                </c:pt>
                <c:pt idx="85">
                  <c:v>1.0208333333333399</c:v>
                </c:pt>
                <c:pt idx="86">
                  <c:v>1.02291666666667</c:v>
                </c:pt>
                <c:pt idx="87">
                  <c:v>1.0250000000000099</c:v>
                </c:pt>
                <c:pt idx="88">
                  <c:v>1.02708333333334</c:v>
                </c:pt>
                <c:pt idx="89">
                  <c:v>1.0291666666666801</c:v>
                </c:pt>
                <c:pt idx="90">
                  <c:v>1.03125000000002</c:v>
                </c:pt>
                <c:pt idx="91">
                  <c:v>1.0333333333333601</c:v>
                </c:pt>
                <c:pt idx="92">
                  <c:v>1.0354166666667</c:v>
                </c:pt>
                <c:pt idx="93">
                  <c:v>1.0375000000000401</c:v>
                </c:pt>
                <c:pt idx="94">
                  <c:v>1.0395833333333799</c:v>
                </c:pt>
                <c:pt idx="95">
                  <c:v>1.04166666666672</c:v>
                </c:pt>
              </c:numCache>
            </c:numRef>
          </c:cat>
          <c:val>
            <c:numRef>
              <c:f>kencana!$Q$150:$Q$245</c:f>
              <c:numCache>
                <c:formatCode>0.000</c:formatCode>
                <c:ptCount val="96"/>
                <c:pt idx="0">
                  <c:v>49.780625353221637</c:v>
                </c:pt>
                <c:pt idx="1">
                  <c:v>49.780625353221637</c:v>
                </c:pt>
                <c:pt idx="2">
                  <c:v>49.780625353221637</c:v>
                </c:pt>
                <c:pt idx="3">
                  <c:v>49.780625353221637</c:v>
                </c:pt>
                <c:pt idx="4">
                  <c:v>49.780625353221637</c:v>
                </c:pt>
                <c:pt idx="5">
                  <c:v>49.780625353221637</c:v>
                </c:pt>
                <c:pt idx="6">
                  <c:v>49.780625353221637</c:v>
                </c:pt>
                <c:pt idx="7">
                  <c:v>49.780625353221637</c:v>
                </c:pt>
                <c:pt idx="8">
                  <c:v>49.780625353221637</c:v>
                </c:pt>
                <c:pt idx="9">
                  <c:v>49.780625353221637</c:v>
                </c:pt>
                <c:pt idx="10">
                  <c:v>49.780625353221637</c:v>
                </c:pt>
                <c:pt idx="11">
                  <c:v>49.780625353221637</c:v>
                </c:pt>
                <c:pt idx="12">
                  <c:v>49.780625353221637</c:v>
                </c:pt>
                <c:pt idx="13">
                  <c:v>49.780625353221637</c:v>
                </c:pt>
                <c:pt idx="14">
                  <c:v>49.780625353221637</c:v>
                </c:pt>
                <c:pt idx="15">
                  <c:v>49.780625353221637</c:v>
                </c:pt>
                <c:pt idx="16">
                  <c:v>49.780625353221637</c:v>
                </c:pt>
                <c:pt idx="17">
                  <c:v>49.780625353221637</c:v>
                </c:pt>
                <c:pt idx="18">
                  <c:v>49.780625353221637</c:v>
                </c:pt>
                <c:pt idx="19">
                  <c:v>49.780625353221637</c:v>
                </c:pt>
                <c:pt idx="20">
                  <c:v>49.780625353221637</c:v>
                </c:pt>
                <c:pt idx="21">
                  <c:v>49.780625353221637</c:v>
                </c:pt>
                <c:pt idx="22">
                  <c:v>49.780625353221637</c:v>
                </c:pt>
                <c:pt idx="23">
                  <c:v>49.780625353221637</c:v>
                </c:pt>
                <c:pt idx="24">
                  <c:v>49.780625353221637</c:v>
                </c:pt>
                <c:pt idx="25">
                  <c:v>49.780625353221637</c:v>
                </c:pt>
                <c:pt idx="26">
                  <c:v>49.780625353221637</c:v>
                </c:pt>
                <c:pt idx="27">
                  <c:v>49.780625353221637</c:v>
                </c:pt>
                <c:pt idx="28">
                  <c:v>49.780625353221637</c:v>
                </c:pt>
                <c:pt idx="29">
                  <c:v>49.780625353221637</c:v>
                </c:pt>
                <c:pt idx="30">
                  <c:v>49.780625353221637</c:v>
                </c:pt>
                <c:pt idx="31">
                  <c:v>49.780625353221637</c:v>
                </c:pt>
                <c:pt idx="32">
                  <c:v>49.780625353221637</c:v>
                </c:pt>
                <c:pt idx="33">
                  <c:v>49.780625353221637</c:v>
                </c:pt>
                <c:pt idx="34">
                  <c:v>49.780625353221637</c:v>
                </c:pt>
                <c:pt idx="35">
                  <c:v>49.780625353221637</c:v>
                </c:pt>
                <c:pt idx="36">
                  <c:v>49.780625353221637</c:v>
                </c:pt>
                <c:pt idx="37">
                  <c:v>49.780625353221637</c:v>
                </c:pt>
                <c:pt idx="38">
                  <c:v>49.780625353221637</c:v>
                </c:pt>
                <c:pt idx="39">
                  <c:v>49.780625353221637</c:v>
                </c:pt>
                <c:pt idx="40">
                  <c:v>49.780625353221637</c:v>
                </c:pt>
                <c:pt idx="41">
                  <c:v>49.780625353221637</c:v>
                </c:pt>
                <c:pt idx="42">
                  <c:v>49.780625353221637</c:v>
                </c:pt>
                <c:pt idx="43">
                  <c:v>49.780625353221637</c:v>
                </c:pt>
                <c:pt idx="44">
                  <c:v>49.780625353221637</c:v>
                </c:pt>
                <c:pt idx="45">
                  <c:v>49.780625353221637</c:v>
                </c:pt>
                <c:pt idx="46">
                  <c:v>49.780625353221637</c:v>
                </c:pt>
                <c:pt idx="47">
                  <c:v>49.780625353221637</c:v>
                </c:pt>
                <c:pt idx="48">
                  <c:v>49.780625353221637</c:v>
                </c:pt>
                <c:pt idx="49">
                  <c:v>49.780625353221637</c:v>
                </c:pt>
                <c:pt idx="50">
                  <c:v>49.780625353221637</c:v>
                </c:pt>
                <c:pt idx="51">
                  <c:v>49.780625353221637</c:v>
                </c:pt>
                <c:pt idx="52">
                  <c:v>49.780625353221637</c:v>
                </c:pt>
                <c:pt idx="53">
                  <c:v>49.780625353221637</c:v>
                </c:pt>
                <c:pt idx="54">
                  <c:v>49.780625353221637</c:v>
                </c:pt>
                <c:pt idx="55">
                  <c:v>49.780625353221637</c:v>
                </c:pt>
                <c:pt idx="56">
                  <c:v>49.780625353221637</c:v>
                </c:pt>
                <c:pt idx="57">
                  <c:v>49.780625353221637</c:v>
                </c:pt>
                <c:pt idx="58">
                  <c:v>49.780625353221637</c:v>
                </c:pt>
                <c:pt idx="59">
                  <c:v>49.780625353221637</c:v>
                </c:pt>
                <c:pt idx="60">
                  <c:v>49.780625353221637</c:v>
                </c:pt>
                <c:pt idx="61">
                  <c:v>49.780625353221637</c:v>
                </c:pt>
                <c:pt idx="62">
                  <c:v>49.780625353221637</c:v>
                </c:pt>
                <c:pt idx="63">
                  <c:v>49.780625353221637</c:v>
                </c:pt>
                <c:pt idx="64">
                  <c:v>49.780625353221637</c:v>
                </c:pt>
                <c:pt idx="65">
                  <c:v>49.780625353221637</c:v>
                </c:pt>
                <c:pt idx="66">
                  <c:v>49.780625353221637</c:v>
                </c:pt>
                <c:pt idx="67">
                  <c:v>49.780625353221637</c:v>
                </c:pt>
                <c:pt idx="68">
                  <c:v>49.780625353221637</c:v>
                </c:pt>
                <c:pt idx="69">
                  <c:v>49.780625353221637</c:v>
                </c:pt>
                <c:pt idx="70">
                  <c:v>49.780625353221637</c:v>
                </c:pt>
                <c:pt idx="71">
                  <c:v>49.780625353221637</c:v>
                </c:pt>
                <c:pt idx="72">
                  <c:v>49.780625353221637</c:v>
                </c:pt>
                <c:pt idx="73">
                  <c:v>49.780625353221637</c:v>
                </c:pt>
                <c:pt idx="74">
                  <c:v>49.780625353221637</c:v>
                </c:pt>
                <c:pt idx="75">
                  <c:v>49.780625353221637</c:v>
                </c:pt>
                <c:pt idx="76">
                  <c:v>49.780625353221637</c:v>
                </c:pt>
                <c:pt idx="77">
                  <c:v>49.780625353221637</c:v>
                </c:pt>
                <c:pt idx="78">
                  <c:v>49.780625353221637</c:v>
                </c:pt>
                <c:pt idx="79">
                  <c:v>49.780625353221637</c:v>
                </c:pt>
                <c:pt idx="80">
                  <c:v>49.780625353221637</c:v>
                </c:pt>
                <c:pt idx="81">
                  <c:v>49.780625353221637</c:v>
                </c:pt>
                <c:pt idx="82">
                  <c:v>49.780625353221637</c:v>
                </c:pt>
                <c:pt idx="83">
                  <c:v>49.780625353221637</c:v>
                </c:pt>
                <c:pt idx="84">
                  <c:v>49.780625353221637</c:v>
                </c:pt>
                <c:pt idx="85">
                  <c:v>49.780625353221637</c:v>
                </c:pt>
                <c:pt idx="86">
                  <c:v>49.780625353221637</c:v>
                </c:pt>
                <c:pt idx="87">
                  <c:v>49.780625353221637</c:v>
                </c:pt>
                <c:pt idx="88">
                  <c:v>49.780625353221637</c:v>
                </c:pt>
                <c:pt idx="89">
                  <c:v>49.780625353221637</c:v>
                </c:pt>
                <c:pt idx="90">
                  <c:v>49.780625353221637</c:v>
                </c:pt>
                <c:pt idx="91">
                  <c:v>49.780625353221637</c:v>
                </c:pt>
                <c:pt idx="92">
                  <c:v>49.780625353221637</c:v>
                </c:pt>
                <c:pt idx="93">
                  <c:v>49.780625353221637</c:v>
                </c:pt>
                <c:pt idx="94">
                  <c:v>49.780625353221637</c:v>
                </c:pt>
                <c:pt idx="95">
                  <c:v>49.780625353221637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A-4034-81E2-70969274278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kencana!$F$150:$F$245</c:f>
              <c:numCache>
                <c:formatCode>[$-F400]h:mm:ss\ AM/PM</c:formatCode>
                <c:ptCount val="96"/>
                <c:pt idx="0">
                  <c:v>0.84722222222222221</c:v>
                </c:pt>
                <c:pt idx="1">
                  <c:v>0.84861111111111109</c:v>
                </c:pt>
                <c:pt idx="2">
                  <c:v>0.85</c:v>
                </c:pt>
                <c:pt idx="3">
                  <c:v>0.85138888888888897</c:v>
                </c:pt>
                <c:pt idx="4">
                  <c:v>0.85277777777777797</c:v>
                </c:pt>
                <c:pt idx="5">
                  <c:v>0.85416666666666663</c:v>
                </c:pt>
                <c:pt idx="6">
                  <c:v>0.85625000000000007</c:v>
                </c:pt>
                <c:pt idx="7">
                  <c:v>0.85833333333333395</c:v>
                </c:pt>
                <c:pt idx="8">
                  <c:v>0.86041666666666705</c:v>
                </c:pt>
                <c:pt idx="9">
                  <c:v>0.86250000000000004</c:v>
                </c:pt>
                <c:pt idx="10">
                  <c:v>0.86458333333333404</c:v>
                </c:pt>
                <c:pt idx="11">
                  <c:v>0.86666666666666703</c:v>
                </c:pt>
                <c:pt idx="12">
                  <c:v>0.86875000000000102</c:v>
                </c:pt>
                <c:pt idx="13">
                  <c:v>0.87083333333333401</c:v>
                </c:pt>
                <c:pt idx="14">
                  <c:v>0.87291666666666801</c:v>
                </c:pt>
                <c:pt idx="15">
                  <c:v>0.875000000000001</c:v>
                </c:pt>
                <c:pt idx="16">
                  <c:v>0.87708333333333399</c:v>
                </c:pt>
                <c:pt idx="17">
                  <c:v>0.87916666666666798</c:v>
                </c:pt>
                <c:pt idx="18">
                  <c:v>0.88125000000000098</c:v>
                </c:pt>
                <c:pt idx="19">
                  <c:v>0.88333333333333497</c:v>
                </c:pt>
                <c:pt idx="20">
                  <c:v>0.88541666666666796</c:v>
                </c:pt>
                <c:pt idx="21">
                  <c:v>0.88750000000000195</c:v>
                </c:pt>
                <c:pt idx="22">
                  <c:v>0.88958333333333495</c:v>
                </c:pt>
                <c:pt idx="23">
                  <c:v>0.89166666666666805</c:v>
                </c:pt>
                <c:pt idx="24">
                  <c:v>0.89375000000000204</c:v>
                </c:pt>
                <c:pt idx="25">
                  <c:v>0.89583333333333504</c:v>
                </c:pt>
                <c:pt idx="26">
                  <c:v>0.89791666666666903</c:v>
                </c:pt>
                <c:pt idx="27">
                  <c:v>0.90000000000000202</c:v>
                </c:pt>
                <c:pt idx="28">
                  <c:v>0.90208333333333601</c:v>
                </c:pt>
                <c:pt idx="29">
                  <c:v>0.90416666666666901</c:v>
                </c:pt>
                <c:pt idx="30">
                  <c:v>0.906250000000003</c:v>
                </c:pt>
                <c:pt idx="31">
                  <c:v>0.90833333333333599</c:v>
                </c:pt>
                <c:pt idx="32">
                  <c:v>0.91041666666666898</c:v>
                </c:pt>
                <c:pt idx="33">
                  <c:v>0.91250000000000298</c:v>
                </c:pt>
                <c:pt idx="34">
                  <c:v>0.91458333333333597</c:v>
                </c:pt>
                <c:pt idx="35">
                  <c:v>0.91666666666666996</c:v>
                </c:pt>
                <c:pt idx="36">
                  <c:v>0.91875000000000295</c:v>
                </c:pt>
                <c:pt idx="37">
                  <c:v>0.92083333333333695</c:v>
                </c:pt>
                <c:pt idx="38">
                  <c:v>0.92291666666667005</c:v>
                </c:pt>
                <c:pt idx="39">
                  <c:v>0.92500000000000304</c:v>
                </c:pt>
                <c:pt idx="40">
                  <c:v>0.92708333333333703</c:v>
                </c:pt>
                <c:pt idx="41">
                  <c:v>0.92916666666667003</c:v>
                </c:pt>
                <c:pt idx="42">
                  <c:v>0.93125000000000402</c:v>
                </c:pt>
                <c:pt idx="43">
                  <c:v>0.93333333333333701</c:v>
                </c:pt>
                <c:pt idx="44">
                  <c:v>0.935416666666671</c:v>
                </c:pt>
                <c:pt idx="45">
                  <c:v>0.937500000000004</c:v>
                </c:pt>
                <c:pt idx="46">
                  <c:v>0.93958333333333799</c:v>
                </c:pt>
                <c:pt idx="47">
                  <c:v>0.94166666666667098</c:v>
                </c:pt>
                <c:pt idx="48">
                  <c:v>0.94375000000000397</c:v>
                </c:pt>
                <c:pt idx="49">
                  <c:v>0.94583333333333797</c:v>
                </c:pt>
                <c:pt idx="50">
                  <c:v>0.94791666666667096</c:v>
                </c:pt>
                <c:pt idx="51">
                  <c:v>0.95000000000000495</c:v>
                </c:pt>
                <c:pt idx="52">
                  <c:v>0.95208333333333806</c:v>
                </c:pt>
                <c:pt idx="53">
                  <c:v>0.95416666666667205</c:v>
                </c:pt>
                <c:pt idx="54">
                  <c:v>0.95625000000000504</c:v>
                </c:pt>
                <c:pt idx="55">
                  <c:v>0.95833333333333903</c:v>
                </c:pt>
                <c:pt idx="56">
                  <c:v>0.96041666666667203</c:v>
                </c:pt>
                <c:pt idx="57">
                  <c:v>0.96250000000000602</c:v>
                </c:pt>
                <c:pt idx="58">
                  <c:v>0.96458333333333901</c:v>
                </c:pt>
                <c:pt idx="59">
                  <c:v>0.966666666666673</c:v>
                </c:pt>
                <c:pt idx="60">
                  <c:v>0.968750000000006</c:v>
                </c:pt>
                <c:pt idx="61">
                  <c:v>0.97083333333333899</c:v>
                </c:pt>
                <c:pt idx="62">
                  <c:v>0.97291666666667298</c:v>
                </c:pt>
                <c:pt idx="63">
                  <c:v>0.97500000000000597</c:v>
                </c:pt>
                <c:pt idx="64">
                  <c:v>0.97708333333333997</c:v>
                </c:pt>
                <c:pt idx="65">
                  <c:v>0.97916666666667296</c:v>
                </c:pt>
                <c:pt idx="66">
                  <c:v>0.98125000000000695</c:v>
                </c:pt>
                <c:pt idx="67">
                  <c:v>0.98333333333334005</c:v>
                </c:pt>
                <c:pt idx="68">
                  <c:v>0.98541666666667405</c:v>
                </c:pt>
                <c:pt idx="69">
                  <c:v>0.98750000000000704</c:v>
                </c:pt>
                <c:pt idx="70">
                  <c:v>0.98958333333334003</c:v>
                </c:pt>
                <c:pt idx="71">
                  <c:v>0.99166666666667402</c:v>
                </c:pt>
                <c:pt idx="72">
                  <c:v>0.99375000000000702</c:v>
                </c:pt>
                <c:pt idx="73">
                  <c:v>0.99583333333334101</c:v>
                </c:pt>
                <c:pt idx="74">
                  <c:v>0.997916666666674</c:v>
                </c:pt>
                <c:pt idx="75">
                  <c:v>1.00000000000001</c:v>
                </c:pt>
                <c:pt idx="76">
                  <c:v>1.0020833333333401</c:v>
                </c:pt>
                <c:pt idx="77">
                  <c:v>1.00416666666667</c:v>
                </c:pt>
                <c:pt idx="78">
                  <c:v>1.0062500000000101</c:v>
                </c:pt>
                <c:pt idx="79">
                  <c:v>1.00833333333334</c:v>
                </c:pt>
                <c:pt idx="80">
                  <c:v>1.0104166666666701</c:v>
                </c:pt>
                <c:pt idx="81">
                  <c:v>1.0125000000000099</c:v>
                </c:pt>
                <c:pt idx="82">
                  <c:v>1.0145833333333401</c:v>
                </c:pt>
                <c:pt idx="83">
                  <c:v>1.0166666666666699</c:v>
                </c:pt>
                <c:pt idx="84">
                  <c:v>1.01875000000001</c:v>
                </c:pt>
                <c:pt idx="85">
                  <c:v>1.0208333333333399</c:v>
                </c:pt>
                <c:pt idx="86">
                  <c:v>1.02291666666667</c:v>
                </c:pt>
                <c:pt idx="87">
                  <c:v>1.0250000000000099</c:v>
                </c:pt>
                <c:pt idx="88">
                  <c:v>1.02708333333334</c:v>
                </c:pt>
                <c:pt idx="89">
                  <c:v>1.0291666666666801</c:v>
                </c:pt>
                <c:pt idx="90">
                  <c:v>1.03125000000002</c:v>
                </c:pt>
                <c:pt idx="91">
                  <c:v>1.0333333333333601</c:v>
                </c:pt>
                <c:pt idx="92">
                  <c:v>1.0354166666667</c:v>
                </c:pt>
                <c:pt idx="93">
                  <c:v>1.0375000000000401</c:v>
                </c:pt>
                <c:pt idx="94">
                  <c:v>1.0395833333333799</c:v>
                </c:pt>
                <c:pt idx="95">
                  <c:v>1.04166666666672</c:v>
                </c:pt>
              </c:numCache>
            </c:numRef>
          </c:cat>
          <c:val>
            <c:numRef>
              <c:f>kencana!$R$150:$R$245</c:f>
              <c:numCache>
                <c:formatCode>0.000</c:formatCode>
                <c:ptCount val="96"/>
                <c:pt idx="0">
                  <c:v>61.68468793768767</c:v>
                </c:pt>
                <c:pt idx="1">
                  <c:v>61.68468793768767</c:v>
                </c:pt>
                <c:pt idx="2">
                  <c:v>61.68468793768767</c:v>
                </c:pt>
                <c:pt idx="3">
                  <c:v>61.68468793768767</c:v>
                </c:pt>
                <c:pt idx="4">
                  <c:v>61.68468793768767</c:v>
                </c:pt>
                <c:pt idx="5">
                  <c:v>61.68468793768767</c:v>
                </c:pt>
                <c:pt idx="6">
                  <c:v>61.68468793768767</c:v>
                </c:pt>
                <c:pt idx="7">
                  <c:v>61.68468793768767</c:v>
                </c:pt>
                <c:pt idx="8">
                  <c:v>61.68468793768767</c:v>
                </c:pt>
                <c:pt idx="9">
                  <c:v>61.68468793768767</c:v>
                </c:pt>
                <c:pt idx="10">
                  <c:v>61.68468793768767</c:v>
                </c:pt>
                <c:pt idx="11">
                  <c:v>61.68468793768767</c:v>
                </c:pt>
                <c:pt idx="12">
                  <c:v>61.68468793768767</c:v>
                </c:pt>
                <c:pt idx="13">
                  <c:v>61.68468793768767</c:v>
                </c:pt>
                <c:pt idx="14">
                  <c:v>61.68468793768767</c:v>
                </c:pt>
                <c:pt idx="15">
                  <c:v>61.68468793768767</c:v>
                </c:pt>
                <c:pt idx="16">
                  <c:v>61.68468793768767</c:v>
                </c:pt>
                <c:pt idx="17">
                  <c:v>61.68468793768767</c:v>
                </c:pt>
                <c:pt idx="18">
                  <c:v>61.68468793768767</c:v>
                </c:pt>
                <c:pt idx="19">
                  <c:v>61.68468793768767</c:v>
                </c:pt>
                <c:pt idx="20">
                  <c:v>61.68468793768767</c:v>
                </c:pt>
                <c:pt idx="21">
                  <c:v>61.68468793768767</c:v>
                </c:pt>
                <c:pt idx="22">
                  <c:v>61.68468793768767</c:v>
                </c:pt>
                <c:pt idx="23">
                  <c:v>61.68468793768767</c:v>
                </c:pt>
                <c:pt idx="24">
                  <c:v>61.68468793768767</c:v>
                </c:pt>
                <c:pt idx="25">
                  <c:v>61.68468793768767</c:v>
                </c:pt>
                <c:pt idx="26">
                  <c:v>61.68468793768767</c:v>
                </c:pt>
                <c:pt idx="27">
                  <c:v>61.68468793768767</c:v>
                </c:pt>
                <c:pt idx="28">
                  <c:v>61.68468793768767</c:v>
                </c:pt>
                <c:pt idx="29">
                  <c:v>61.68468793768767</c:v>
                </c:pt>
                <c:pt idx="30">
                  <c:v>61.68468793768767</c:v>
                </c:pt>
                <c:pt idx="31">
                  <c:v>61.68468793768767</c:v>
                </c:pt>
                <c:pt idx="32">
                  <c:v>61.68468793768767</c:v>
                </c:pt>
                <c:pt idx="33">
                  <c:v>61.68468793768767</c:v>
                </c:pt>
                <c:pt idx="34">
                  <c:v>61.68468793768767</c:v>
                </c:pt>
                <c:pt idx="35">
                  <c:v>61.68468793768767</c:v>
                </c:pt>
                <c:pt idx="36">
                  <c:v>61.68468793768767</c:v>
                </c:pt>
                <c:pt idx="37">
                  <c:v>61.68468793768767</c:v>
                </c:pt>
                <c:pt idx="38">
                  <c:v>61.68468793768767</c:v>
                </c:pt>
                <c:pt idx="39">
                  <c:v>61.68468793768767</c:v>
                </c:pt>
                <c:pt idx="40">
                  <c:v>61.68468793768767</c:v>
                </c:pt>
                <c:pt idx="41">
                  <c:v>61.68468793768767</c:v>
                </c:pt>
                <c:pt idx="42">
                  <c:v>61.68468793768767</c:v>
                </c:pt>
                <c:pt idx="43">
                  <c:v>61.68468793768767</c:v>
                </c:pt>
                <c:pt idx="44">
                  <c:v>61.68468793768767</c:v>
                </c:pt>
                <c:pt idx="45">
                  <c:v>61.68468793768767</c:v>
                </c:pt>
                <c:pt idx="46">
                  <c:v>61.68468793768767</c:v>
                </c:pt>
                <c:pt idx="47">
                  <c:v>61.68468793768767</c:v>
                </c:pt>
                <c:pt idx="48">
                  <c:v>61.68468793768767</c:v>
                </c:pt>
                <c:pt idx="49">
                  <c:v>61.68468793768767</c:v>
                </c:pt>
                <c:pt idx="50">
                  <c:v>61.68468793768767</c:v>
                </c:pt>
                <c:pt idx="51">
                  <c:v>61.68468793768767</c:v>
                </c:pt>
                <c:pt idx="52">
                  <c:v>61.68468793768767</c:v>
                </c:pt>
                <c:pt idx="53">
                  <c:v>61.68468793768767</c:v>
                </c:pt>
                <c:pt idx="54">
                  <c:v>61.68468793768767</c:v>
                </c:pt>
                <c:pt idx="55">
                  <c:v>61.68468793768767</c:v>
                </c:pt>
                <c:pt idx="56">
                  <c:v>61.68468793768767</c:v>
                </c:pt>
                <c:pt idx="57">
                  <c:v>61.68468793768767</c:v>
                </c:pt>
                <c:pt idx="58">
                  <c:v>61.68468793768767</c:v>
                </c:pt>
                <c:pt idx="59">
                  <c:v>61.68468793768767</c:v>
                </c:pt>
                <c:pt idx="60">
                  <c:v>61.68468793768767</c:v>
                </c:pt>
                <c:pt idx="61">
                  <c:v>61.68468793768767</c:v>
                </c:pt>
                <c:pt idx="62">
                  <c:v>61.68468793768767</c:v>
                </c:pt>
                <c:pt idx="63">
                  <c:v>61.68468793768767</c:v>
                </c:pt>
                <c:pt idx="64">
                  <c:v>61.68468793768767</c:v>
                </c:pt>
                <c:pt idx="65">
                  <c:v>61.68468793768767</c:v>
                </c:pt>
                <c:pt idx="66">
                  <c:v>61.68468793768767</c:v>
                </c:pt>
                <c:pt idx="67">
                  <c:v>61.68468793768767</c:v>
                </c:pt>
                <c:pt idx="68">
                  <c:v>61.68468793768767</c:v>
                </c:pt>
                <c:pt idx="69">
                  <c:v>61.68468793768767</c:v>
                </c:pt>
                <c:pt idx="70">
                  <c:v>61.68468793768767</c:v>
                </c:pt>
                <c:pt idx="71">
                  <c:v>61.68468793768767</c:v>
                </c:pt>
                <c:pt idx="72">
                  <c:v>61.68468793768767</c:v>
                </c:pt>
                <c:pt idx="73">
                  <c:v>61.68468793768767</c:v>
                </c:pt>
                <c:pt idx="74">
                  <c:v>61.68468793768767</c:v>
                </c:pt>
                <c:pt idx="75">
                  <c:v>61.68468793768767</c:v>
                </c:pt>
                <c:pt idx="76">
                  <c:v>61.68468793768767</c:v>
                </c:pt>
                <c:pt idx="77">
                  <c:v>61.68468793768767</c:v>
                </c:pt>
                <c:pt idx="78">
                  <c:v>61.68468793768767</c:v>
                </c:pt>
                <c:pt idx="79">
                  <c:v>61.68468793768767</c:v>
                </c:pt>
                <c:pt idx="80">
                  <c:v>61.68468793768767</c:v>
                </c:pt>
                <c:pt idx="81">
                  <c:v>61.68468793768767</c:v>
                </c:pt>
                <c:pt idx="82">
                  <c:v>61.68468793768767</c:v>
                </c:pt>
                <c:pt idx="83">
                  <c:v>61.68468793768767</c:v>
                </c:pt>
                <c:pt idx="84">
                  <c:v>61.68468793768767</c:v>
                </c:pt>
                <c:pt idx="85">
                  <c:v>61.68468793768767</c:v>
                </c:pt>
                <c:pt idx="86">
                  <c:v>61.68468793768767</c:v>
                </c:pt>
                <c:pt idx="87">
                  <c:v>61.68468793768767</c:v>
                </c:pt>
                <c:pt idx="88">
                  <c:v>61.68468793768767</c:v>
                </c:pt>
                <c:pt idx="89">
                  <c:v>61.68468793768767</c:v>
                </c:pt>
                <c:pt idx="90">
                  <c:v>61.68468793768767</c:v>
                </c:pt>
                <c:pt idx="91">
                  <c:v>61.68468793768767</c:v>
                </c:pt>
                <c:pt idx="92">
                  <c:v>61.68468793768767</c:v>
                </c:pt>
                <c:pt idx="93">
                  <c:v>61.68468793768767</c:v>
                </c:pt>
                <c:pt idx="94">
                  <c:v>61.68468793768767</c:v>
                </c:pt>
                <c:pt idx="95">
                  <c:v>61.68468793768767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A-4034-81E2-70969274278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kencana!$F$150:$F$245</c:f>
              <c:numCache>
                <c:formatCode>[$-F400]h:mm:ss\ AM/PM</c:formatCode>
                <c:ptCount val="96"/>
                <c:pt idx="0">
                  <c:v>0.84722222222222221</c:v>
                </c:pt>
                <c:pt idx="1">
                  <c:v>0.84861111111111109</c:v>
                </c:pt>
                <c:pt idx="2">
                  <c:v>0.85</c:v>
                </c:pt>
                <c:pt idx="3">
                  <c:v>0.85138888888888897</c:v>
                </c:pt>
                <c:pt idx="4">
                  <c:v>0.85277777777777797</c:v>
                </c:pt>
                <c:pt idx="5">
                  <c:v>0.85416666666666663</c:v>
                </c:pt>
                <c:pt idx="6">
                  <c:v>0.85625000000000007</c:v>
                </c:pt>
                <c:pt idx="7">
                  <c:v>0.85833333333333395</c:v>
                </c:pt>
                <c:pt idx="8">
                  <c:v>0.86041666666666705</c:v>
                </c:pt>
                <c:pt idx="9">
                  <c:v>0.86250000000000004</c:v>
                </c:pt>
                <c:pt idx="10">
                  <c:v>0.86458333333333404</c:v>
                </c:pt>
                <c:pt idx="11">
                  <c:v>0.86666666666666703</c:v>
                </c:pt>
                <c:pt idx="12">
                  <c:v>0.86875000000000102</c:v>
                </c:pt>
                <c:pt idx="13">
                  <c:v>0.87083333333333401</c:v>
                </c:pt>
                <c:pt idx="14">
                  <c:v>0.87291666666666801</c:v>
                </c:pt>
                <c:pt idx="15">
                  <c:v>0.875000000000001</c:v>
                </c:pt>
                <c:pt idx="16">
                  <c:v>0.87708333333333399</c:v>
                </c:pt>
                <c:pt idx="17">
                  <c:v>0.87916666666666798</c:v>
                </c:pt>
                <c:pt idx="18">
                  <c:v>0.88125000000000098</c:v>
                </c:pt>
                <c:pt idx="19">
                  <c:v>0.88333333333333497</c:v>
                </c:pt>
                <c:pt idx="20">
                  <c:v>0.88541666666666796</c:v>
                </c:pt>
                <c:pt idx="21">
                  <c:v>0.88750000000000195</c:v>
                </c:pt>
                <c:pt idx="22">
                  <c:v>0.88958333333333495</c:v>
                </c:pt>
                <c:pt idx="23">
                  <c:v>0.89166666666666805</c:v>
                </c:pt>
                <c:pt idx="24">
                  <c:v>0.89375000000000204</c:v>
                </c:pt>
                <c:pt idx="25">
                  <c:v>0.89583333333333504</c:v>
                </c:pt>
                <c:pt idx="26">
                  <c:v>0.89791666666666903</c:v>
                </c:pt>
                <c:pt idx="27">
                  <c:v>0.90000000000000202</c:v>
                </c:pt>
                <c:pt idx="28">
                  <c:v>0.90208333333333601</c:v>
                </c:pt>
                <c:pt idx="29">
                  <c:v>0.90416666666666901</c:v>
                </c:pt>
                <c:pt idx="30">
                  <c:v>0.906250000000003</c:v>
                </c:pt>
                <c:pt idx="31">
                  <c:v>0.90833333333333599</c:v>
                </c:pt>
                <c:pt idx="32">
                  <c:v>0.91041666666666898</c:v>
                </c:pt>
                <c:pt idx="33">
                  <c:v>0.91250000000000298</c:v>
                </c:pt>
                <c:pt idx="34">
                  <c:v>0.91458333333333597</c:v>
                </c:pt>
                <c:pt idx="35">
                  <c:v>0.91666666666666996</c:v>
                </c:pt>
                <c:pt idx="36">
                  <c:v>0.91875000000000295</c:v>
                </c:pt>
                <c:pt idx="37">
                  <c:v>0.92083333333333695</c:v>
                </c:pt>
                <c:pt idx="38">
                  <c:v>0.92291666666667005</c:v>
                </c:pt>
                <c:pt idx="39">
                  <c:v>0.92500000000000304</c:v>
                </c:pt>
                <c:pt idx="40">
                  <c:v>0.92708333333333703</c:v>
                </c:pt>
                <c:pt idx="41">
                  <c:v>0.92916666666667003</c:v>
                </c:pt>
                <c:pt idx="42">
                  <c:v>0.93125000000000402</c:v>
                </c:pt>
                <c:pt idx="43">
                  <c:v>0.93333333333333701</c:v>
                </c:pt>
                <c:pt idx="44">
                  <c:v>0.935416666666671</c:v>
                </c:pt>
                <c:pt idx="45">
                  <c:v>0.937500000000004</c:v>
                </c:pt>
                <c:pt idx="46">
                  <c:v>0.93958333333333799</c:v>
                </c:pt>
                <c:pt idx="47">
                  <c:v>0.94166666666667098</c:v>
                </c:pt>
                <c:pt idx="48">
                  <c:v>0.94375000000000397</c:v>
                </c:pt>
                <c:pt idx="49">
                  <c:v>0.94583333333333797</c:v>
                </c:pt>
                <c:pt idx="50">
                  <c:v>0.94791666666667096</c:v>
                </c:pt>
                <c:pt idx="51">
                  <c:v>0.95000000000000495</c:v>
                </c:pt>
                <c:pt idx="52">
                  <c:v>0.95208333333333806</c:v>
                </c:pt>
                <c:pt idx="53">
                  <c:v>0.95416666666667205</c:v>
                </c:pt>
                <c:pt idx="54">
                  <c:v>0.95625000000000504</c:v>
                </c:pt>
                <c:pt idx="55">
                  <c:v>0.95833333333333903</c:v>
                </c:pt>
                <c:pt idx="56">
                  <c:v>0.96041666666667203</c:v>
                </c:pt>
                <c:pt idx="57">
                  <c:v>0.96250000000000602</c:v>
                </c:pt>
                <c:pt idx="58">
                  <c:v>0.96458333333333901</c:v>
                </c:pt>
                <c:pt idx="59">
                  <c:v>0.966666666666673</c:v>
                </c:pt>
                <c:pt idx="60">
                  <c:v>0.968750000000006</c:v>
                </c:pt>
                <c:pt idx="61">
                  <c:v>0.97083333333333899</c:v>
                </c:pt>
                <c:pt idx="62">
                  <c:v>0.97291666666667298</c:v>
                </c:pt>
                <c:pt idx="63">
                  <c:v>0.97500000000000597</c:v>
                </c:pt>
                <c:pt idx="64">
                  <c:v>0.97708333333333997</c:v>
                </c:pt>
                <c:pt idx="65">
                  <c:v>0.97916666666667296</c:v>
                </c:pt>
                <c:pt idx="66">
                  <c:v>0.98125000000000695</c:v>
                </c:pt>
                <c:pt idx="67">
                  <c:v>0.98333333333334005</c:v>
                </c:pt>
                <c:pt idx="68">
                  <c:v>0.98541666666667405</c:v>
                </c:pt>
                <c:pt idx="69">
                  <c:v>0.98750000000000704</c:v>
                </c:pt>
                <c:pt idx="70">
                  <c:v>0.98958333333334003</c:v>
                </c:pt>
                <c:pt idx="71">
                  <c:v>0.99166666666667402</c:v>
                </c:pt>
                <c:pt idx="72">
                  <c:v>0.99375000000000702</c:v>
                </c:pt>
                <c:pt idx="73">
                  <c:v>0.99583333333334101</c:v>
                </c:pt>
                <c:pt idx="74">
                  <c:v>0.997916666666674</c:v>
                </c:pt>
                <c:pt idx="75">
                  <c:v>1.00000000000001</c:v>
                </c:pt>
                <c:pt idx="76">
                  <c:v>1.0020833333333401</c:v>
                </c:pt>
                <c:pt idx="77">
                  <c:v>1.00416666666667</c:v>
                </c:pt>
                <c:pt idx="78">
                  <c:v>1.0062500000000101</c:v>
                </c:pt>
                <c:pt idx="79">
                  <c:v>1.00833333333334</c:v>
                </c:pt>
                <c:pt idx="80">
                  <c:v>1.0104166666666701</c:v>
                </c:pt>
                <c:pt idx="81">
                  <c:v>1.0125000000000099</c:v>
                </c:pt>
                <c:pt idx="82">
                  <c:v>1.0145833333333401</c:v>
                </c:pt>
                <c:pt idx="83">
                  <c:v>1.0166666666666699</c:v>
                </c:pt>
                <c:pt idx="84">
                  <c:v>1.01875000000001</c:v>
                </c:pt>
                <c:pt idx="85">
                  <c:v>1.0208333333333399</c:v>
                </c:pt>
                <c:pt idx="86">
                  <c:v>1.02291666666667</c:v>
                </c:pt>
                <c:pt idx="87">
                  <c:v>1.0250000000000099</c:v>
                </c:pt>
                <c:pt idx="88">
                  <c:v>1.02708333333334</c:v>
                </c:pt>
                <c:pt idx="89">
                  <c:v>1.0291666666666801</c:v>
                </c:pt>
                <c:pt idx="90">
                  <c:v>1.03125000000002</c:v>
                </c:pt>
                <c:pt idx="91">
                  <c:v>1.0333333333333601</c:v>
                </c:pt>
                <c:pt idx="92">
                  <c:v>1.0354166666667</c:v>
                </c:pt>
                <c:pt idx="93">
                  <c:v>1.0375000000000401</c:v>
                </c:pt>
                <c:pt idx="94">
                  <c:v>1.0395833333333799</c:v>
                </c:pt>
                <c:pt idx="95">
                  <c:v>1.04166666666672</c:v>
                </c:pt>
              </c:numCache>
            </c:numRef>
          </c:cat>
          <c:val>
            <c:numRef>
              <c:f>kencana!$S$150:$S$245</c:f>
              <c:numCache>
                <c:formatCode>0.000</c:formatCode>
                <c:ptCount val="96"/>
                <c:pt idx="0">
                  <c:v>70.342187999117527</c:v>
                </c:pt>
                <c:pt idx="1">
                  <c:v>70.342187999117527</c:v>
                </c:pt>
                <c:pt idx="2">
                  <c:v>70.342187999117527</c:v>
                </c:pt>
                <c:pt idx="3">
                  <c:v>70.342187999117527</c:v>
                </c:pt>
                <c:pt idx="4">
                  <c:v>70.342187999117527</c:v>
                </c:pt>
                <c:pt idx="5">
                  <c:v>70.342187999117527</c:v>
                </c:pt>
                <c:pt idx="6">
                  <c:v>70.342187999117527</c:v>
                </c:pt>
                <c:pt idx="7">
                  <c:v>70.342187999117527</c:v>
                </c:pt>
                <c:pt idx="8">
                  <c:v>70.342187999117527</c:v>
                </c:pt>
                <c:pt idx="9">
                  <c:v>70.342187999117527</c:v>
                </c:pt>
                <c:pt idx="10">
                  <c:v>70.342187999117527</c:v>
                </c:pt>
                <c:pt idx="11">
                  <c:v>70.342187999117527</c:v>
                </c:pt>
                <c:pt idx="12">
                  <c:v>70.342187999117527</c:v>
                </c:pt>
                <c:pt idx="13">
                  <c:v>70.342187999117527</c:v>
                </c:pt>
                <c:pt idx="14">
                  <c:v>70.342187999117527</c:v>
                </c:pt>
                <c:pt idx="15">
                  <c:v>70.342187999117527</c:v>
                </c:pt>
                <c:pt idx="16">
                  <c:v>70.342187999117527</c:v>
                </c:pt>
                <c:pt idx="17">
                  <c:v>70.342187999117527</c:v>
                </c:pt>
                <c:pt idx="18">
                  <c:v>70.342187999117527</c:v>
                </c:pt>
                <c:pt idx="19">
                  <c:v>70.342187999117527</c:v>
                </c:pt>
                <c:pt idx="20">
                  <c:v>70.342187999117527</c:v>
                </c:pt>
                <c:pt idx="21">
                  <c:v>70.342187999117527</c:v>
                </c:pt>
                <c:pt idx="22">
                  <c:v>70.342187999117527</c:v>
                </c:pt>
                <c:pt idx="23">
                  <c:v>70.342187999117527</c:v>
                </c:pt>
                <c:pt idx="24">
                  <c:v>70.342187999117527</c:v>
                </c:pt>
                <c:pt idx="25">
                  <c:v>70.342187999117527</c:v>
                </c:pt>
                <c:pt idx="26">
                  <c:v>70.342187999117527</c:v>
                </c:pt>
                <c:pt idx="27">
                  <c:v>70.342187999117527</c:v>
                </c:pt>
                <c:pt idx="28">
                  <c:v>70.342187999117527</c:v>
                </c:pt>
                <c:pt idx="29">
                  <c:v>70.342187999117527</c:v>
                </c:pt>
                <c:pt idx="30">
                  <c:v>70.342187999117527</c:v>
                </c:pt>
                <c:pt idx="31">
                  <c:v>70.342187999117527</c:v>
                </c:pt>
                <c:pt idx="32">
                  <c:v>70.342187999117527</c:v>
                </c:pt>
                <c:pt idx="33">
                  <c:v>70.342187999117527</c:v>
                </c:pt>
                <c:pt idx="34">
                  <c:v>70.342187999117527</c:v>
                </c:pt>
                <c:pt idx="35">
                  <c:v>70.342187999117527</c:v>
                </c:pt>
                <c:pt idx="36">
                  <c:v>70.342187999117527</c:v>
                </c:pt>
                <c:pt idx="37">
                  <c:v>70.342187999117527</c:v>
                </c:pt>
                <c:pt idx="38">
                  <c:v>70.342187999117527</c:v>
                </c:pt>
                <c:pt idx="39">
                  <c:v>70.342187999117527</c:v>
                </c:pt>
                <c:pt idx="40">
                  <c:v>70.342187999117527</c:v>
                </c:pt>
                <c:pt idx="41">
                  <c:v>70.342187999117527</c:v>
                </c:pt>
                <c:pt idx="42">
                  <c:v>70.342187999117527</c:v>
                </c:pt>
                <c:pt idx="43">
                  <c:v>70.342187999117527</c:v>
                </c:pt>
                <c:pt idx="44">
                  <c:v>70.342187999117527</c:v>
                </c:pt>
                <c:pt idx="45">
                  <c:v>70.342187999117527</c:v>
                </c:pt>
                <c:pt idx="46">
                  <c:v>70.342187999117527</c:v>
                </c:pt>
                <c:pt idx="47">
                  <c:v>70.342187999117527</c:v>
                </c:pt>
                <c:pt idx="48">
                  <c:v>70.342187999117527</c:v>
                </c:pt>
                <c:pt idx="49">
                  <c:v>70.342187999117527</c:v>
                </c:pt>
                <c:pt idx="50">
                  <c:v>70.342187999117527</c:v>
                </c:pt>
                <c:pt idx="51">
                  <c:v>70.342187999117527</c:v>
                </c:pt>
                <c:pt idx="52">
                  <c:v>70.342187999117527</c:v>
                </c:pt>
                <c:pt idx="53">
                  <c:v>70.342187999117527</c:v>
                </c:pt>
                <c:pt idx="54">
                  <c:v>70.342187999117527</c:v>
                </c:pt>
                <c:pt idx="55">
                  <c:v>70.342187999117527</c:v>
                </c:pt>
                <c:pt idx="56">
                  <c:v>70.342187999117527</c:v>
                </c:pt>
                <c:pt idx="57">
                  <c:v>70.342187999117527</c:v>
                </c:pt>
                <c:pt idx="58">
                  <c:v>70.342187999117527</c:v>
                </c:pt>
                <c:pt idx="59">
                  <c:v>70.342187999117527</c:v>
                </c:pt>
                <c:pt idx="60">
                  <c:v>70.342187999117527</c:v>
                </c:pt>
                <c:pt idx="61">
                  <c:v>70.342187999117527</c:v>
                </c:pt>
                <c:pt idx="62">
                  <c:v>70.342187999117527</c:v>
                </c:pt>
                <c:pt idx="63">
                  <c:v>70.342187999117527</c:v>
                </c:pt>
                <c:pt idx="64">
                  <c:v>70.342187999117527</c:v>
                </c:pt>
                <c:pt idx="65">
                  <c:v>70.342187999117527</c:v>
                </c:pt>
                <c:pt idx="66">
                  <c:v>70.342187999117527</c:v>
                </c:pt>
                <c:pt idx="67">
                  <c:v>70.342187999117527</c:v>
                </c:pt>
                <c:pt idx="68">
                  <c:v>70.342187999117527</c:v>
                </c:pt>
                <c:pt idx="69">
                  <c:v>70.342187999117527</c:v>
                </c:pt>
                <c:pt idx="70">
                  <c:v>70.342187999117527</c:v>
                </c:pt>
                <c:pt idx="71">
                  <c:v>70.342187999117527</c:v>
                </c:pt>
                <c:pt idx="72">
                  <c:v>70.342187999117527</c:v>
                </c:pt>
                <c:pt idx="73">
                  <c:v>70.342187999117527</c:v>
                </c:pt>
                <c:pt idx="74">
                  <c:v>70.342187999117527</c:v>
                </c:pt>
                <c:pt idx="75">
                  <c:v>70.342187999117527</c:v>
                </c:pt>
                <c:pt idx="76">
                  <c:v>70.342187999117527</c:v>
                </c:pt>
                <c:pt idx="77">
                  <c:v>70.342187999117527</c:v>
                </c:pt>
                <c:pt idx="78">
                  <c:v>70.342187999117527</c:v>
                </c:pt>
                <c:pt idx="79">
                  <c:v>70.342187999117527</c:v>
                </c:pt>
                <c:pt idx="80">
                  <c:v>70.342187999117527</c:v>
                </c:pt>
                <c:pt idx="81">
                  <c:v>70.342187999117527</c:v>
                </c:pt>
                <c:pt idx="82">
                  <c:v>70.342187999117527</c:v>
                </c:pt>
                <c:pt idx="83">
                  <c:v>70.342187999117527</c:v>
                </c:pt>
                <c:pt idx="84">
                  <c:v>70.342187999117527</c:v>
                </c:pt>
                <c:pt idx="85">
                  <c:v>70.342187999117527</c:v>
                </c:pt>
                <c:pt idx="86">
                  <c:v>70.342187999117527</c:v>
                </c:pt>
                <c:pt idx="87">
                  <c:v>70.342187999117527</c:v>
                </c:pt>
                <c:pt idx="88">
                  <c:v>70.342187999117527</c:v>
                </c:pt>
                <c:pt idx="89">
                  <c:v>70.342187999117527</c:v>
                </c:pt>
                <c:pt idx="90">
                  <c:v>70.342187999117527</c:v>
                </c:pt>
                <c:pt idx="91">
                  <c:v>70.342187999117527</c:v>
                </c:pt>
                <c:pt idx="92">
                  <c:v>70.342187999117527</c:v>
                </c:pt>
                <c:pt idx="93">
                  <c:v>70.342187999117527</c:v>
                </c:pt>
                <c:pt idx="94">
                  <c:v>70.342187999117527</c:v>
                </c:pt>
                <c:pt idx="95">
                  <c:v>70.342187999117527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A-4034-81E2-7096927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382624"/>
        <c:axId val="629383608"/>
      </c:lineChart>
      <c:catAx>
        <c:axId val="62938262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9383608"/>
        <c:crosses val="autoZero"/>
        <c:auto val="1"/>
        <c:lblAlgn val="ctr"/>
        <c:lblOffset val="100"/>
        <c:noMultiLvlLbl val="0"/>
      </c:catAx>
      <c:valAx>
        <c:axId val="6293836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93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FOC DF8 P.Bai - Lembar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FOC 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DF8'!$AC$41:$AC$61</c:f>
              <c:numCache>
                <c:formatCode>General</c:formatCode>
                <c:ptCount val="21"/>
                <c:pt idx="0">
                  <c:v>0</c:v>
                </c:pt>
                <c:pt idx="1">
                  <c:v>41</c:v>
                </c:pt>
                <c:pt idx="2">
                  <c:v>81</c:v>
                </c:pt>
                <c:pt idx="3">
                  <c:v>119</c:v>
                </c:pt>
                <c:pt idx="4">
                  <c:v>175</c:v>
                </c:pt>
                <c:pt idx="5">
                  <c:v>217</c:v>
                </c:pt>
                <c:pt idx="6">
                  <c:v>255</c:v>
                </c:pt>
                <c:pt idx="7">
                  <c:v>325</c:v>
                </c:pt>
                <c:pt idx="8">
                  <c:v>367</c:v>
                </c:pt>
                <c:pt idx="9">
                  <c:v>412</c:v>
                </c:pt>
                <c:pt idx="10">
                  <c:v>457</c:v>
                </c:pt>
                <c:pt idx="11">
                  <c:v>497</c:v>
                </c:pt>
                <c:pt idx="12">
                  <c:v>535</c:v>
                </c:pt>
                <c:pt idx="13">
                  <c:v>580</c:v>
                </c:pt>
                <c:pt idx="14">
                  <c:v>627</c:v>
                </c:pt>
                <c:pt idx="15">
                  <c:v>681</c:v>
                </c:pt>
                <c:pt idx="16">
                  <c:v>736</c:v>
                </c:pt>
                <c:pt idx="17">
                  <c:v>795</c:v>
                </c:pt>
                <c:pt idx="18">
                  <c:v>821</c:v>
                </c:pt>
                <c:pt idx="19">
                  <c:v>855</c:v>
                </c:pt>
                <c:pt idx="20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4D0C-94DC-91D0B2E44681}"/>
            </c:ext>
          </c:extLst>
        </c:ser>
        <c:ser>
          <c:idx val="1"/>
          <c:order val="1"/>
          <c:tx>
            <c:v>FOC AE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DF8'!$AD$41:$AD$61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49</c:v>
                </c:pt>
                <c:pt idx="3">
                  <c:v>71</c:v>
                </c:pt>
                <c:pt idx="4">
                  <c:v>95</c:v>
                </c:pt>
                <c:pt idx="5">
                  <c:v>108</c:v>
                </c:pt>
                <c:pt idx="6">
                  <c:v>122</c:v>
                </c:pt>
                <c:pt idx="7">
                  <c:v>136</c:v>
                </c:pt>
                <c:pt idx="8">
                  <c:v>151</c:v>
                </c:pt>
                <c:pt idx="9">
                  <c:v>165</c:v>
                </c:pt>
                <c:pt idx="10">
                  <c:v>179</c:v>
                </c:pt>
                <c:pt idx="11">
                  <c:v>194</c:v>
                </c:pt>
                <c:pt idx="12">
                  <c:v>211</c:v>
                </c:pt>
                <c:pt idx="13">
                  <c:v>226</c:v>
                </c:pt>
                <c:pt idx="14">
                  <c:v>241</c:v>
                </c:pt>
                <c:pt idx="15">
                  <c:v>255</c:v>
                </c:pt>
                <c:pt idx="16">
                  <c:v>268</c:v>
                </c:pt>
                <c:pt idx="17">
                  <c:v>281</c:v>
                </c:pt>
                <c:pt idx="18">
                  <c:v>302</c:v>
                </c:pt>
                <c:pt idx="19">
                  <c:v>325</c:v>
                </c:pt>
                <c:pt idx="20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C-4D0C-94DC-91D0B2E44681}"/>
            </c:ext>
          </c:extLst>
        </c:ser>
        <c:ser>
          <c:idx val="2"/>
          <c:order val="2"/>
          <c:tx>
            <c:v>Kumulatif FOC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DF8'!$AE$41:$AE$61</c:f>
              <c:numCache>
                <c:formatCode>General</c:formatCode>
                <c:ptCount val="21"/>
                <c:pt idx="0">
                  <c:v>0</c:v>
                </c:pt>
                <c:pt idx="1">
                  <c:v>65</c:v>
                </c:pt>
                <c:pt idx="2">
                  <c:v>130</c:v>
                </c:pt>
                <c:pt idx="3">
                  <c:v>190</c:v>
                </c:pt>
                <c:pt idx="4">
                  <c:v>270</c:v>
                </c:pt>
                <c:pt idx="5">
                  <c:v>325</c:v>
                </c:pt>
                <c:pt idx="6">
                  <c:v>377</c:v>
                </c:pt>
                <c:pt idx="7">
                  <c:v>461</c:v>
                </c:pt>
                <c:pt idx="8">
                  <c:v>518</c:v>
                </c:pt>
                <c:pt idx="9">
                  <c:v>577</c:v>
                </c:pt>
                <c:pt idx="10">
                  <c:v>636</c:v>
                </c:pt>
                <c:pt idx="11">
                  <c:v>691</c:v>
                </c:pt>
                <c:pt idx="12">
                  <c:v>746</c:v>
                </c:pt>
                <c:pt idx="13">
                  <c:v>806</c:v>
                </c:pt>
                <c:pt idx="14">
                  <c:v>868</c:v>
                </c:pt>
                <c:pt idx="15">
                  <c:v>936</c:v>
                </c:pt>
                <c:pt idx="16">
                  <c:v>1004</c:v>
                </c:pt>
                <c:pt idx="17">
                  <c:v>1076</c:v>
                </c:pt>
                <c:pt idx="18">
                  <c:v>1123</c:v>
                </c:pt>
                <c:pt idx="19">
                  <c:v>1180</c:v>
                </c:pt>
                <c:pt idx="20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C-4D0C-94DC-91D0B2E4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3932976"/>
        <c:axId val="723933304"/>
      </c:barChart>
      <c:catAx>
        <c:axId val="72393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3933304"/>
        <c:crosses val="autoZero"/>
        <c:auto val="1"/>
        <c:lblAlgn val="ctr"/>
        <c:lblOffset val="100"/>
        <c:noMultiLvlLbl val="0"/>
      </c:catAx>
      <c:valAx>
        <c:axId val="7239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39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FOC DF8 Lembar - P.Bai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DK9'!$T$41:$T$57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65</c:v>
                </c:pt>
                <c:pt idx="3">
                  <c:v>130</c:v>
                </c:pt>
                <c:pt idx="4">
                  <c:v>200</c:v>
                </c:pt>
                <c:pt idx="5">
                  <c:v>325</c:v>
                </c:pt>
                <c:pt idx="6">
                  <c:v>405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655</c:v>
                </c:pt>
                <c:pt idx="11">
                  <c:v>715</c:v>
                </c:pt>
                <c:pt idx="12">
                  <c:v>775</c:v>
                </c:pt>
                <c:pt idx="13">
                  <c:v>805</c:v>
                </c:pt>
                <c:pt idx="14">
                  <c:v>825</c:v>
                </c:pt>
                <c:pt idx="15">
                  <c:v>845</c:v>
                </c:pt>
                <c:pt idx="16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6-4488-A295-469FBEE1D13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DK9'!$U$41:$U$57</c:f>
              <c:numCache>
                <c:formatCode>General</c:formatCode>
                <c:ptCount val="1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200</c:v>
                </c:pt>
                <c:pt idx="13">
                  <c:v>230</c:v>
                </c:pt>
                <c:pt idx="14">
                  <c:v>260</c:v>
                </c:pt>
                <c:pt idx="15">
                  <c:v>290</c:v>
                </c:pt>
                <c:pt idx="16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6-4488-A295-469FBEE1D13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DK9'!$V$41:$V$57</c:f>
              <c:numCache>
                <c:formatCode>General</c:formatCode>
                <c:ptCount val="17"/>
                <c:pt idx="0">
                  <c:v>0</c:v>
                </c:pt>
                <c:pt idx="1">
                  <c:v>35</c:v>
                </c:pt>
                <c:pt idx="2">
                  <c:v>95</c:v>
                </c:pt>
                <c:pt idx="3">
                  <c:v>175</c:v>
                </c:pt>
                <c:pt idx="4">
                  <c:v>260</c:v>
                </c:pt>
                <c:pt idx="5">
                  <c:v>400</c:v>
                </c:pt>
                <c:pt idx="6">
                  <c:v>495</c:v>
                </c:pt>
                <c:pt idx="7">
                  <c:v>590</c:v>
                </c:pt>
                <c:pt idx="8">
                  <c:v>665</c:v>
                </c:pt>
                <c:pt idx="9">
                  <c:v>740</c:v>
                </c:pt>
                <c:pt idx="10">
                  <c:v>805</c:v>
                </c:pt>
                <c:pt idx="11">
                  <c:v>880</c:v>
                </c:pt>
                <c:pt idx="12">
                  <c:v>955</c:v>
                </c:pt>
                <c:pt idx="13">
                  <c:v>1005</c:v>
                </c:pt>
                <c:pt idx="14">
                  <c:v>1055</c:v>
                </c:pt>
                <c:pt idx="15">
                  <c:v>1105</c:v>
                </c:pt>
                <c:pt idx="16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6-4488-A295-469FBEE1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755464"/>
        <c:axId val="680747920"/>
      </c:barChart>
      <c:catAx>
        <c:axId val="68075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0747920"/>
        <c:crosses val="autoZero"/>
        <c:auto val="1"/>
        <c:lblAlgn val="ctr"/>
        <c:lblOffset val="100"/>
        <c:noMultiLvlLbl val="0"/>
      </c:catAx>
      <c:valAx>
        <c:axId val="680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07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FOC DF8 P.Bai - Lembar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DK9'!$AC$41:$AC$60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140</c:v>
                </c:pt>
                <c:pt idx="6">
                  <c:v>240</c:v>
                </c:pt>
                <c:pt idx="7">
                  <c:v>295</c:v>
                </c:pt>
                <c:pt idx="8">
                  <c:v>345</c:v>
                </c:pt>
                <c:pt idx="9">
                  <c:v>395</c:v>
                </c:pt>
                <c:pt idx="10">
                  <c:v>445</c:v>
                </c:pt>
                <c:pt idx="11">
                  <c:v>495</c:v>
                </c:pt>
                <c:pt idx="12">
                  <c:v>515</c:v>
                </c:pt>
                <c:pt idx="13">
                  <c:v>615</c:v>
                </c:pt>
                <c:pt idx="14">
                  <c:v>665</c:v>
                </c:pt>
                <c:pt idx="15">
                  <c:v>690</c:v>
                </c:pt>
                <c:pt idx="16">
                  <c:v>720</c:v>
                </c:pt>
                <c:pt idx="17">
                  <c:v>750</c:v>
                </c:pt>
                <c:pt idx="18">
                  <c:v>770</c:v>
                </c:pt>
                <c:pt idx="1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2-4639-8E4B-9E8D94C00BD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DK9'!$AD$41:$AD$60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285</c:v>
                </c:pt>
                <c:pt idx="1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2-4639-8E4B-9E8D94C00BD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'FOC REAL DK9'!$AE$41:$AE$60</c:f>
              <c:numCache>
                <c:formatCode>General</c:formatCode>
                <c:ptCount val="2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125</c:v>
                </c:pt>
                <c:pt idx="4">
                  <c:v>160</c:v>
                </c:pt>
                <c:pt idx="5">
                  <c:v>215</c:v>
                </c:pt>
                <c:pt idx="6">
                  <c:v>330</c:v>
                </c:pt>
                <c:pt idx="7">
                  <c:v>400</c:v>
                </c:pt>
                <c:pt idx="8">
                  <c:v>465</c:v>
                </c:pt>
                <c:pt idx="9">
                  <c:v>530</c:v>
                </c:pt>
                <c:pt idx="10">
                  <c:v>595</c:v>
                </c:pt>
                <c:pt idx="11">
                  <c:v>660</c:v>
                </c:pt>
                <c:pt idx="12">
                  <c:v>695</c:v>
                </c:pt>
                <c:pt idx="13">
                  <c:v>810</c:v>
                </c:pt>
                <c:pt idx="14">
                  <c:v>875</c:v>
                </c:pt>
                <c:pt idx="15">
                  <c:v>915</c:v>
                </c:pt>
                <c:pt idx="16">
                  <c:v>960</c:v>
                </c:pt>
                <c:pt idx="17">
                  <c:v>1005</c:v>
                </c:pt>
                <c:pt idx="18">
                  <c:v>1055</c:v>
                </c:pt>
                <c:pt idx="19">
                  <c:v>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2-4639-8E4B-9E8D94C00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3932976"/>
        <c:axId val="723933304"/>
      </c:barChart>
      <c:catAx>
        <c:axId val="72393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3933304"/>
        <c:crosses val="autoZero"/>
        <c:auto val="1"/>
        <c:lblAlgn val="ctr"/>
        <c:lblOffset val="100"/>
        <c:noMultiLvlLbl val="0"/>
      </c:catAx>
      <c:valAx>
        <c:axId val="7239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39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DF8 Lembar-Pbai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RF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Sheet3!$C$4:$C$107</c:f>
              <c:numCache>
                <c:formatCode>0.0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6.3954858739204715E-2</c:v>
                </c:pt>
                <c:pt idx="3">
                  <c:v>9.7587286753705593E-2</c:v>
                </c:pt>
                <c:pt idx="4">
                  <c:v>0.13102923810754422</c:v>
                </c:pt>
                <c:pt idx="5">
                  <c:v>0.16314641936258187</c:v>
                </c:pt>
                <c:pt idx="6">
                  <c:v>0.19686386447023752</c:v>
                </c:pt>
                <c:pt idx="7">
                  <c:v>0.23416902510135743</c:v>
                </c:pt>
                <c:pt idx="8">
                  <c:v>0.27069622350358963</c:v>
                </c:pt>
                <c:pt idx="9">
                  <c:v>0.33164347214123219</c:v>
                </c:pt>
                <c:pt idx="10">
                  <c:v>0.69125465540991093</c:v>
                </c:pt>
                <c:pt idx="11">
                  <c:v>1.033171602564515</c:v>
                </c:pt>
                <c:pt idx="12">
                  <c:v>1.4182746672606108</c:v>
                </c:pt>
                <c:pt idx="13">
                  <c:v>1.702246580445375</c:v>
                </c:pt>
                <c:pt idx="14">
                  <c:v>2.0159660288298134</c:v>
                </c:pt>
                <c:pt idx="15">
                  <c:v>2.3816274556787751</c:v>
                </c:pt>
                <c:pt idx="16">
                  <c:v>2.765096711803988</c:v>
                </c:pt>
                <c:pt idx="17">
                  <c:v>3.1557339628892787</c:v>
                </c:pt>
                <c:pt idx="18">
                  <c:v>3.6899993693765287</c:v>
                </c:pt>
                <c:pt idx="19">
                  <c:v>4.1283945221423179</c:v>
                </c:pt>
                <c:pt idx="20">
                  <c:v>4.4971784064742053</c:v>
                </c:pt>
                <c:pt idx="21">
                  <c:v>4.9484819724972811</c:v>
                </c:pt>
                <c:pt idx="22">
                  <c:v>5.4133210795136195</c:v>
                </c:pt>
                <c:pt idx="23">
                  <c:v>5.8149032816022306</c:v>
                </c:pt>
                <c:pt idx="24">
                  <c:v>6.1778969879112138</c:v>
                </c:pt>
                <c:pt idx="25">
                  <c:v>6.5423621251104178</c:v>
                </c:pt>
                <c:pt idx="26">
                  <c:v>7.0017085566684418</c:v>
                </c:pt>
                <c:pt idx="27">
                  <c:v>7.3302350736752278</c:v>
                </c:pt>
                <c:pt idx="28">
                  <c:v>8.007907620648961</c:v>
                </c:pt>
                <c:pt idx="29">
                  <c:v>8.4384460627118933</c:v>
                </c:pt>
                <c:pt idx="30">
                  <c:v>8.9253220341412085</c:v>
                </c:pt>
                <c:pt idx="31">
                  <c:v>9.3593819700926986</c:v>
                </c:pt>
                <c:pt idx="32">
                  <c:v>9.9384686215033025</c:v>
                </c:pt>
                <c:pt idx="33">
                  <c:v>10.368980251490324</c:v>
                </c:pt>
                <c:pt idx="34">
                  <c:v>10.808870944951959</c:v>
                </c:pt>
                <c:pt idx="35">
                  <c:v>11.256247051490442</c:v>
                </c:pt>
                <c:pt idx="36">
                  <c:v>11.965719865130266</c:v>
                </c:pt>
                <c:pt idx="37">
                  <c:v>12.433581689359659</c:v>
                </c:pt>
                <c:pt idx="38">
                  <c:v>12.875880789034554</c:v>
                </c:pt>
                <c:pt idx="39">
                  <c:v>13.355789526109151</c:v>
                </c:pt>
                <c:pt idx="40">
                  <c:v>13.791327580663873</c:v>
                </c:pt>
                <c:pt idx="41">
                  <c:v>14.248210978889658</c:v>
                </c:pt>
                <c:pt idx="42">
                  <c:v>14.668958531360573</c:v>
                </c:pt>
                <c:pt idx="43">
                  <c:v>15.149927383109311</c:v>
                </c:pt>
                <c:pt idx="44">
                  <c:v>15.422071524789148</c:v>
                </c:pt>
                <c:pt idx="45">
                  <c:v>15.903612502327386</c:v>
                </c:pt>
                <c:pt idx="46">
                  <c:v>16.359312731183334</c:v>
                </c:pt>
                <c:pt idx="47">
                  <c:v>16.800625606076885</c:v>
                </c:pt>
                <c:pt idx="48">
                  <c:v>17.252479296665815</c:v>
                </c:pt>
                <c:pt idx="49">
                  <c:v>17.669559323893964</c:v>
                </c:pt>
                <c:pt idx="50">
                  <c:v>18.096320523967012</c:v>
                </c:pt>
                <c:pt idx="51">
                  <c:v>18.47707452927612</c:v>
                </c:pt>
                <c:pt idx="52">
                  <c:v>18.886905407286172</c:v>
                </c:pt>
                <c:pt idx="53">
                  <c:v>19.340622303138158</c:v>
                </c:pt>
                <c:pt idx="54">
                  <c:v>19.809304235549963</c:v>
                </c:pt>
                <c:pt idx="55">
                  <c:v>20.157803958457698</c:v>
                </c:pt>
                <c:pt idx="56">
                  <c:v>20.546228736737206</c:v>
                </c:pt>
                <c:pt idx="57">
                  <c:v>21.18813395027674</c:v>
                </c:pt>
                <c:pt idx="58">
                  <c:v>21.60818294046701</c:v>
                </c:pt>
                <c:pt idx="59">
                  <c:v>22.023161942012642</c:v>
                </c:pt>
                <c:pt idx="60">
                  <c:v>22.488211053207579</c:v>
                </c:pt>
                <c:pt idx="61">
                  <c:v>22.871853174012791</c:v>
                </c:pt>
                <c:pt idx="62">
                  <c:v>23.28154011226232</c:v>
                </c:pt>
                <c:pt idx="63">
                  <c:v>23.681154989347998</c:v>
                </c:pt>
                <c:pt idx="64">
                  <c:v>24.240735951980604</c:v>
                </c:pt>
                <c:pt idx="65">
                  <c:v>24.564491755961978</c:v>
                </c:pt>
                <c:pt idx="66">
                  <c:v>24.975957406706197</c:v>
                </c:pt>
                <c:pt idx="67">
                  <c:v>25.404519516320686</c:v>
                </c:pt>
                <c:pt idx="68">
                  <c:v>25.977435752882389</c:v>
                </c:pt>
                <c:pt idx="69">
                  <c:v>26.389954959163962</c:v>
                </c:pt>
                <c:pt idx="70">
                  <c:v>26.869361773754285</c:v>
                </c:pt>
                <c:pt idx="71">
                  <c:v>27.260276324415617</c:v>
                </c:pt>
                <c:pt idx="72">
                  <c:v>27.67042074719199</c:v>
                </c:pt>
                <c:pt idx="73">
                  <c:v>28.073645408811114</c:v>
                </c:pt>
                <c:pt idx="74">
                  <c:v>28.494413671058137</c:v>
                </c:pt>
                <c:pt idx="75">
                  <c:v>29.008639182837282</c:v>
                </c:pt>
                <c:pt idx="76">
                  <c:v>29.440445706070392</c:v>
                </c:pt>
                <c:pt idx="77">
                  <c:v>29.83914181540932</c:v>
                </c:pt>
                <c:pt idx="78">
                  <c:v>30.134174884746699</c:v>
                </c:pt>
                <c:pt idx="79">
                  <c:v>30.903452056770373</c:v>
                </c:pt>
                <c:pt idx="80">
                  <c:v>31.349625442703413</c:v>
                </c:pt>
                <c:pt idx="81">
                  <c:v>31.822399298948778</c:v>
                </c:pt>
                <c:pt idx="82">
                  <c:v>32.266270786504727</c:v>
                </c:pt>
                <c:pt idx="83">
                  <c:v>32.685464238875142</c:v>
                </c:pt>
                <c:pt idx="84">
                  <c:v>33.119458427398527</c:v>
                </c:pt>
                <c:pt idx="85">
                  <c:v>33.662087386699952</c:v>
                </c:pt>
                <c:pt idx="86">
                  <c:v>34.080499801376376</c:v>
                </c:pt>
                <c:pt idx="87">
                  <c:v>34.487374096205684</c:v>
                </c:pt>
                <c:pt idx="88">
                  <c:v>35.021731397301814</c:v>
                </c:pt>
                <c:pt idx="89">
                  <c:v>35.491333483409576</c:v>
                </c:pt>
                <c:pt idx="90">
                  <c:v>35.910097959313454</c:v>
                </c:pt>
                <c:pt idx="91">
                  <c:v>36.304874894720328</c:v>
                </c:pt>
                <c:pt idx="92">
                  <c:v>36.773709911202033</c:v>
                </c:pt>
                <c:pt idx="93">
                  <c:v>37.126506669335853</c:v>
                </c:pt>
                <c:pt idx="94">
                  <c:v>37.402255002407529</c:v>
                </c:pt>
                <c:pt idx="95">
                  <c:v>37.515640870392659</c:v>
                </c:pt>
                <c:pt idx="96">
                  <c:v>37.515640870392659</c:v>
                </c:pt>
                <c:pt idx="97">
                  <c:v>37.515640870392659</c:v>
                </c:pt>
                <c:pt idx="98">
                  <c:v>37.515640870392659</c:v>
                </c:pt>
                <c:pt idx="99">
                  <c:v>37.541218725583732</c:v>
                </c:pt>
                <c:pt idx="100">
                  <c:v>37.541218725583732</c:v>
                </c:pt>
                <c:pt idx="101">
                  <c:v>37.541218725583732</c:v>
                </c:pt>
                <c:pt idx="102">
                  <c:v>37.541218725583732</c:v>
                </c:pt>
                <c:pt idx="103">
                  <c:v>37.541218725583732</c:v>
                </c:pt>
              </c:numCache>
            </c:numRef>
          </c:xVal>
          <c:yVal>
            <c:numRef>
              <c:f>Sheet3!$E$4:$E$107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 formatCode="0.0">
                  <c:v>454.41164481246574</c:v>
                </c:pt>
                <c:pt idx="3" formatCode="0.0">
                  <c:v>357.02257102882203</c:v>
                </c:pt>
                <c:pt idx="4" formatCode="0.0">
                  <c:v>353.33254453406749</c:v>
                </c:pt>
                <c:pt idx="5" formatCode="0.0">
                  <c:v>328.15050121888657</c:v>
                </c:pt>
                <c:pt idx="6" formatCode="0.0">
                  <c:v>358.67518229579105</c:v>
                </c:pt>
                <c:pt idx="7" formatCode="0.0">
                  <c:v>431.55001888320965</c:v>
                </c:pt>
                <c:pt idx="8" formatCode="0.0">
                  <c:v>415.23036600954725</c:v>
                </c:pt>
                <c:pt idx="9" formatCode="0.0">
                  <c:v>1058.6300125873556</c:v>
                </c:pt>
                <c:pt idx="10" formatCode="0.0">
                  <c:v>24795.667306691012</c:v>
                </c:pt>
                <c:pt idx="11" formatCode="0.0">
                  <c:v>22802.168982007588</c:v>
                </c:pt>
                <c:pt idx="12" formatCode="0.0">
                  <c:v>27750.152548059352</c:v>
                </c:pt>
                <c:pt idx="13" formatCode="0.0">
                  <c:v>12399.828644985388</c:v>
                </c:pt>
                <c:pt idx="14" formatCode="0.0">
                  <c:v>12416.600602132881</c:v>
                </c:pt>
                <c:pt idx="15" formatCode="0.0">
                  <c:v>16534.521214759374</c:v>
                </c:pt>
                <c:pt idx="16" formatCode="0.0">
                  <c:v>18073.499226665335</c:v>
                </c:pt>
                <c:pt idx="17" formatCode="0.0">
                  <c:v>22007.967383677442</c:v>
                </c:pt>
                <c:pt idx="18" formatCode="0.0">
                  <c:v>38220.901799309955</c:v>
                </c:pt>
                <c:pt idx="19" formatCode="0.0">
                  <c:v>27014.921251588956</c:v>
                </c:pt>
                <c:pt idx="20" formatCode="0.0">
                  <c:v>19856.178301654603</c:v>
                </c:pt>
                <c:pt idx="21" formatCode="0.0">
                  <c:v>28436.941656416951</c:v>
                </c:pt>
                <c:pt idx="22" formatCode="0.0">
                  <c:v>29958.210917394084</c:v>
                </c:pt>
                <c:pt idx="23" formatCode="0.0">
                  <c:v>23119.157964727179</c:v>
                </c:pt>
                <c:pt idx="24" formatCode="0.0">
                  <c:v>39499.35983013636</c:v>
                </c:pt>
                <c:pt idx="25" formatCode="0.0">
                  <c:v>19441.678429578948</c:v>
                </c:pt>
                <c:pt idx="26" formatCode="0.0">
                  <c:v>29337.205326355812</c:v>
                </c:pt>
                <c:pt idx="27" formatCode="0.0">
                  <c:v>16134.197323618971</c:v>
                </c:pt>
                <c:pt idx="28" formatCode="0.0">
                  <c:v>57408.597076310332</c:v>
                </c:pt>
                <c:pt idx="29" formatCode="0.0">
                  <c:v>26163.416361818494</c:v>
                </c:pt>
                <c:pt idx="30" formatCode="0.0">
                  <c:v>32499.247482877407</c:v>
                </c:pt>
                <c:pt idx="31" formatCode="0.0">
                  <c:v>26543.750347445632</c:v>
                </c:pt>
                <c:pt idx="32" formatCode="0.0">
                  <c:v>43933.950694732877</c:v>
                </c:pt>
                <c:pt idx="33" formatCode="0.0">
                  <c:v>26160.528841561259</c:v>
                </c:pt>
                <c:pt idx="34" formatCode="0.0">
                  <c:v>27178.215304584362</c:v>
                </c:pt>
                <c:pt idx="35" formatCode="0.0">
                  <c:v>28001.282705915793</c:v>
                </c:pt>
                <c:pt idx="36" formatCode="0.0">
                  <c:v>30988.898554703199</c:v>
                </c:pt>
                <c:pt idx="37" formatCode="0.0">
                  <c:v>30302.085646611846</c:v>
                </c:pt>
                <c:pt idx="38" formatCode="0.0">
                  <c:v>27441.98984671892</c:v>
                </c:pt>
                <c:pt idx="39" formatCode="0.0">
                  <c:v>31687.393754026605</c:v>
                </c:pt>
                <c:pt idx="40" formatCode="0.0">
                  <c:v>26704.033917797857</c:v>
                </c:pt>
                <c:pt idx="41" formatCode="0.0">
                  <c:v>29060.360272157712</c:v>
                </c:pt>
                <c:pt idx="42" formatCode="0.0">
                  <c:v>25117.368502283047</c:v>
                </c:pt>
                <c:pt idx="43" formatCode="0.0">
                  <c:v>31810.422442444047</c:v>
                </c:pt>
                <c:pt idx="44" formatCode="0.0">
                  <c:v>11479.530186786424</c:v>
                </c:pt>
                <c:pt idx="45" formatCode="0.0">
                  <c:v>31876.893818335251</c:v>
                </c:pt>
                <c:pt idx="46" formatCode="0.0">
                  <c:v>28927.732046316298</c:v>
                </c:pt>
                <c:pt idx="47" formatCode="0.0">
                  <c:v>27333.855876237834</c:v>
                </c:pt>
                <c:pt idx="48" formatCode="0.0">
                  <c:v>28498.173028874095</c:v>
                </c:pt>
                <c:pt idx="49" formatCode="0.0">
                  <c:v>24729.891644538733</c:v>
                </c:pt>
                <c:pt idx="50" formatCode="0.0">
                  <c:v>25757.864934624569</c:v>
                </c:pt>
                <c:pt idx="51" formatCode="0.0">
                  <c:v>21023.659459299368</c:v>
                </c:pt>
                <c:pt idx="52" formatCode="0.0">
                  <c:v>23971.076320644956</c:v>
                </c:pt>
                <c:pt idx="53" formatCode="0.0">
                  <c:v>28705.93470276221</c:v>
                </c:pt>
                <c:pt idx="54" formatCode="0.0">
                  <c:v>30395.642712143883</c:v>
                </c:pt>
                <c:pt idx="55" formatCode="0.0">
                  <c:v>17940.799114514255</c:v>
                </c:pt>
                <c:pt idx="56" formatCode="0.0">
                  <c:v>21786.034680531073</c:v>
                </c:pt>
                <c:pt idx="57" formatCode="0.0">
                  <c:v>52386.450709784265</c:v>
                </c:pt>
                <c:pt idx="58" formatCode="0.0">
                  <c:v>25043.380748695832</c:v>
                </c:pt>
                <c:pt idx="59" formatCode="0.0">
                  <c:v>24508.995436867997</c:v>
                </c:pt>
                <c:pt idx="60" formatCode="0.0">
                  <c:v>29982.053123999667</c:v>
                </c:pt>
                <c:pt idx="61" formatCode="0.0">
                  <c:v>21309.406397791332</c:v>
                </c:pt>
                <c:pt idx="62" formatCode="0.0">
                  <c:v>23956.104740641676</c:v>
                </c:pt>
                <c:pt idx="63" formatCode="0.0">
                  <c:v>22917.802007746228</c:v>
                </c:pt>
                <c:pt idx="64" formatCode="0.0">
                  <c:v>41413.321417646825</c:v>
                </c:pt>
                <c:pt idx="65" formatCode="0.0">
                  <c:v>15714.593058936376</c:v>
                </c:pt>
                <c:pt idx="66" formatCode="0.0">
                  <c:v>24141.375423189067</c:v>
                </c:pt>
                <c:pt idx="67" formatCode="0.0">
                  <c:v>25950.912019981173</c:v>
                </c:pt>
                <c:pt idx="68" formatCode="0.0">
                  <c:v>43130.993324993884</c:v>
                </c:pt>
                <c:pt idx="69" formatCode="0.0">
                  <c:v>24251.382027730229</c:v>
                </c:pt>
                <c:pt idx="70" formatCode="0.0">
                  <c:v>31629.207477506658</c:v>
                </c:pt>
                <c:pt idx="71" formatCode="0.0">
                  <c:v>22035.847381415471</c:v>
                </c:pt>
                <c:pt idx="72" formatCode="0.0">
                  <c:v>24003.701917886625</c:v>
                </c:pt>
                <c:pt idx="73" formatCode="0.0">
                  <c:v>23287.805052217798</c:v>
                </c:pt>
                <c:pt idx="74" formatCode="0.0">
                  <c:v>25119.563284043605</c:v>
                </c:pt>
                <c:pt idx="75" formatCode="0.0">
                  <c:v>35759.738800732448</c:v>
                </c:pt>
                <c:pt idx="76" formatCode="0.0">
                  <c:v>26300.125153374636</c:v>
                </c:pt>
                <c:pt idx="77" formatCode="0.0">
                  <c:v>22824.008602911847</c:v>
                </c:pt>
                <c:pt idx="78" formatCode="0.0">
                  <c:v>13287.86852014444</c:v>
                </c:pt>
                <c:pt idx="79" formatCode="0.0">
                  <c:v>35865.772347830898</c:v>
                </c:pt>
                <c:pt idx="80" formatCode="0.0">
                  <c:v>27868.391970372566</c:v>
                </c:pt>
                <c:pt idx="81" formatCode="0.0">
                  <c:v>30864.087753171596</c:v>
                </c:pt>
                <c:pt idx="82" formatCode="0.0">
                  <c:v>27614.73737276937</c:v>
                </c:pt>
                <c:pt idx="83" formatCode="0.0">
                  <c:v>24952.884935004739</c:v>
                </c:pt>
                <c:pt idx="84" formatCode="0.0">
                  <c:v>26536.629651335872</c:v>
                </c:pt>
                <c:pt idx="85" formatCode="0.0">
                  <c:v>39265.482123844537</c:v>
                </c:pt>
                <c:pt idx="86" formatCode="0.0">
                  <c:v>24870.382968543941</c:v>
                </c:pt>
                <c:pt idx="87" formatCode="0.0">
                  <c:v>23664.304224808711</c:v>
                </c:pt>
                <c:pt idx="88" formatCode="0.0">
                  <c:v>38232.324076894343</c:v>
                </c:pt>
                <c:pt idx="89" formatCode="0.0">
                  <c:v>30500.743972741078</c:v>
                </c:pt>
                <c:pt idx="90" formatCode="0.0">
                  <c:v>24907.558209000443</c:v>
                </c:pt>
                <c:pt idx="91" formatCode="0.0">
                  <c:v>22425.656156854406</c:v>
                </c:pt>
                <c:pt idx="92" formatCode="0.0">
                  <c:v>30413.118582699706</c:v>
                </c:pt>
                <c:pt idx="93" formatCode="0.0">
                  <c:v>18339.851105570357</c:v>
                </c:pt>
                <c:pt idx="94" formatCode="0.0">
                  <c:v>11756.731233815131</c:v>
                </c:pt>
                <c:pt idx="95" formatCode="0.0">
                  <c:v>2313.7211841959111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">
                  <c:v>150.14254402542232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0-4F99-8AD5-60DC76558A40}"/>
            </c:ext>
          </c:extLst>
        </c:ser>
        <c:ser>
          <c:idx val="1"/>
          <c:order val="1"/>
          <c:tx>
            <c:v>RAPP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Sheet3!$C$4:$C$107</c:f>
              <c:numCache>
                <c:formatCode>0.0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6.3954858739204715E-2</c:v>
                </c:pt>
                <c:pt idx="3">
                  <c:v>9.7587286753705593E-2</c:v>
                </c:pt>
                <c:pt idx="4">
                  <c:v>0.13102923810754422</c:v>
                </c:pt>
                <c:pt idx="5">
                  <c:v>0.16314641936258187</c:v>
                </c:pt>
                <c:pt idx="6">
                  <c:v>0.19686386447023752</c:v>
                </c:pt>
                <c:pt idx="7">
                  <c:v>0.23416902510135743</c:v>
                </c:pt>
                <c:pt idx="8">
                  <c:v>0.27069622350358963</c:v>
                </c:pt>
                <c:pt idx="9">
                  <c:v>0.33164347214123219</c:v>
                </c:pt>
                <c:pt idx="10">
                  <c:v>0.69125465540991093</c:v>
                </c:pt>
                <c:pt idx="11">
                  <c:v>1.033171602564515</c:v>
                </c:pt>
                <c:pt idx="12">
                  <c:v>1.4182746672606108</c:v>
                </c:pt>
                <c:pt idx="13">
                  <c:v>1.702246580445375</c:v>
                </c:pt>
                <c:pt idx="14">
                  <c:v>2.0159660288298134</c:v>
                </c:pt>
                <c:pt idx="15">
                  <c:v>2.3816274556787751</c:v>
                </c:pt>
                <c:pt idx="16">
                  <c:v>2.765096711803988</c:v>
                </c:pt>
                <c:pt idx="17">
                  <c:v>3.1557339628892787</c:v>
                </c:pt>
                <c:pt idx="18">
                  <c:v>3.6899993693765287</c:v>
                </c:pt>
                <c:pt idx="19">
                  <c:v>4.1283945221423179</c:v>
                </c:pt>
                <c:pt idx="20">
                  <c:v>4.4971784064742053</c:v>
                </c:pt>
                <c:pt idx="21">
                  <c:v>4.9484819724972811</c:v>
                </c:pt>
                <c:pt idx="22">
                  <c:v>5.4133210795136195</c:v>
                </c:pt>
                <c:pt idx="23">
                  <c:v>5.8149032816022306</c:v>
                </c:pt>
                <c:pt idx="24">
                  <c:v>6.1778969879112138</c:v>
                </c:pt>
                <c:pt idx="25">
                  <c:v>6.5423621251104178</c:v>
                </c:pt>
                <c:pt idx="26">
                  <c:v>7.0017085566684418</c:v>
                </c:pt>
                <c:pt idx="27">
                  <c:v>7.3302350736752278</c:v>
                </c:pt>
                <c:pt idx="28">
                  <c:v>8.007907620648961</c:v>
                </c:pt>
                <c:pt idx="29">
                  <c:v>8.4384460627118933</c:v>
                </c:pt>
                <c:pt idx="30">
                  <c:v>8.9253220341412085</c:v>
                </c:pt>
                <c:pt idx="31">
                  <c:v>9.3593819700926986</c:v>
                </c:pt>
                <c:pt idx="32">
                  <c:v>9.9384686215033025</c:v>
                </c:pt>
                <c:pt idx="33">
                  <c:v>10.368980251490324</c:v>
                </c:pt>
                <c:pt idx="34">
                  <c:v>10.808870944951959</c:v>
                </c:pt>
                <c:pt idx="35">
                  <c:v>11.256247051490442</c:v>
                </c:pt>
                <c:pt idx="36">
                  <c:v>11.965719865130266</c:v>
                </c:pt>
                <c:pt idx="37">
                  <c:v>12.433581689359659</c:v>
                </c:pt>
                <c:pt idx="38">
                  <c:v>12.875880789034554</c:v>
                </c:pt>
                <c:pt idx="39">
                  <c:v>13.355789526109151</c:v>
                </c:pt>
                <c:pt idx="40">
                  <c:v>13.791327580663873</c:v>
                </c:pt>
                <c:pt idx="41">
                  <c:v>14.248210978889658</c:v>
                </c:pt>
                <c:pt idx="42">
                  <c:v>14.668958531360573</c:v>
                </c:pt>
                <c:pt idx="43">
                  <c:v>15.149927383109311</c:v>
                </c:pt>
                <c:pt idx="44">
                  <c:v>15.422071524789148</c:v>
                </c:pt>
                <c:pt idx="45">
                  <c:v>15.903612502327386</c:v>
                </c:pt>
                <c:pt idx="46">
                  <c:v>16.359312731183334</c:v>
                </c:pt>
                <c:pt idx="47">
                  <c:v>16.800625606076885</c:v>
                </c:pt>
                <c:pt idx="48">
                  <c:v>17.252479296665815</c:v>
                </c:pt>
                <c:pt idx="49">
                  <c:v>17.669559323893964</c:v>
                </c:pt>
                <c:pt idx="50">
                  <c:v>18.096320523967012</c:v>
                </c:pt>
                <c:pt idx="51">
                  <c:v>18.47707452927612</c:v>
                </c:pt>
                <c:pt idx="52">
                  <c:v>18.886905407286172</c:v>
                </c:pt>
                <c:pt idx="53">
                  <c:v>19.340622303138158</c:v>
                </c:pt>
                <c:pt idx="54">
                  <c:v>19.809304235549963</c:v>
                </c:pt>
                <c:pt idx="55">
                  <c:v>20.157803958457698</c:v>
                </c:pt>
                <c:pt idx="56">
                  <c:v>20.546228736737206</c:v>
                </c:pt>
                <c:pt idx="57">
                  <c:v>21.18813395027674</c:v>
                </c:pt>
                <c:pt idx="58">
                  <c:v>21.60818294046701</c:v>
                </c:pt>
                <c:pt idx="59">
                  <c:v>22.023161942012642</c:v>
                </c:pt>
                <c:pt idx="60">
                  <c:v>22.488211053207579</c:v>
                </c:pt>
                <c:pt idx="61">
                  <c:v>22.871853174012791</c:v>
                </c:pt>
                <c:pt idx="62">
                  <c:v>23.28154011226232</c:v>
                </c:pt>
                <c:pt idx="63">
                  <c:v>23.681154989347998</c:v>
                </c:pt>
                <c:pt idx="64">
                  <c:v>24.240735951980604</c:v>
                </c:pt>
                <c:pt idx="65">
                  <c:v>24.564491755961978</c:v>
                </c:pt>
                <c:pt idx="66">
                  <c:v>24.975957406706197</c:v>
                </c:pt>
                <c:pt idx="67">
                  <c:v>25.404519516320686</c:v>
                </c:pt>
                <c:pt idx="68">
                  <c:v>25.977435752882389</c:v>
                </c:pt>
                <c:pt idx="69">
                  <c:v>26.389954959163962</c:v>
                </c:pt>
                <c:pt idx="70">
                  <c:v>26.869361773754285</c:v>
                </c:pt>
                <c:pt idx="71">
                  <c:v>27.260276324415617</c:v>
                </c:pt>
                <c:pt idx="72">
                  <c:v>27.67042074719199</c:v>
                </c:pt>
                <c:pt idx="73">
                  <c:v>28.073645408811114</c:v>
                </c:pt>
                <c:pt idx="74">
                  <c:v>28.494413671058137</c:v>
                </c:pt>
                <c:pt idx="75">
                  <c:v>29.008639182837282</c:v>
                </c:pt>
                <c:pt idx="76">
                  <c:v>29.440445706070392</c:v>
                </c:pt>
                <c:pt idx="77">
                  <c:v>29.83914181540932</c:v>
                </c:pt>
                <c:pt idx="78">
                  <c:v>30.134174884746699</c:v>
                </c:pt>
                <c:pt idx="79">
                  <c:v>30.903452056770373</c:v>
                </c:pt>
                <c:pt idx="80">
                  <c:v>31.349625442703413</c:v>
                </c:pt>
                <c:pt idx="81">
                  <c:v>31.822399298948778</c:v>
                </c:pt>
                <c:pt idx="82">
                  <c:v>32.266270786504727</c:v>
                </c:pt>
                <c:pt idx="83">
                  <c:v>32.685464238875142</c:v>
                </c:pt>
                <c:pt idx="84">
                  <c:v>33.119458427398527</c:v>
                </c:pt>
                <c:pt idx="85">
                  <c:v>33.662087386699952</c:v>
                </c:pt>
                <c:pt idx="86">
                  <c:v>34.080499801376376</c:v>
                </c:pt>
                <c:pt idx="87">
                  <c:v>34.487374096205684</c:v>
                </c:pt>
                <c:pt idx="88">
                  <c:v>35.021731397301814</c:v>
                </c:pt>
                <c:pt idx="89">
                  <c:v>35.491333483409576</c:v>
                </c:pt>
                <c:pt idx="90">
                  <c:v>35.910097959313454</c:v>
                </c:pt>
                <c:pt idx="91">
                  <c:v>36.304874894720328</c:v>
                </c:pt>
                <c:pt idx="92">
                  <c:v>36.773709911202033</c:v>
                </c:pt>
                <c:pt idx="93">
                  <c:v>37.126506669335853</c:v>
                </c:pt>
                <c:pt idx="94">
                  <c:v>37.402255002407529</c:v>
                </c:pt>
                <c:pt idx="95">
                  <c:v>37.515640870392659</c:v>
                </c:pt>
                <c:pt idx="96">
                  <c:v>37.515640870392659</c:v>
                </c:pt>
                <c:pt idx="97">
                  <c:v>37.515640870392659</c:v>
                </c:pt>
                <c:pt idx="98">
                  <c:v>37.515640870392659</c:v>
                </c:pt>
                <c:pt idx="99">
                  <c:v>37.541218725583732</c:v>
                </c:pt>
                <c:pt idx="100">
                  <c:v>37.541218725583732</c:v>
                </c:pt>
                <c:pt idx="101">
                  <c:v>37.541218725583732</c:v>
                </c:pt>
                <c:pt idx="102">
                  <c:v>37.541218725583732</c:v>
                </c:pt>
                <c:pt idx="103">
                  <c:v>37.541218725583732</c:v>
                </c:pt>
              </c:numCache>
            </c:numRef>
          </c:xVal>
          <c:yVal>
            <c:numRef>
              <c:f>Sheet3!$F$4:$F$107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 formatCode="0.0">
                  <c:v>11.766821263910169</c:v>
                </c:pt>
                <c:pt idx="3" formatCode="0.0">
                  <c:v>9.2449672635734697</c:v>
                </c:pt>
                <c:pt idx="4" formatCode="0.0">
                  <c:v>9.1494153939888143</c:v>
                </c:pt>
                <c:pt idx="5" formatCode="0.0">
                  <c:v>8.4973357078001701</c:v>
                </c:pt>
                <c:pt idx="6" formatCode="0.0">
                  <c:v>9.2877610203337611</c:v>
                </c:pt>
                <c:pt idx="7" formatCode="0.0">
                  <c:v>11.174827926629055</c:v>
                </c:pt>
                <c:pt idx="8" formatCode="0.0">
                  <c:v>10.752236558987731</c:v>
                </c:pt>
                <c:pt idx="9" formatCode="0.0">
                  <c:v>27.412832142246771</c:v>
                </c:pt>
                <c:pt idx="10" formatCode="0.0">
                  <c:v>642.07462253223048</c:v>
                </c:pt>
                <c:pt idx="11" formatCode="0.0">
                  <c:v>590.45372165031119</c:v>
                </c:pt>
                <c:pt idx="12" formatCode="0.0">
                  <c:v>718.57992374736352</c:v>
                </c:pt>
                <c:pt idx="13" formatCode="0.0">
                  <c:v>321.08897083584122</c:v>
                </c:pt>
                <c:pt idx="14" formatCode="0.0">
                  <c:v>321.52327445515527</c:v>
                </c:pt>
                <c:pt idx="15" formatCode="0.0">
                  <c:v>428.15530376361318</c:v>
                </c:pt>
                <c:pt idx="16" formatCode="0.0">
                  <c:v>468.0065694649108</c:v>
                </c:pt>
                <c:pt idx="17" formatCode="0.0">
                  <c:v>569.88816537166588</c:v>
                </c:pt>
                <c:pt idx="18" formatCode="0.0">
                  <c:v>989.71609806247034</c:v>
                </c:pt>
                <c:pt idx="19" formatCode="0.0">
                  <c:v>699.54138159739182</c:v>
                </c:pt>
                <c:pt idx="20" formatCode="0.0">
                  <c:v>514.16838394695014</c:v>
                </c:pt>
                <c:pt idx="21" formatCode="0.0">
                  <c:v>736.36407337534945</c:v>
                </c:pt>
                <c:pt idx="22" formatCode="0.0">
                  <c:v>775.75677752928038</c:v>
                </c:pt>
                <c:pt idx="23" formatCode="0.0">
                  <c:v>598.66203396992501</c:v>
                </c:pt>
                <c:pt idx="24" formatCode="0.0">
                  <c:v>1022.8212953299239</c:v>
                </c:pt>
                <c:pt idx="25" formatCode="0.0">
                  <c:v>503.43506325786285</c:v>
                </c:pt>
                <c:pt idx="26" formatCode="0.0">
                  <c:v>759.67606772121223</c:v>
                </c:pt>
                <c:pt idx="27" formatCode="0.0">
                  <c:v>417.78906485117034</c:v>
                </c:pt>
                <c:pt idx="28" formatCode="0.0">
                  <c:v>1486.5743616397924</c:v>
                </c:pt>
                <c:pt idx="29" formatCode="0.0">
                  <c:v>677.49197780755367</c:v>
                </c:pt>
                <c:pt idx="30" formatCode="0.0">
                  <c:v>841.55597839140205</c:v>
                </c:pt>
                <c:pt idx="31" formatCode="0.0">
                  <c:v>687.34058551942712</c:v>
                </c:pt>
                <c:pt idx="32" formatCode="0.0">
                  <c:v>1137.6533835432685</c:v>
                </c:pt>
                <c:pt idx="33" formatCode="0.0">
                  <c:v>677.41720653980417</c:v>
                </c:pt>
                <c:pt idx="34" formatCode="0.0">
                  <c:v>703.76982062837089</c:v>
                </c:pt>
                <c:pt idx="35" formatCode="0.0">
                  <c:v>725.08284618610037</c:v>
                </c:pt>
                <c:pt idx="36" formatCode="0.0">
                  <c:v>805.17957223759004</c:v>
                </c:pt>
                <c:pt idx="37" formatCode="0.0">
                  <c:v>784.66128629808804</c:v>
                </c:pt>
                <c:pt idx="38" formatCode="0.0">
                  <c:v>710.60016471549932</c:v>
                </c:pt>
                <c:pt idx="39" formatCode="0.0">
                  <c:v>820.53332672989188</c:v>
                </c:pt>
                <c:pt idx="40" formatCode="0.0">
                  <c:v>691.49106921720806</c:v>
                </c:pt>
                <c:pt idx="41" formatCode="0.0">
                  <c:v>752.50726756449319</c:v>
                </c:pt>
                <c:pt idx="42" formatCode="0.0">
                  <c:v>650.40495585914141</c:v>
                </c:pt>
                <c:pt idx="43" formatCode="0.0">
                  <c:v>823.71910905626407</c:v>
                </c:pt>
                <c:pt idx="44" formatCode="0.0">
                  <c:v>297.25818306730059</c:v>
                </c:pt>
                <c:pt idx="45" formatCode="0.0">
                  <c:v>825.44036071917151</c:v>
                </c:pt>
                <c:pt idx="46" formatCode="0.0">
                  <c:v>749.07290877144442</c:v>
                </c:pt>
                <c:pt idx="47" formatCode="0.0">
                  <c:v>707.8000755942511</c:v>
                </c:pt>
                <c:pt idx="48" formatCode="0.0">
                  <c:v>737.94963708981925</c:v>
                </c:pt>
                <c:pt idx="49" formatCode="0.0">
                  <c:v>640.37138611895466</c:v>
                </c:pt>
                <c:pt idx="50" formatCode="0.0">
                  <c:v>666.99037378487515</c:v>
                </c:pt>
                <c:pt idx="51" formatCode="0.0">
                  <c:v>544.39987618051373</c:v>
                </c:pt>
                <c:pt idx="52" formatCode="0.0">
                  <c:v>620.72214431253235</c:v>
                </c:pt>
                <c:pt idx="53" formatCode="0.0">
                  <c:v>743.32954869648836</c:v>
                </c:pt>
                <c:pt idx="54" formatCode="0.0">
                  <c:v>787.08391186382551</c:v>
                </c:pt>
                <c:pt idx="55" formatCode="0.0">
                  <c:v>464.5703492024943</c:v>
                </c:pt>
                <c:pt idx="56" formatCode="0.0">
                  <c:v>564.14130021019423</c:v>
                </c:pt>
                <c:pt idx="57" formatCode="0.0">
                  <c:v>1356.5277412885553</c:v>
                </c:pt>
                <c:pt idx="58" formatCode="0.0">
                  <c:v>648.4890703792737</c:v>
                </c:pt>
                <c:pt idx="59" formatCode="0.0">
                  <c:v>634.65136062398778</c:v>
                </c:pt>
                <c:pt idx="60" formatCode="0.0">
                  <c:v>776.3741626400448</c:v>
                </c:pt>
                <c:pt idx="61" formatCode="0.0">
                  <c:v>551.79918733446118</c:v>
                </c:pt>
                <c:pt idx="62" formatCode="0.0">
                  <c:v>620.33446079264888</c:v>
                </c:pt>
                <c:pt idx="63" formatCode="0.0">
                  <c:v>593.44799603039053</c:v>
                </c:pt>
                <c:pt idx="64" formatCode="0.0">
                  <c:v>1072.382621856932</c:v>
                </c:pt>
                <c:pt idx="65" formatCode="0.0">
                  <c:v>406.92356780579371</c:v>
                </c:pt>
                <c:pt idx="66" formatCode="0.0">
                  <c:v>625.13197650745303</c:v>
                </c:pt>
                <c:pt idx="67" formatCode="0.0">
                  <c:v>671.98925657065286</c:v>
                </c:pt>
                <c:pt idx="68" formatCode="0.0">
                  <c:v>1116.8610998064437</c:v>
                </c:pt>
                <c:pt idx="69" formatCode="0.0">
                  <c:v>627.98055679420975</c:v>
                </c:pt>
                <c:pt idx="70" formatCode="0.0">
                  <c:v>819.02661464705045</c:v>
                </c:pt>
                <c:pt idx="71" formatCode="0.0">
                  <c:v>570.61010758852285</c:v>
                </c:pt>
                <c:pt idx="72" formatCode="0.0">
                  <c:v>621.56697207113757</c:v>
                </c:pt>
                <c:pt idx="73" formatCode="0.0">
                  <c:v>603.02908784681256</c:v>
                </c:pt>
                <c:pt idx="74" formatCode="0.0">
                  <c:v>650.46178892005571</c:v>
                </c:pt>
                <c:pt idx="75" formatCode="0.0">
                  <c:v>925.98519363645698</c:v>
                </c:pt>
                <c:pt idx="76" formatCode="0.0">
                  <c:v>681.03200133866312</c:v>
                </c:pt>
                <c:pt idx="77" formatCode="0.0">
                  <c:v>591.01925054594062</c:v>
                </c:pt>
                <c:pt idx="78" formatCode="0.0">
                  <c:v>344.08443454261777</c:v>
                </c:pt>
                <c:pt idx="79" formatCode="0.0">
                  <c:v>935.04293181133005</c:v>
                </c:pt>
                <c:pt idx="80" formatCode="0.0">
                  <c:v>721.64168980153624</c:v>
                </c:pt>
                <c:pt idx="81" formatCode="0.0">
                  <c:v>799.21412272585781</c:v>
                </c:pt>
                <c:pt idx="82" formatCode="0.0">
                  <c:v>715.07339793041206</c:v>
                </c:pt>
                <c:pt idx="83" formatCode="0.0">
                  <c:v>646.14571479630968</c:v>
                </c:pt>
                <c:pt idx="84" formatCode="0.0">
                  <c:v>687.15619773061337</c:v>
                </c:pt>
                <c:pt idx="85" formatCode="0.0">
                  <c:v>1016.7651187354951</c:v>
                </c:pt>
                <c:pt idx="86" formatCode="0.0">
                  <c:v>644.00935692707844</c:v>
                </c:pt>
                <c:pt idx="87" formatCode="0.0">
                  <c:v>612.77839449522742</c:v>
                </c:pt>
                <c:pt idx="88" formatCode="0.0">
                  <c:v>990.01187371060041</c:v>
                </c:pt>
                <c:pt idx="89" formatCode="0.0">
                  <c:v>789.80547008570863</c:v>
                </c:pt>
                <c:pt idx="90" formatCode="0.0">
                  <c:v>644.97199601190016</c:v>
                </c:pt>
                <c:pt idx="91" formatCode="0.0">
                  <c:v>580.70406147385211</c:v>
                </c:pt>
                <c:pt idx="92" formatCode="0.0">
                  <c:v>787.53644306017384</c:v>
                </c:pt>
                <c:pt idx="93" formatCode="0.0">
                  <c:v>474.90365273326637</c:v>
                </c:pt>
                <c:pt idx="94" formatCode="0.0">
                  <c:v>304.43620152653637</c:v>
                </c:pt>
                <c:pt idx="95" formatCode="0.0">
                  <c:v>11.766821263910169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">
                  <c:v>3.8878855764909361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0-4F99-8AD5-60DC76558A40}"/>
            </c:ext>
          </c:extLst>
        </c:ser>
        <c:ser>
          <c:idx val="2"/>
          <c:order val="2"/>
          <c:tx>
            <c:v>RW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Sheet3!$C$4:$C$107</c:f>
              <c:numCache>
                <c:formatCode>0.0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6.3954858739204715E-2</c:v>
                </c:pt>
                <c:pt idx="3">
                  <c:v>9.7587286753705593E-2</c:v>
                </c:pt>
                <c:pt idx="4">
                  <c:v>0.13102923810754422</c:v>
                </c:pt>
                <c:pt idx="5">
                  <c:v>0.16314641936258187</c:v>
                </c:pt>
                <c:pt idx="6">
                  <c:v>0.19686386447023752</c:v>
                </c:pt>
                <c:pt idx="7">
                  <c:v>0.23416902510135743</c:v>
                </c:pt>
                <c:pt idx="8">
                  <c:v>0.27069622350358963</c:v>
                </c:pt>
                <c:pt idx="9">
                  <c:v>0.33164347214123219</c:v>
                </c:pt>
                <c:pt idx="10">
                  <c:v>0.69125465540991093</c:v>
                </c:pt>
                <c:pt idx="11">
                  <c:v>1.033171602564515</c:v>
                </c:pt>
                <c:pt idx="12">
                  <c:v>1.4182746672606108</c:v>
                </c:pt>
                <c:pt idx="13">
                  <c:v>1.702246580445375</c:v>
                </c:pt>
                <c:pt idx="14">
                  <c:v>2.0159660288298134</c:v>
                </c:pt>
                <c:pt idx="15">
                  <c:v>2.3816274556787751</c:v>
                </c:pt>
                <c:pt idx="16">
                  <c:v>2.765096711803988</c:v>
                </c:pt>
                <c:pt idx="17">
                  <c:v>3.1557339628892787</c:v>
                </c:pt>
                <c:pt idx="18">
                  <c:v>3.6899993693765287</c:v>
                </c:pt>
                <c:pt idx="19">
                  <c:v>4.1283945221423179</c:v>
                </c:pt>
                <c:pt idx="20">
                  <c:v>4.4971784064742053</c:v>
                </c:pt>
                <c:pt idx="21">
                  <c:v>4.9484819724972811</c:v>
                </c:pt>
                <c:pt idx="22">
                  <c:v>5.4133210795136195</c:v>
                </c:pt>
                <c:pt idx="23">
                  <c:v>5.8149032816022306</c:v>
                </c:pt>
                <c:pt idx="24">
                  <c:v>6.1778969879112138</c:v>
                </c:pt>
                <c:pt idx="25">
                  <c:v>6.5423621251104178</c:v>
                </c:pt>
                <c:pt idx="26">
                  <c:v>7.0017085566684418</c:v>
                </c:pt>
                <c:pt idx="27">
                  <c:v>7.3302350736752278</c:v>
                </c:pt>
                <c:pt idx="28">
                  <c:v>8.007907620648961</c:v>
                </c:pt>
                <c:pt idx="29">
                  <c:v>8.4384460627118933</c:v>
                </c:pt>
                <c:pt idx="30">
                  <c:v>8.9253220341412085</c:v>
                </c:pt>
                <c:pt idx="31">
                  <c:v>9.3593819700926986</c:v>
                </c:pt>
                <c:pt idx="32">
                  <c:v>9.9384686215033025</c:v>
                </c:pt>
                <c:pt idx="33">
                  <c:v>10.368980251490324</c:v>
                </c:pt>
                <c:pt idx="34">
                  <c:v>10.808870944951959</c:v>
                </c:pt>
                <c:pt idx="35">
                  <c:v>11.256247051490442</c:v>
                </c:pt>
                <c:pt idx="36">
                  <c:v>11.965719865130266</c:v>
                </c:pt>
                <c:pt idx="37">
                  <c:v>12.433581689359659</c:v>
                </c:pt>
                <c:pt idx="38">
                  <c:v>12.875880789034554</c:v>
                </c:pt>
                <c:pt idx="39">
                  <c:v>13.355789526109151</c:v>
                </c:pt>
                <c:pt idx="40">
                  <c:v>13.791327580663873</c:v>
                </c:pt>
                <c:pt idx="41">
                  <c:v>14.248210978889658</c:v>
                </c:pt>
                <c:pt idx="42">
                  <c:v>14.668958531360573</c:v>
                </c:pt>
                <c:pt idx="43">
                  <c:v>15.149927383109311</c:v>
                </c:pt>
                <c:pt idx="44">
                  <c:v>15.422071524789148</c:v>
                </c:pt>
                <c:pt idx="45">
                  <c:v>15.903612502327386</c:v>
                </c:pt>
                <c:pt idx="46">
                  <c:v>16.359312731183334</c:v>
                </c:pt>
                <c:pt idx="47">
                  <c:v>16.800625606076885</c:v>
                </c:pt>
                <c:pt idx="48">
                  <c:v>17.252479296665815</c:v>
                </c:pt>
                <c:pt idx="49">
                  <c:v>17.669559323893964</c:v>
                </c:pt>
                <c:pt idx="50">
                  <c:v>18.096320523967012</c:v>
                </c:pt>
                <c:pt idx="51">
                  <c:v>18.47707452927612</c:v>
                </c:pt>
                <c:pt idx="52">
                  <c:v>18.886905407286172</c:v>
                </c:pt>
                <c:pt idx="53">
                  <c:v>19.340622303138158</c:v>
                </c:pt>
                <c:pt idx="54">
                  <c:v>19.809304235549963</c:v>
                </c:pt>
                <c:pt idx="55">
                  <c:v>20.157803958457698</c:v>
                </c:pt>
                <c:pt idx="56">
                  <c:v>20.546228736737206</c:v>
                </c:pt>
                <c:pt idx="57">
                  <c:v>21.18813395027674</c:v>
                </c:pt>
                <c:pt idx="58">
                  <c:v>21.60818294046701</c:v>
                </c:pt>
                <c:pt idx="59">
                  <c:v>22.023161942012642</c:v>
                </c:pt>
                <c:pt idx="60">
                  <c:v>22.488211053207579</c:v>
                </c:pt>
                <c:pt idx="61">
                  <c:v>22.871853174012791</c:v>
                </c:pt>
                <c:pt idx="62">
                  <c:v>23.28154011226232</c:v>
                </c:pt>
                <c:pt idx="63">
                  <c:v>23.681154989347998</c:v>
                </c:pt>
                <c:pt idx="64">
                  <c:v>24.240735951980604</c:v>
                </c:pt>
                <c:pt idx="65">
                  <c:v>24.564491755961978</c:v>
                </c:pt>
                <c:pt idx="66">
                  <c:v>24.975957406706197</c:v>
                </c:pt>
                <c:pt idx="67">
                  <c:v>25.404519516320686</c:v>
                </c:pt>
                <c:pt idx="68">
                  <c:v>25.977435752882389</c:v>
                </c:pt>
                <c:pt idx="69">
                  <c:v>26.389954959163962</c:v>
                </c:pt>
                <c:pt idx="70">
                  <c:v>26.869361773754285</c:v>
                </c:pt>
                <c:pt idx="71">
                  <c:v>27.260276324415617</c:v>
                </c:pt>
                <c:pt idx="72">
                  <c:v>27.67042074719199</c:v>
                </c:pt>
                <c:pt idx="73">
                  <c:v>28.073645408811114</c:v>
                </c:pt>
                <c:pt idx="74">
                  <c:v>28.494413671058137</c:v>
                </c:pt>
                <c:pt idx="75">
                  <c:v>29.008639182837282</c:v>
                </c:pt>
                <c:pt idx="76">
                  <c:v>29.440445706070392</c:v>
                </c:pt>
                <c:pt idx="77">
                  <c:v>29.83914181540932</c:v>
                </c:pt>
                <c:pt idx="78">
                  <c:v>30.134174884746699</c:v>
                </c:pt>
                <c:pt idx="79">
                  <c:v>30.903452056770373</c:v>
                </c:pt>
                <c:pt idx="80">
                  <c:v>31.349625442703413</c:v>
                </c:pt>
                <c:pt idx="81">
                  <c:v>31.822399298948778</c:v>
                </c:pt>
                <c:pt idx="82">
                  <c:v>32.266270786504727</c:v>
                </c:pt>
                <c:pt idx="83">
                  <c:v>32.685464238875142</c:v>
                </c:pt>
                <c:pt idx="84">
                  <c:v>33.119458427398527</c:v>
                </c:pt>
                <c:pt idx="85">
                  <c:v>33.662087386699952</c:v>
                </c:pt>
                <c:pt idx="86">
                  <c:v>34.080499801376376</c:v>
                </c:pt>
                <c:pt idx="87">
                  <c:v>34.487374096205684</c:v>
                </c:pt>
                <c:pt idx="88">
                  <c:v>35.021731397301814</c:v>
                </c:pt>
                <c:pt idx="89">
                  <c:v>35.491333483409576</c:v>
                </c:pt>
                <c:pt idx="90">
                  <c:v>35.910097959313454</c:v>
                </c:pt>
                <c:pt idx="91">
                  <c:v>36.304874894720328</c:v>
                </c:pt>
                <c:pt idx="92">
                  <c:v>36.773709911202033</c:v>
                </c:pt>
                <c:pt idx="93">
                  <c:v>37.126506669335853</c:v>
                </c:pt>
                <c:pt idx="94">
                  <c:v>37.402255002407529</c:v>
                </c:pt>
                <c:pt idx="95">
                  <c:v>37.515640870392659</c:v>
                </c:pt>
                <c:pt idx="96">
                  <c:v>37.515640870392659</c:v>
                </c:pt>
                <c:pt idx="97">
                  <c:v>37.515640870392659</c:v>
                </c:pt>
                <c:pt idx="98">
                  <c:v>37.515640870392659</c:v>
                </c:pt>
                <c:pt idx="99">
                  <c:v>37.541218725583732</c:v>
                </c:pt>
                <c:pt idx="100">
                  <c:v>37.541218725583732</c:v>
                </c:pt>
                <c:pt idx="101">
                  <c:v>37.541218725583732</c:v>
                </c:pt>
                <c:pt idx="102">
                  <c:v>37.541218725583732</c:v>
                </c:pt>
                <c:pt idx="103">
                  <c:v>37.541218725583732</c:v>
                </c:pt>
              </c:numCache>
            </c:numRef>
          </c:xVal>
          <c:yVal>
            <c:numRef>
              <c:f>Sheet3!$G$4:$G$107</c:f>
              <c:numCache>
                <c:formatCode>0.0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9.5701622711639867E-29</c:v>
                </c:pt>
                <c:pt idx="3">
                  <c:v>2.6945189440529431E-33</c:v>
                </c:pt>
                <c:pt idx="4">
                  <c:v>1.6675277877383775E-33</c:v>
                </c:pt>
                <c:pt idx="5">
                  <c:v>5.1012668195472365E-35</c:v>
                </c:pt>
                <c:pt idx="6">
                  <c:v>3.3325697460948441E-33</c:v>
                </c:pt>
                <c:pt idx="7">
                  <c:v>1.1272521000222766E-29</c:v>
                </c:pt>
                <c:pt idx="8">
                  <c:v>2.2016843737364955E-30</c:v>
                </c:pt>
                <c:pt idx="9">
                  <c:v>1.8809222555243114E-16</c:v>
                </c:pt>
                <c:pt idx="10">
                  <c:v>1353.6998082499447</c:v>
                </c:pt>
                <c:pt idx="11">
                  <c:v>814.09667179997598</c:v>
                </c:pt>
                <c:pt idx="12">
                  <c:v>2614.5271623123649</c:v>
                </c:pt>
                <c:pt idx="13">
                  <c:v>11.265318421783006</c:v>
                </c:pt>
                <c:pt idx="14">
                  <c:v>11.389632341575924</c:v>
                </c:pt>
                <c:pt idx="15">
                  <c:v>99.086066593985493</c:v>
                </c:pt>
                <c:pt idx="16">
                  <c:v>182.65626985552481</c:v>
                </c:pt>
                <c:pt idx="17">
                  <c:v>653.52874001407793</c:v>
                </c:pt>
                <c:pt idx="18">
                  <c:v>14113.767969880229</c:v>
                </c:pt>
                <c:pt idx="19">
                  <c:v>2240.6653160239134</c:v>
                </c:pt>
                <c:pt idx="20">
                  <c:v>339.89339510084983</c:v>
                </c:pt>
                <c:pt idx="21">
                  <c:v>3004.2509000687842</c:v>
                </c:pt>
                <c:pt idx="22">
                  <c:v>4019.1561450805007</c:v>
                </c:pt>
                <c:pt idx="23">
                  <c:v>886.15646422552277</c:v>
                </c:pt>
                <c:pt idx="24">
                  <c:v>16485.981509593996</c:v>
                </c:pt>
                <c:pt idx="25">
                  <c:v>296.31594190586901</c:v>
                </c:pt>
                <c:pt idx="26">
                  <c:v>3578.5219395579625</c:v>
                </c:pt>
                <c:pt idx="27">
                  <c:v>83.341950076972793</c:v>
                </c:pt>
                <c:pt idx="28">
                  <c:v>75694.632889925444</c:v>
                </c:pt>
                <c:pt idx="29">
                  <c:v>1859.7978972127451</c:v>
                </c:pt>
                <c:pt idx="30">
                  <c:v>6239.0405538646555</c:v>
                </c:pt>
                <c:pt idx="31">
                  <c:v>2023.2793464484923</c:v>
                </c:pt>
                <c:pt idx="32">
                  <c:v>26594.539965248478</c:v>
                </c:pt>
                <c:pt idx="33">
                  <c:v>1858.5965143013659</c:v>
                </c:pt>
                <c:pt idx="34">
                  <c:v>2319.9762149425501</c:v>
                </c:pt>
                <c:pt idx="35">
                  <c:v>2752.3600393267225</c:v>
                </c:pt>
                <c:pt idx="36">
                  <c:v>49474.286914924101</c:v>
                </c:pt>
                <c:pt idx="37">
                  <c:v>4279.5281033979345</c:v>
                </c:pt>
                <c:pt idx="38">
                  <c:v>2452.5368005535188</c:v>
                </c:pt>
                <c:pt idx="39">
                  <c:v>5453.2256013139367</c:v>
                </c:pt>
                <c:pt idx="40">
                  <c:v>2095.3500864011503</c:v>
                </c:pt>
                <c:pt idx="41">
                  <c:v>3393.9842289480866</c:v>
                </c:pt>
                <c:pt idx="42">
                  <c:v>1461.8286506468573</c:v>
                </c:pt>
                <c:pt idx="43">
                  <c:v>5567.5151110016022</c:v>
                </c:pt>
                <c:pt idx="44">
                  <c:v>5.949653382642647</c:v>
                </c:pt>
                <c:pt idx="45">
                  <c:v>5629.9689595649788</c:v>
                </c:pt>
                <c:pt idx="46">
                  <c:v>3308.1090919167409</c:v>
                </c:pt>
                <c:pt idx="47">
                  <c:v>2397.5225795735828</c:v>
                </c:pt>
                <c:pt idx="48">
                  <c:v>3040.9819505563537</c:v>
                </c:pt>
                <c:pt idx="49">
                  <c:v>1332.371916344156</c:v>
                </c:pt>
                <c:pt idx="50">
                  <c:v>1696.7710919244601</c:v>
                </c:pt>
                <c:pt idx="51">
                  <c:v>490.14516724385675</c:v>
                </c:pt>
                <c:pt idx="52">
                  <c:v>1104.5967724170478</c:v>
                </c:pt>
                <c:pt idx="53">
                  <c:v>3168.1012572269742</c:v>
                </c:pt>
                <c:pt idx="54">
                  <c:v>4352.4378739025524</c:v>
                </c:pt>
                <c:pt idx="55">
                  <c:v>173.79946063739473</c:v>
                </c:pt>
                <c:pt idx="56">
                  <c:v>613.43106570307657</c:v>
                </c:pt>
                <c:pt idx="57">
                  <c:v>54190.213147032722</c:v>
                </c:pt>
                <c:pt idx="58">
                  <c:v>1436.3918899511027</c:v>
                </c:pt>
                <c:pt idx="59">
                  <c:v>1262.6369652969945</c:v>
                </c:pt>
                <c:pt idx="60">
                  <c:v>4036.8263330217992</c:v>
                </c:pt>
                <c:pt idx="61">
                  <c:v>533.82883743458331</c:v>
                </c:pt>
                <c:pt idx="62">
                  <c:v>1100.4291319667479</c:v>
                </c:pt>
                <c:pt idx="63">
                  <c:v>839.83217642531872</c:v>
                </c:pt>
                <c:pt idx="64">
                  <c:v>20485.805226525394</c:v>
                </c:pt>
                <c:pt idx="65">
                  <c:v>69.030479186051039</c:v>
                </c:pt>
                <c:pt idx="66">
                  <c:v>1152.869362428683</c:v>
                </c:pt>
                <c:pt idx="67">
                  <c:v>1772.9509315681519</c:v>
                </c:pt>
                <c:pt idx="68">
                  <c:v>24543.602042336825</c:v>
                </c:pt>
                <c:pt idx="69">
                  <c:v>1184.909346460797</c:v>
                </c:pt>
                <c:pt idx="70">
                  <c:v>5399.7591677618511</c:v>
                </c:pt>
                <c:pt idx="71">
                  <c:v>658.70752874288019</c:v>
                </c:pt>
                <c:pt idx="72">
                  <c:v>1113.7211482429614</c:v>
                </c:pt>
                <c:pt idx="73">
                  <c:v>926.46687146132297</c:v>
                </c:pt>
                <c:pt idx="74">
                  <c:v>1462.5884621118823</c:v>
                </c:pt>
                <c:pt idx="75">
                  <c:v>10197.313559401189</c:v>
                </c:pt>
                <c:pt idx="76">
                  <c:v>1917.3571308556477</c:v>
                </c:pt>
                <c:pt idx="77">
                  <c:v>818.90956497846446</c:v>
                </c:pt>
                <c:pt idx="78">
                  <c:v>19.567929241130784</c:v>
                </c:pt>
                <c:pt idx="79">
                  <c:v>75679.478259430005</c:v>
                </c:pt>
                <c:pt idx="80">
                  <c:v>2678.7630590957319</c:v>
                </c:pt>
                <c:pt idx="81">
                  <c:v>4731.1010462429822</c:v>
                </c:pt>
                <c:pt idx="82">
                  <c:v>2542.3858557548401</c:v>
                </c:pt>
                <c:pt idx="83">
                  <c:v>1405.7441861176608</c:v>
                </c:pt>
                <c:pt idx="84">
                  <c:v>2020.1218038019256</c:v>
                </c:pt>
                <c:pt idx="85">
                  <c:v>16034.302087627029</c:v>
                </c:pt>
                <c:pt idx="86">
                  <c:v>1378.2446827000999</c:v>
                </c:pt>
                <c:pt idx="87">
                  <c:v>1021.6073670783549</c:v>
                </c:pt>
                <c:pt idx="88">
                  <c:v>14133.920114572193</c:v>
                </c:pt>
                <c:pt idx="89">
                  <c:v>4435.4139815501649</c:v>
                </c:pt>
                <c:pt idx="90">
                  <c:v>1390.5841345704243</c:v>
                </c:pt>
                <c:pt idx="91">
                  <c:v>734.53753141647269</c:v>
                </c:pt>
                <c:pt idx="92">
                  <c:v>4366.1561885263818</c:v>
                </c:pt>
                <c:pt idx="93">
                  <c:v>201.50291342507523</c:v>
                </c:pt>
                <c:pt idx="94">
                  <c:v>7.2676953367120456</c:v>
                </c:pt>
                <c:pt idx="95">
                  <c:v>7.7676253827935234E-9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6.3861270902119429E-55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20-4F99-8AD5-60DC76558A40}"/>
            </c:ext>
          </c:extLst>
        </c:ser>
        <c:ser>
          <c:idx val="3"/>
          <c:order val="3"/>
          <c:tx>
            <c:v>RA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Sheet3!$C$4:$C$107</c:f>
              <c:numCache>
                <c:formatCode>0.0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6.3954858739204715E-2</c:v>
                </c:pt>
                <c:pt idx="3">
                  <c:v>9.7587286753705593E-2</c:v>
                </c:pt>
                <c:pt idx="4">
                  <c:v>0.13102923810754422</c:v>
                </c:pt>
                <c:pt idx="5">
                  <c:v>0.16314641936258187</c:v>
                </c:pt>
                <c:pt idx="6">
                  <c:v>0.19686386447023752</c:v>
                </c:pt>
                <c:pt idx="7">
                  <c:v>0.23416902510135743</c:v>
                </c:pt>
                <c:pt idx="8">
                  <c:v>0.27069622350358963</c:v>
                </c:pt>
                <c:pt idx="9">
                  <c:v>0.33164347214123219</c:v>
                </c:pt>
                <c:pt idx="10">
                  <c:v>0.69125465540991093</c:v>
                </c:pt>
                <c:pt idx="11">
                  <c:v>1.033171602564515</c:v>
                </c:pt>
                <c:pt idx="12">
                  <c:v>1.4182746672606108</c:v>
                </c:pt>
                <c:pt idx="13">
                  <c:v>1.702246580445375</c:v>
                </c:pt>
                <c:pt idx="14">
                  <c:v>2.0159660288298134</c:v>
                </c:pt>
                <c:pt idx="15">
                  <c:v>2.3816274556787751</c:v>
                </c:pt>
                <c:pt idx="16">
                  <c:v>2.765096711803988</c:v>
                </c:pt>
                <c:pt idx="17">
                  <c:v>3.1557339628892787</c:v>
                </c:pt>
                <c:pt idx="18">
                  <c:v>3.6899993693765287</c:v>
                </c:pt>
                <c:pt idx="19">
                  <c:v>4.1283945221423179</c:v>
                </c:pt>
                <c:pt idx="20">
                  <c:v>4.4971784064742053</c:v>
                </c:pt>
                <c:pt idx="21">
                  <c:v>4.9484819724972811</c:v>
                </c:pt>
                <c:pt idx="22">
                  <c:v>5.4133210795136195</c:v>
                </c:pt>
                <c:pt idx="23">
                  <c:v>5.8149032816022306</c:v>
                </c:pt>
                <c:pt idx="24">
                  <c:v>6.1778969879112138</c:v>
                </c:pt>
                <c:pt idx="25">
                  <c:v>6.5423621251104178</c:v>
                </c:pt>
                <c:pt idx="26">
                  <c:v>7.0017085566684418</c:v>
                </c:pt>
                <c:pt idx="27">
                  <c:v>7.3302350736752278</c:v>
                </c:pt>
                <c:pt idx="28">
                  <c:v>8.007907620648961</c:v>
                </c:pt>
                <c:pt idx="29">
                  <c:v>8.4384460627118933</c:v>
                </c:pt>
                <c:pt idx="30">
                  <c:v>8.9253220341412085</c:v>
                </c:pt>
                <c:pt idx="31">
                  <c:v>9.3593819700926986</c:v>
                </c:pt>
                <c:pt idx="32">
                  <c:v>9.9384686215033025</c:v>
                </c:pt>
                <c:pt idx="33">
                  <c:v>10.368980251490324</c:v>
                </c:pt>
                <c:pt idx="34">
                  <c:v>10.808870944951959</c:v>
                </c:pt>
                <c:pt idx="35">
                  <c:v>11.256247051490442</c:v>
                </c:pt>
                <c:pt idx="36">
                  <c:v>11.965719865130266</c:v>
                </c:pt>
                <c:pt idx="37">
                  <c:v>12.433581689359659</c:v>
                </c:pt>
                <c:pt idx="38">
                  <c:v>12.875880789034554</c:v>
                </c:pt>
                <c:pt idx="39">
                  <c:v>13.355789526109151</c:v>
                </c:pt>
                <c:pt idx="40">
                  <c:v>13.791327580663873</c:v>
                </c:pt>
                <c:pt idx="41">
                  <c:v>14.248210978889658</c:v>
                </c:pt>
                <c:pt idx="42">
                  <c:v>14.668958531360573</c:v>
                </c:pt>
                <c:pt idx="43">
                  <c:v>15.149927383109311</c:v>
                </c:pt>
                <c:pt idx="44">
                  <c:v>15.422071524789148</c:v>
                </c:pt>
                <c:pt idx="45">
                  <c:v>15.903612502327386</c:v>
                </c:pt>
                <c:pt idx="46">
                  <c:v>16.359312731183334</c:v>
                </c:pt>
                <c:pt idx="47">
                  <c:v>16.800625606076885</c:v>
                </c:pt>
                <c:pt idx="48">
                  <c:v>17.252479296665815</c:v>
                </c:pt>
                <c:pt idx="49">
                  <c:v>17.669559323893964</c:v>
                </c:pt>
                <c:pt idx="50">
                  <c:v>18.096320523967012</c:v>
                </c:pt>
                <c:pt idx="51">
                  <c:v>18.47707452927612</c:v>
                </c:pt>
                <c:pt idx="52">
                  <c:v>18.886905407286172</c:v>
                </c:pt>
                <c:pt idx="53">
                  <c:v>19.340622303138158</c:v>
                </c:pt>
                <c:pt idx="54">
                  <c:v>19.809304235549963</c:v>
                </c:pt>
                <c:pt idx="55">
                  <c:v>20.157803958457698</c:v>
                </c:pt>
                <c:pt idx="56">
                  <c:v>20.546228736737206</c:v>
                </c:pt>
                <c:pt idx="57">
                  <c:v>21.18813395027674</c:v>
                </c:pt>
                <c:pt idx="58">
                  <c:v>21.60818294046701</c:v>
                </c:pt>
                <c:pt idx="59">
                  <c:v>22.023161942012642</c:v>
                </c:pt>
                <c:pt idx="60">
                  <c:v>22.488211053207579</c:v>
                </c:pt>
                <c:pt idx="61">
                  <c:v>22.871853174012791</c:v>
                </c:pt>
                <c:pt idx="62">
                  <c:v>23.28154011226232</c:v>
                </c:pt>
                <c:pt idx="63">
                  <c:v>23.681154989347998</c:v>
                </c:pt>
                <c:pt idx="64">
                  <c:v>24.240735951980604</c:v>
                </c:pt>
                <c:pt idx="65">
                  <c:v>24.564491755961978</c:v>
                </c:pt>
                <c:pt idx="66">
                  <c:v>24.975957406706197</c:v>
                </c:pt>
                <c:pt idx="67">
                  <c:v>25.404519516320686</c:v>
                </c:pt>
                <c:pt idx="68">
                  <c:v>25.977435752882389</c:v>
                </c:pt>
                <c:pt idx="69">
                  <c:v>26.389954959163962</c:v>
                </c:pt>
                <c:pt idx="70">
                  <c:v>26.869361773754285</c:v>
                </c:pt>
                <c:pt idx="71">
                  <c:v>27.260276324415617</c:v>
                </c:pt>
                <c:pt idx="72">
                  <c:v>27.67042074719199</c:v>
                </c:pt>
                <c:pt idx="73">
                  <c:v>28.073645408811114</c:v>
                </c:pt>
                <c:pt idx="74">
                  <c:v>28.494413671058137</c:v>
                </c:pt>
                <c:pt idx="75">
                  <c:v>29.008639182837282</c:v>
                </c:pt>
                <c:pt idx="76">
                  <c:v>29.440445706070392</c:v>
                </c:pt>
                <c:pt idx="77">
                  <c:v>29.83914181540932</c:v>
                </c:pt>
                <c:pt idx="78">
                  <c:v>30.134174884746699</c:v>
                </c:pt>
                <c:pt idx="79">
                  <c:v>30.903452056770373</c:v>
                </c:pt>
                <c:pt idx="80">
                  <c:v>31.349625442703413</c:v>
                </c:pt>
                <c:pt idx="81">
                  <c:v>31.822399298948778</c:v>
                </c:pt>
                <c:pt idx="82">
                  <c:v>32.266270786504727</c:v>
                </c:pt>
                <c:pt idx="83">
                  <c:v>32.685464238875142</c:v>
                </c:pt>
                <c:pt idx="84">
                  <c:v>33.119458427398527</c:v>
                </c:pt>
                <c:pt idx="85">
                  <c:v>33.662087386699952</c:v>
                </c:pt>
                <c:pt idx="86">
                  <c:v>34.080499801376376</c:v>
                </c:pt>
                <c:pt idx="87">
                  <c:v>34.487374096205684</c:v>
                </c:pt>
                <c:pt idx="88">
                  <c:v>35.021731397301814</c:v>
                </c:pt>
                <c:pt idx="89">
                  <c:v>35.491333483409576</c:v>
                </c:pt>
                <c:pt idx="90">
                  <c:v>35.910097959313454</c:v>
                </c:pt>
                <c:pt idx="91">
                  <c:v>36.304874894720328</c:v>
                </c:pt>
                <c:pt idx="92">
                  <c:v>36.773709911202033</c:v>
                </c:pt>
                <c:pt idx="93">
                  <c:v>37.126506669335853</c:v>
                </c:pt>
                <c:pt idx="94">
                  <c:v>37.402255002407529</c:v>
                </c:pt>
                <c:pt idx="95">
                  <c:v>37.515640870392659</c:v>
                </c:pt>
                <c:pt idx="96">
                  <c:v>37.515640870392659</c:v>
                </c:pt>
                <c:pt idx="97">
                  <c:v>37.515640870392659</c:v>
                </c:pt>
                <c:pt idx="98">
                  <c:v>37.515640870392659</c:v>
                </c:pt>
                <c:pt idx="99">
                  <c:v>37.541218725583732</c:v>
                </c:pt>
                <c:pt idx="100">
                  <c:v>37.541218725583732</c:v>
                </c:pt>
                <c:pt idx="101">
                  <c:v>37.541218725583732</c:v>
                </c:pt>
                <c:pt idx="102">
                  <c:v>37.541218725583732</c:v>
                </c:pt>
                <c:pt idx="103">
                  <c:v>37.541218725583732</c:v>
                </c:pt>
              </c:numCache>
            </c:numRef>
          </c:xVal>
          <c:yVal>
            <c:numRef>
              <c:f>Sheet3!$H$4:$H$107</c:f>
              <c:numCache>
                <c:formatCode>0.0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107.90819362349332</c:v>
                </c:pt>
                <c:pt idx="3">
                  <c:v>83.035646871159813</c:v>
                </c:pt>
                <c:pt idx="4">
                  <c:v>82.103378647740769</c:v>
                </c:pt>
                <c:pt idx="5">
                  <c:v>75.763259711970989</c:v>
                </c:pt>
                <c:pt idx="6">
                  <c:v>83.453431347929765</c:v>
                </c:pt>
                <c:pt idx="7">
                  <c:v>102.02600316963604</c:v>
                </c:pt>
                <c:pt idx="8">
                  <c:v>97.842612688509178</c:v>
                </c:pt>
                <c:pt idx="9">
                  <c:v>269.92915221517393</c:v>
                </c:pt>
                <c:pt idx="10">
                  <c:v>8065.8990121430343</c:v>
                </c:pt>
                <c:pt idx="11">
                  <c:v>7372.4893375193888</c:v>
                </c:pt>
                <c:pt idx="12">
                  <c:v>9100.6704766279036</c:v>
                </c:pt>
                <c:pt idx="13">
                  <c:v>3833.6279989047957</c:v>
                </c:pt>
                <c:pt idx="14">
                  <c:v>3839.1993292599282</c:v>
                </c:pt>
                <c:pt idx="15">
                  <c:v>5221.9076913819017</c:v>
                </c:pt>
                <c:pt idx="16">
                  <c:v>5745.3591069300264</c:v>
                </c:pt>
                <c:pt idx="17">
                  <c:v>7097.3970591013376</c:v>
                </c:pt>
                <c:pt idx="18">
                  <c:v>12825.297756385702</c:v>
                </c:pt>
                <c:pt idx="19">
                  <c:v>8842.4142433519646</c:v>
                </c:pt>
                <c:pt idx="20">
                  <c:v>6355.634283144087</c:v>
                </c:pt>
                <c:pt idx="21">
                  <c:v>9342.341066268662</c:v>
                </c:pt>
                <c:pt idx="22">
                  <c:v>9879.0829835536661</c:v>
                </c:pt>
                <c:pt idx="23">
                  <c:v>7482.475423142223</c:v>
                </c:pt>
                <c:pt idx="24">
                  <c:v>13285.354691207669</c:v>
                </c:pt>
                <c:pt idx="25">
                  <c:v>6213.3781288535574</c:v>
                </c:pt>
                <c:pt idx="26">
                  <c:v>9659.7427598890081</c:v>
                </c:pt>
                <c:pt idx="27">
                  <c:v>5086.2977298046353</c:v>
                </c:pt>
                <c:pt idx="28">
                  <c:v>19825.496525528826</c:v>
                </c:pt>
                <c:pt idx="29">
                  <c:v>8543.9271135480394</c:v>
                </c:pt>
                <c:pt idx="30">
                  <c:v>10779.799909434614</c:v>
                </c:pt>
                <c:pt idx="31">
                  <c:v>8677.1674166303474</c:v>
                </c:pt>
                <c:pt idx="32">
                  <c:v>14888.885335226303</c:v>
                </c:pt>
                <c:pt idx="33">
                  <c:v>8542.9160576858103</c:v>
                </c:pt>
                <c:pt idx="34">
                  <c:v>8899.7309285685642</c:v>
                </c:pt>
                <c:pt idx="35">
                  <c:v>9188.9917102880481</c:v>
                </c:pt>
                <c:pt idx="36">
                  <c:v>11522.595747752401</c:v>
                </c:pt>
                <c:pt idx="37">
                  <c:v>10000.676121599088</c:v>
                </c:pt>
                <c:pt idx="38">
                  <c:v>8992.3670812313685</c:v>
                </c:pt>
                <c:pt idx="39">
                  <c:v>10491.47485788925</c:v>
                </c:pt>
                <c:pt idx="40">
                  <c:v>8733.3585916303982</c:v>
                </c:pt>
                <c:pt idx="41">
                  <c:v>9562.0638903324616</c:v>
                </c:pt>
                <c:pt idx="42">
                  <c:v>8178.1719253823949</c:v>
                </c:pt>
                <c:pt idx="43">
                  <c:v>10535.135276456382</c:v>
                </c:pt>
                <c:pt idx="44">
                  <c:v>3528.7694802355495</c:v>
                </c:pt>
                <c:pt idx="45">
                  <c:v>10558.729497046128</c:v>
                </c:pt>
                <c:pt idx="46">
                  <c:v>9515.2916711926446</c:v>
                </c:pt>
                <c:pt idx="47">
                  <c:v>8954.3835119842024</c:v>
                </c:pt>
                <c:pt idx="48">
                  <c:v>9363.9072773116841</c:v>
                </c:pt>
                <c:pt idx="49">
                  <c:v>8042.9559361508009</c:v>
                </c:pt>
                <c:pt idx="50">
                  <c:v>8402.0010611902271</c:v>
                </c:pt>
                <c:pt idx="51">
                  <c:v>6757.4236327350791</c:v>
                </c:pt>
                <c:pt idx="52">
                  <c:v>7778.5857670626483</c:v>
                </c:pt>
                <c:pt idx="53">
                  <c:v>9437.1066390623891</c:v>
                </c:pt>
                <c:pt idx="54">
                  <c:v>10033.774221913478</c:v>
                </c:pt>
                <c:pt idx="55">
                  <c:v>5700.0956965059431</c:v>
                </c:pt>
                <c:pt idx="56">
                  <c:v>7020.6481046184126</c:v>
                </c:pt>
                <c:pt idx="57">
                  <c:v>17975.221701791914</c:v>
                </c:pt>
                <c:pt idx="58">
                  <c:v>8152.3414563309907</c:v>
                </c:pt>
                <c:pt idx="59">
                  <c:v>7965.9367944686965</c:v>
                </c:pt>
                <c:pt idx="60">
                  <c:v>9887.5104149361759</c:v>
                </c:pt>
                <c:pt idx="61">
                  <c:v>6856.0060017740961</c:v>
                </c:pt>
                <c:pt idx="62">
                  <c:v>7773.3755063550107</c:v>
                </c:pt>
                <c:pt idx="63">
                  <c:v>7412.598365223108</c:v>
                </c:pt>
                <c:pt idx="64">
                  <c:v>13976.000767374939</c:v>
                </c:pt>
                <c:pt idx="65">
                  <c:v>4944.4125103054794</c:v>
                </c:pt>
                <c:pt idx="66">
                  <c:v>7837.8675358695355</c:v>
                </c:pt>
                <c:pt idx="67">
                  <c:v>8469.5402148226185</c:v>
                </c:pt>
                <c:pt idx="68">
                  <c:v>14597.683137326621</c:v>
                </c:pt>
                <c:pt idx="69">
                  <c:v>7876.1767967713622</c:v>
                </c:pt>
                <c:pt idx="70">
                  <c:v>10470.829791695725</c:v>
                </c:pt>
                <c:pt idx="71">
                  <c:v>7107.042390266909</c:v>
                </c:pt>
                <c:pt idx="72">
                  <c:v>7789.9405908805475</c:v>
                </c:pt>
                <c:pt idx="73">
                  <c:v>7541.0342238122685</c:v>
                </c:pt>
                <c:pt idx="74">
                  <c:v>8178.9382446818299</c:v>
                </c:pt>
                <c:pt idx="75">
                  <c:v>11942.643301465083</c:v>
                </c:pt>
                <c:pt idx="76">
                  <c:v>8591.8041303429891</c:v>
                </c:pt>
                <c:pt idx="77">
                  <c:v>7380.0636454925352</c:v>
                </c:pt>
                <c:pt idx="78">
                  <c:v>4129.3435584724202</c:v>
                </c:pt>
                <c:pt idx="79">
                  <c:v>12835.325957126901</c:v>
                </c:pt>
                <c:pt idx="80">
                  <c:v>9142.2478108038122</c:v>
                </c:pt>
                <c:pt idx="81">
                  <c:v>10199.603781305281</c:v>
                </c:pt>
                <c:pt idx="82">
                  <c:v>9053.0686347328974</c:v>
                </c:pt>
                <c:pt idx="83">
                  <c:v>8120.7549597757989</c:v>
                </c:pt>
                <c:pt idx="84">
                  <c:v>8674.6716357862733</c:v>
                </c:pt>
                <c:pt idx="85">
                  <c:v>13201.115746961988</c:v>
                </c:pt>
                <c:pt idx="86">
                  <c:v>8091.9655819654108</c:v>
                </c:pt>
                <c:pt idx="87">
                  <c:v>7671.8715739482805</c:v>
                </c:pt>
                <c:pt idx="88">
                  <c:v>12829.403475055959</c:v>
                </c:pt>
                <c:pt idx="89">
                  <c:v>10070.964776141984</c:v>
                </c:pt>
                <c:pt idx="90">
                  <c:v>8104.9372015702684</c:v>
                </c:pt>
                <c:pt idx="91">
                  <c:v>7241.9892680217681</c:v>
                </c:pt>
                <c:pt idx="92">
                  <c:v>10039.957521118395</c:v>
                </c:pt>
                <c:pt idx="93">
                  <c:v>5836.2811910422215</c:v>
                </c:pt>
                <c:pt idx="94">
                  <c:v>3620.4169400376727</c:v>
                </c:pt>
                <c:pt idx="95">
                  <c:v>628.58346069493439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32.340929909928668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20-4F99-8AD5-60DC76558A40}"/>
            </c:ext>
          </c:extLst>
        </c:ser>
        <c:ser>
          <c:idx val="4"/>
          <c:order val="4"/>
          <c:tx>
            <c:v>Rtotal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Sheet3!$C$4:$C$107</c:f>
              <c:numCache>
                <c:formatCode>0.0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6.3954858739204715E-2</c:v>
                </c:pt>
                <c:pt idx="3">
                  <c:v>9.7587286753705593E-2</c:v>
                </c:pt>
                <c:pt idx="4">
                  <c:v>0.13102923810754422</c:v>
                </c:pt>
                <c:pt idx="5">
                  <c:v>0.16314641936258187</c:v>
                </c:pt>
                <c:pt idx="6">
                  <c:v>0.19686386447023752</c:v>
                </c:pt>
                <c:pt idx="7">
                  <c:v>0.23416902510135743</c:v>
                </c:pt>
                <c:pt idx="8">
                  <c:v>0.27069622350358963</c:v>
                </c:pt>
                <c:pt idx="9">
                  <c:v>0.33164347214123219</c:v>
                </c:pt>
                <c:pt idx="10">
                  <c:v>0.69125465540991093</c:v>
                </c:pt>
                <c:pt idx="11">
                  <c:v>1.033171602564515</c:v>
                </c:pt>
                <c:pt idx="12">
                  <c:v>1.4182746672606108</c:v>
                </c:pt>
                <c:pt idx="13">
                  <c:v>1.702246580445375</c:v>
                </c:pt>
                <c:pt idx="14">
                  <c:v>2.0159660288298134</c:v>
                </c:pt>
                <c:pt idx="15">
                  <c:v>2.3816274556787751</c:v>
                </c:pt>
                <c:pt idx="16">
                  <c:v>2.765096711803988</c:v>
                </c:pt>
                <c:pt idx="17">
                  <c:v>3.1557339628892787</c:v>
                </c:pt>
                <c:pt idx="18">
                  <c:v>3.6899993693765287</c:v>
                </c:pt>
                <c:pt idx="19">
                  <c:v>4.1283945221423179</c:v>
                </c:pt>
                <c:pt idx="20">
                  <c:v>4.4971784064742053</c:v>
                </c:pt>
                <c:pt idx="21">
                  <c:v>4.9484819724972811</c:v>
                </c:pt>
                <c:pt idx="22">
                  <c:v>5.4133210795136195</c:v>
                </c:pt>
                <c:pt idx="23">
                  <c:v>5.8149032816022306</c:v>
                </c:pt>
                <c:pt idx="24">
                  <c:v>6.1778969879112138</c:v>
                </c:pt>
                <c:pt idx="25">
                  <c:v>6.5423621251104178</c:v>
                </c:pt>
                <c:pt idx="26">
                  <c:v>7.0017085566684418</c:v>
                </c:pt>
                <c:pt idx="27">
                  <c:v>7.3302350736752278</c:v>
                </c:pt>
                <c:pt idx="28">
                  <c:v>8.007907620648961</c:v>
                </c:pt>
                <c:pt idx="29">
                  <c:v>8.4384460627118933</c:v>
                </c:pt>
                <c:pt idx="30">
                  <c:v>8.9253220341412085</c:v>
                </c:pt>
                <c:pt idx="31">
                  <c:v>9.3593819700926986</c:v>
                </c:pt>
                <c:pt idx="32">
                  <c:v>9.9384686215033025</c:v>
                </c:pt>
                <c:pt idx="33">
                  <c:v>10.368980251490324</c:v>
                </c:pt>
                <c:pt idx="34">
                  <c:v>10.808870944951959</c:v>
                </c:pt>
                <c:pt idx="35">
                  <c:v>11.256247051490442</c:v>
                </c:pt>
                <c:pt idx="36">
                  <c:v>11.965719865130266</c:v>
                </c:pt>
                <c:pt idx="37">
                  <c:v>12.433581689359659</c:v>
                </c:pt>
                <c:pt idx="38">
                  <c:v>12.875880789034554</c:v>
                </c:pt>
                <c:pt idx="39">
                  <c:v>13.355789526109151</c:v>
                </c:pt>
                <c:pt idx="40">
                  <c:v>13.791327580663873</c:v>
                </c:pt>
                <c:pt idx="41">
                  <c:v>14.248210978889658</c:v>
                </c:pt>
                <c:pt idx="42">
                  <c:v>14.668958531360573</c:v>
                </c:pt>
                <c:pt idx="43">
                  <c:v>15.149927383109311</c:v>
                </c:pt>
                <c:pt idx="44">
                  <c:v>15.422071524789148</c:v>
                </c:pt>
                <c:pt idx="45">
                  <c:v>15.903612502327386</c:v>
                </c:pt>
                <c:pt idx="46">
                  <c:v>16.359312731183334</c:v>
                </c:pt>
                <c:pt idx="47">
                  <c:v>16.800625606076885</c:v>
                </c:pt>
                <c:pt idx="48">
                  <c:v>17.252479296665815</c:v>
                </c:pt>
                <c:pt idx="49">
                  <c:v>17.669559323893964</c:v>
                </c:pt>
                <c:pt idx="50">
                  <c:v>18.096320523967012</c:v>
                </c:pt>
                <c:pt idx="51">
                  <c:v>18.47707452927612</c:v>
                </c:pt>
                <c:pt idx="52">
                  <c:v>18.886905407286172</c:v>
                </c:pt>
                <c:pt idx="53">
                  <c:v>19.340622303138158</c:v>
                </c:pt>
                <c:pt idx="54">
                  <c:v>19.809304235549963</c:v>
                </c:pt>
                <c:pt idx="55">
                  <c:v>20.157803958457698</c:v>
                </c:pt>
                <c:pt idx="56">
                  <c:v>20.546228736737206</c:v>
                </c:pt>
                <c:pt idx="57">
                  <c:v>21.18813395027674</c:v>
                </c:pt>
                <c:pt idx="58">
                  <c:v>21.60818294046701</c:v>
                </c:pt>
                <c:pt idx="59">
                  <c:v>22.023161942012642</c:v>
                </c:pt>
                <c:pt idx="60">
                  <c:v>22.488211053207579</c:v>
                </c:pt>
                <c:pt idx="61">
                  <c:v>22.871853174012791</c:v>
                </c:pt>
                <c:pt idx="62">
                  <c:v>23.28154011226232</c:v>
                </c:pt>
                <c:pt idx="63">
                  <c:v>23.681154989347998</c:v>
                </c:pt>
                <c:pt idx="64">
                  <c:v>24.240735951980604</c:v>
                </c:pt>
                <c:pt idx="65">
                  <c:v>24.564491755961978</c:v>
                </c:pt>
                <c:pt idx="66">
                  <c:v>24.975957406706197</c:v>
                </c:pt>
                <c:pt idx="67">
                  <c:v>25.404519516320686</c:v>
                </c:pt>
                <c:pt idx="68">
                  <c:v>25.977435752882389</c:v>
                </c:pt>
                <c:pt idx="69">
                  <c:v>26.389954959163962</c:v>
                </c:pt>
                <c:pt idx="70">
                  <c:v>26.869361773754285</c:v>
                </c:pt>
                <c:pt idx="71">
                  <c:v>27.260276324415617</c:v>
                </c:pt>
                <c:pt idx="72">
                  <c:v>27.67042074719199</c:v>
                </c:pt>
                <c:pt idx="73">
                  <c:v>28.073645408811114</c:v>
                </c:pt>
                <c:pt idx="74">
                  <c:v>28.494413671058137</c:v>
                </c:pt>
                <c:pt idx="75">
                  <c:v>29.008639182837282</c:v>
                </c:pt>
                <c:pt idx="76">
                  <c:v>29.440445706070392</c:v>
                </c:pt>
                <c:pt idx="77">
                  <c:v>29.83914181540932</c:v>
                </c:pt>
                <c:pt idx="78">
                  <c:v>30.134174884746699</c:v>
                </c:pt>
                <c:pt idx="79">
                  <c:v>30.903452056770373</c:v>
                </c:pt>
                <c:pt idx="80">
                  <c:v>31.349625442703413</c:v>
                </c:pt>
                <c:pt idx="81">
                  <c:v>31.822399298948778</c:v>
                </c:pt>
                <c:pt idx="82">
                  <c:v>32.266270786504727</c:v>
                </c:pt>
                <c:pt idx="83">
                  <c:v>32.685464238875142</c:v>
                </c:pt>
                <c:pt idx="84">
                  <c:v>33.119458427398527</c:v>
                </c:pt>
                <c:pt idx="85">
                  <c:v>33.662087386699952</c:v>
                </c:pt>
                <c:pt idx="86">
                  <c:v>34.080499801376376</c:v>
                </c:pt>
                <c:pt idx="87">
                  <c:v>34.487374096205684</c:v>
                </c:pt>
                <c:pt idx="88">
                  <c:v>35.021731397301814</c:v>
                </c:pt>
                <c:pt idx="89">
                  <c:v>35.491333483409576</c:v>
                </c:pt>
                <c:pt idx="90">
                  <c:v>35.910097959313454</c:v>
                </c:pt>
                <c:pt idx="91">
                  <c:v>36.304874894720328</c:v>
                </c:pt>
                <c:pt idx="92">
                  <c:v>36.773709911202033</c:v>
                </c:pt>
                <c:pt idx="93">
                  <c:v>37.126506669335853</c:v>
                </c:pt>
                <c:pt idx="94">
                  <c:v>37.402255002407529</c:v>
                </c:pt>
                <c:pt idx="95">
                  <c:v>37.515640870392659</c:v>
                </c:pt>
                <c:pt idx="96">
                  <c:v>37.515640870392659</c:v>
                </c:pt>
                <c:pt idx="97">
                  <c:v>37.515640870392659</c:v>
                </c:pt>
                <c:pt idx="98">
                  <c:v>37.515640870392659</c:v>
                </c:pt>
                <c:pt idx="99">
                  <c:v>37.541218725583732</c:v>
                </c:pt>
                <c:pt idx="100">
                  <c:v>37.541218725583732</c:v>
                </c:pt>
                <c:pt idx="101">
                  <c:v>37.541218725583732</c:v>
                </c:pt>
                <c:pt idx="102">
                  <c:v>37.541218725583732</c:v>
                </c:pt>
                <c:pt idx="103">
                  <c:v>37.541218725583732</c:v>
                </c:pt>
              </c:numCache>
            </c:numRef>
          </c:xVal>
          <c:yVal>
            <c:numRef>
              <c:f>Sheet3!$J$4:$J$107</c:f>
              <c:numCache>
                <c:formatCode>0.0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1143.0237746077876</c:v>
                </c:pt>
                <c:pt idx="3">
                  <c:v>896.3062358929742</c:v>
                </c:pt>
                <c:pt idx="4">
                  <c:v>886.96836459452481</c:v>
                </c:pt>
                <c:pt idx="5">
                  <c:v>823.26544324350743</c:v>
                </c:pt>
                <c:pt idx="6">
                  <c:v>900.4885446535701</c:v>
                </c:pt>
                <c:pt idx="7">
                  <c:v>1085.0645181804696</c:v>
                </c:pt>
                <c:pt idx="8">
                  <c:v>1043.7061847624059</c:v>
                </c:pt>
                <c:pt idx="9">
                  <c:v>2681.4087721509841</c:v>
                </c:pt>
                <c:pt idx="10">
                  <c:v>65902.265721790653</c:v>
                </c:pt>
                <c:pt idx="11">
                  <c:v>60128.213524727049</c:v>
                </c:pt>
                <c:pt idx="12">
                  <c:v>74927.959911002647</c:v>
                </c:pt>
                <c:pt idx="13">
                  <c:v>32090.771209071212</c:v>
                </c:pt>
                <c:pt idx="14">
                  <c:v>32134.672111431322</c:v>
                </c:pt>
                <c:pt idx="15">
                  <c:v>42985.390630059017</c:v>
                </c:pt>
                <c:pt idx="16">
                  <c:v>47098.088516415766</c:v>
                </c:pt>
                <c:pt idx="17">
                  <c:v>57883.421752295122</c:v>
                </c:pt>
                <c:pt idx="18">
                  <c:v>114003.40798814596</c:v>
                </c:pt>
                <c:pt idx="19">
                  <c:v>72621.040185635648</c:v>
                </c:pt>
                <c:pt idx="20">
                  <c:v>51926.409794673265</c:v>
                </c:pt>
                <c:pt idx="21">
                  <c:v>77123.808219777551</c:v>
                </c:pt>
                <c:pt idx="22">
                  <c:v>82140.792445695886</c:v>
                </c:pt>
                <c:pt idx="23">
                  <c:v>61032.336485876644</c:v>
                </c:pt>
                <c:pt idx="24">
                  <c:v>119747.90978960787</c:v>
                </c:pt>
                <c:pt idx="25">
                  <c:v>50796.376625403689</c:v>
                </c:pt>
                <c:pt idx="26">
                  <c:v>80066.213944407136</c:v>
                </c:pt>
                <c:pt idx="27">
                  <c:v>41922.12880952406</c:v>
                </c:pt>
                <c:pt idx="28">
                  <c:v>226292.59969548538</c:v>
                </c:pt>
                <c:pt idx="29">
                  <c:v>70002.021482838347</c:v>
                </c:pt>
                <c:pt idx="30">
                  <c:v>91049.684135173768</c:v>
                </c:pt>
                <c:pt idx="31">
                  <c:v>71165.115474941282</c:v>
                </c:pt>
                <c:pt idx="32">
                  <c:v>141561.66364993842</c:v>
                </c:pt>
                <c:pt idx="33">
                  <c:v>69993.231489895974</c:v>
                </c:pt>
                <c:pt idx="34">
                  <c:v>73129.639352073485</c:v>
                </c:pt>
                <c:pt idx="35">
                  <c:v>75726.169650576208</c:v>
                </c:pt>
                <c:pt idx="36">
                  <c:v>131202.93553244599</c:v>
                </c:pt>
                <c:pt idx="37">
                  <c:v>83306.078335404512</c:v>
                </c:pt>
                <c:pt idx="38">
                  <c:v>73955.694676493658</c:v>
                </c:pt>
                <c:pt idx="39">
                  <c:v>88126.20234195939</c:v>
                </c:pt>
                <c:pt idx="40">
                  <c:v>71658.491318952409</c:v>
                </c:pt>
                <c:pt idx="41">
                  <c:v>79153.365133772328</c:v>
                </c:pt>
                <c:pt idx="42">
                  <c:v>66855.478627361299</c:v>
                </c:pt>
                <c:pt idx="43">
                  <c:v>88564.402377672406</c:v>
                </c:pt>
                <c:pt idx="44">
                  <c:v>29684.226291662308</c:v>
                </c:pt>
                <c:pt idx="45">
                  <c:v>88801.867246240625</c:v>
                </c:pt>
                <c:pt idx="46">
                  <c:v>78718.600645230123</c:v>
                </c:pt>
                <c:pt idx="47">
                  <c:v>73616.375827032127</c:v>
                </c:pt>
                <c:pt idx="48">
                  <c:v>77321.585946650521</c:v>
                </c:pt>
                <c:pt idx="49">
                  <c:v>65708.16273809674</c:v>
                </c:pt>
                <c:pt idx="50">
                  <c:v>68773.252948434892</c:v>
                </c:pt>
                <c:pt idx="51">
                  <c:v>55137.88526537166</c:v>
                </c:pt>
                <c:pt idx="52">
                  <c:v>63487.493136985264</c:v>
                </c:pt>
                <c:pt idx="53">
                  <c:v>77995.17009633327</c:v>
                </c:pt>
                <c:pt idx="54">
                  <c:v>83625.20217133782</c:v>
                </c:pt>
                <c:pt idx="55">
                  <c:v>46741.687412790845</c:v>
                </c:pt>
                <c:pt idx="56">
                  <c:v>57261.029102444503</c:v>
                </c:pt>
                <c:pt idx="57">
                  <c:v>191497.8330855431</c:v>
                </c:pt>
                <c:pt idx="58">
                  <c:v>66635.672854611446</c:v>
                </c:pt>
                <c:pt idx="59">
                  <c:v>65058.223683118798</c:v>
                </c:pt>
                <c:pt idx="60">
                  <c:v>82221.200820089958</c:v>
                </c:pt>
                <c:pt idx="61">
                  <c:v>55931.061358576058</c:v>
                </c:pt>
                <c:pt idx="62">
                  <c:v>63444.011101590753</c:v>
                </c:pt>
                <c:pt idx="63">
                  <c:v>60457.461400665015</c:v>
                </c:pt>
                <c:pt idx="64">
                  <c:v>128798.24025805331</c:v>
                </c:pt>
                <c:pt idx="65">
                  <c:v>40810.105134551181</c:v>
                </c:pt>
                <c:pt idx="66">
                  <c:v>63982.976054597217</c:v>
                </c:pt>
                <c:pt idx="67">
                  <c:v>69356.718695997377</c:v>
                </c:pt>
                <c:pt idx="68">
                  <c:v>137390.44697756553</c:v>
                </c:pt>
                <c:pt idx="69">
                  <c:v>64303.912078438916</c:v>
                </c:pt>
                <c:pt idx="70">
                  <c:v>87919.546876598397</c:v>
                </c:pt>
                <c:pt idx="71">
                  <c:v>57961.754412047339</c:v>
                </c:pt>
                <c:pt idx="72">
                  <c:v>63582.290995557174</c:v>
                </c:pt>
                <c:pt idx="73">
                  <c:v>61515.371086421597</c:v>
                </c:pt>
                <c:pt idx="74">
                  <c:v>66862.004306053612</c:v>
                </c:pt>
                <c:pt idx="75">
                  <c:v>103597.95475139774</c:v>
                </c:pt>
                <c:pt idx="76">
                  <c:v>70418.870087719057</c:v>
                </c:pt>
                <c:pt idx="77">
                  <c:v>60190.349741201826</c:v>
                </c:pt>
                <c:pt idx="78">
                  <c:v>34417.677485003645</c:v>
                </c:pt>
                <c:pt idx="79">
                  <c:v>150941.70855127898</c:v>
                </c:pt>
                <c:pt idx="80">
                  <c:v>75303.113661115</c:v>
                </c:pt>
                <c:pt idx="81">
                  <c:v>85236.777506119804</c:v>
                </c:pt>
                <c:pt idx="82">
                  <c:v>74499.751168755261</c:v>
                </c:pt>
                <c:pt idx="83">
                  <c:v>66367.295990770246</c:v>
                </c:pt>
                <c:pt idx="84">
                  <c:v>71143.241740783764</c:v>
                </c:pt>
                <c:pt idx="85">
                  <c:v>118679.23558275773</c:v>
                </c:pt>
                <c:pt idx="86">
                  <c:v>66123.073829397894</c:v>
                </c:pt>
                <c:pt idx="87">
                  <c:v>62598.985756022725</c:v>
                </c:pt>
                <c:pt idx="88">
                  <c:v>114053.68494154009</c:v>
                </c:pt>
                <c:pt idx="89">
                  <c:v>83984.781607220066</c:v>
                </c:pt>
                <c:pt idx="90">
                  <c:v>66233.067305170291</c:v>
                </c:pt>
                <c:pt idx="91">
                  <c:v>59060.486391486884</c:v>
                </c:pt>
                <c:pt idx="92">
                  <c:v>83684.912505101674</c:v>
                </c:pt>
                <c:pt idx="93">
                  <c:v>47814.586809737957</c:v>
                </c:pt>
                <c:pt idx="94">
                  <c:v>30408.634948804607</c:v>
                </c:pt>
                <c:pt idx="95">
                  <c:v>5899.066458124601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374.35436302402553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20-4F99-8AD5-60DC7655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09072"/>
        <c:axId val="529913392"/>
      </c:scatterChart>
      <c:valAx>
        <c:axId val="5299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9913392"/>
        <c:crosses val="autoZero"/>
        <c:crossBetween val="midCat"/>
      </c:valAx>
      <c:valAx>
        <c:axId val="529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99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Sheet3!$C$110:$C$210</c:f>
              <c:numCache>
                <c:formatCode>0.0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3.3240872442874811E-2</c:v>
                </c:pt>
                <c:pt idx="3">
                  <c:v>0.15325606773646264</c:v>
                </c:pt>
                <c:pt idx="4">
                  <c:v>0.77081548392948873</c:v>
                </c:pt>
                <c:pt idx="5">
                  <c:v>1.2829692961640395</c:v>
                </c:pt>
                <c:pt idx="6">
                  <c:v>1.6555438563780682</c:v>
                </c:pt>
                <c:pt idx="7">
                  <c:v>2.1387241213034058</c:v>
                </c:pt>
                <c:pt idx="8">
                  <c:v>2.537231869899057</c:v>
                </c:pt>
                <c:pt idx="9">
                  <c:v>2.9428648760618876</c:v>
                </c:pt>
                <c:pt idx="10">
                  <c:v>3.3685601299794357</c:v>
                </c:pt>
                <c:pt idx="11">
                  <c:v>3.899418620510124</c:v>
                </c:pt>
                <c:pt idx="12">
                  <c:v>4.3041592141236826</c:v>
                </c:pt>
                <c:pt idx="13">
                  <c:v>4.6827225996662305</c:v>
                </c:pt>
                <c:pt idx="14">
                  <c:v>5.2276762325504622</c:v>
                </c:pt>
                <c:pt idx="15">
                  <c:v>5.7697389950724043</c:v>
                </c:pt>
                <c:pt idx="16">
                  <c:v>6.1124635239067393</c:v>
                </c:pt>
                <c:pt idx="17">
                  <c:v>6.5887690653758648</c:v>
                </c:pt>
                <c:pt idx="18">
                  <c:v>6.9788020198985006</c:v>
                </c:pt>
                <c:pt idx="19">
                  <c:v>7.3768880726242978</c:v>
                </c:pt>
                <c:pt idx="20">
                  <c:v>7.7825636412838284</c:v>
                </c:pt>
                <c:pt idx="21">
                  <c:v>8.2967242253323548</c:v>
                </c:pt>
                <c:pt idx="22">
                  <c:v>8.6798866346641042</c:v>
                </c:pt>
                <c:pt idx="23">
                  <c:v>9.0892466118167814</c:v>
                </c:pt>
                <c:pt idx="24">
                  <c:v>9.6202016436279489</c:v>
                </c:pt>
                <c:pt idx="25">
                  <c:v>10.105766718205381</c:v>
                </c:pt>
                <c:pt idx="26">
                  <c:v>10.470359675022205</c:v>
                </c:pt>
                <c:pt idx="27">
                  <c:v>10.848771186899368</c:v>
                </c:pt>
                <c:pt idx="28">
                  <c:v>11.320815675800075</c:v>
                </c:pt>
                <c:pt idx="29">
                  <c:v>11.743680377628371</c:v>
                </c:pt>
                <c:pt idx="30">
                  <c:v>12.140903066861974</c:v>
                </c:pt>
                <c:pt idx="31">
                  <c:v>12.542257090483968</c:v>
                </c:pt>
                <c:pt idx="32">
                  <c:v>13.019715512532253</c:v>
                </c:pt>
                <c:pt idx="33">
                  <c:v>13.430661941754007</c:v>
                </c:pt>
                <c:pt idx="34">
                  <c:v>13.844581461547966</c:v>
                </c:pt>
                <c:pt idx="35">
                  <c:v>14.244759814808882</c:v>
                </c:pt>
                <c:pt idx="36">
                  <c:v>14.862382973213368</c:v>
                </c:pt>
                <c:pt idx="37">
                  <c:v>15.397689420344246</c:v>
                </c:pt>
                <c:pt idx="38">
                  <c:v>15.829145972892729</c:v>
                </c:pt>
                <c:pt idx="39">
                  <c:v>16.353075363160396</c:v>
                </c:pt>
                <c:pt idx="40">
                  <c:v>16.793263903869153</c:v>
                </c:pt>
                <c:pt idx="41">
                  <c:v>17.209776384093111</c:v>
                </c:pt>
                <c:pt idx="42">
                  <c:v>17.640298809465413</c:v>
                </c:pt>
                <c:pt idx="43">
                  <c:v>18.13519508120104</c:v>
                </c:pt>
                <c:pt idx="44">
                  <c:v>18.580327994629187</c:v>
                </c:pt>
                <c:pt idx="45">
                  <c:v>18.979358108762629</c:v>
                </c:pt>
                <c:pt idx="46">
                  <c:v>19.566876757391039</c:v>
                </c:pt>
                <c:pt idx="47">
                  <c:v>19.989125603683007</c:v>
                </c:pt>
                <c:pt idx="48">
                  <c:v>20.444145030261321</c:v>
                </c:pt>
                <c:pt idx="49">
                  <c:v>20.92258707565038</c:v>
                </c:pt>
                <c:pt idx="50">
                  <c:v>21.376813635382113</c:v>
                </c:pt>
                <c:pt idx="51">
                  <c:v>21.750742844668295</c:v>
                </c:pt>
                <c:pt idx="52">
                  <c:v>22.136966391322595</c:v>
                </c:pt>
                <c:pt idx="53">
                  <c:v>22.577622062455749</c:v>
                </c:pt>
                <c:pt idx="54">
                  <c:v>22.961236803604006</c:v>
                </c:pt>
                <c:pt idx="55">
                  <c:v>23.441534499606718</c:v>
                </c:pt>
                <c:pt idx="56">
                  <c:v>23.897093046084915</c:v>
                </c:pt>
                <c:pt idx="57">
                  <c:v>24.252951994174133</c:v>
                </c:pt>
                <c:pt idx="58">
                  <c:v>24.583438785858952</c:v>
                </c:pt>
                <c:pt idx="59">
                  <c:v>24.9826165242267</c:v>
                </c:pt>
                <c:pt idx="60">
                  <c:v>25.400398235798267</c:v>
                </c:pt>
                <c:pt idx="61">
                  <c:v>25.732806214724899</c:v>
                </c:pt>
                <c:pt idx="62">
                  <c:v>26.102094248416272</c:v>
                </c:pt>
                <c:pt idx="63">
                  <c:v>26.500100072485687</c:v>
                </c:pt>
                <c:pt idx="64">
                  <c:v>26.9380524458157</c:v>
                </c:pt>
                <c:pt idx="65">
                  <c:v>27.326892513953769</c:v>
                </c:pt>
                <c:pt idx="66">
                  <c:v>27.730774376420282</c:v>
                </c:pt>
                <c:pt idx="67">
                  <c:v>28.311649448741829</c:v>
                </c:pt>
                <c:pt idx="68">
                  <c:v>28.779026046920826</c:v>
                </c:pt>
                <c:pt idx="69">
                  <c:v>29.134663576525703</c:v>
                </c:pt>
                <c:pt idx="70">
                  <c:v>29.500643137933448</c:v>
                </c:pt>
                <c:pt idx="71">
                  <c:v>29.911236919661143</c:v>
                </c:pt>
                <c:pt idx="72">
                  <c:v>30.332161461821382</c:v>
                </c:pt>
                <c:pt idx="73">
                  <c:v>30.70514455411552</c:v>
                </c:pt>
                <c:pt idx="74">
                  <c:v>31.147878457717471</c:v>
                </c:pt>
                <c:pt idx="75">
                  <c:v>31.557534926404422</c:v>
                </c:pt>
                <c:pt idx="76">
                  <c:v>31.915923966832171</c:v>
                </c:pt>
                <c:pt idx="77">
                  <c:v>32.332474796327517</c:v>
                </c:pt>
                <c:pt idx="78">
                  <c:v>32.924483099720376</c:v>
                </c:pt>
                <c:pt idx="79">
                  <c:v>33.341248773840519</c:v>
                </c:pt>
                <c:pt idx="80">
                  <c:v>33.742848211821155</c:v>
                </c:pt>
                <c:pt idx="81">
                  <c:v>34.188412452900828</c:v>
                </c:pt>
                <c:pt idx="82">
                  <c:v>34.574929749699585</c:v>
                </c:pt>
                <c:pt idx="83">
                  <c:v>34.962923695830725</c:v>
                </c:pt>
                <c:pt idx="84">
                  <c:v>35.299532372184771</c:v>
                </c:pt>
                <c:pt idx="85">
                  <c:v>35.70858596187567</c:v>
                </c:pt>
                <c:pt idx="86">
                  <c:v>35.942049423195307</c:v>
                </c:pt>
                <c:pt idx="87">
                  <c:v>36.128851294412954</c:v>
                </c:pt>
                <c:pt idx="88">
                  <c:v>36.280609290673588</c:v>
                </c:pt>
                <c:pt idx="89">
                  <c:v>36.449524542588676</c:v>
                </c:pt>
                <c:pt idx="90">
                  <c:v>36.532707164099456</c:v>
                </c:pt>
                <c:pt idx="91">
                  <c:v>36.624863453070702</c:v>
                </c:pt>
                <c:pt idx="92">
                  <c:v>36.765015799660908</c:v>
                </c:pt>
                <c:pt idx="93">
                  <c:v>36.900354800156869</c:v>
                </c:pt>
                <c:pt idx="94">
                  <c:v>37.048365426348347</c:v>
                </c:pt>
                <c:pt idx="95">
                  <c:v>37.216392444320469</c:v>
                </c:pt>
                <c:pt idx="96">
                  <c:v>37.327922636669555</c:v>
                </c:pt>
                <c:pt idx="97">
                  <c:v>37.424396676885415</c:v>
                </c:pt>
                <c:pt idx="98">
                  <c:v>37.520068778082162</c:v>
                </c:pt>
                <c:pt idx="99">
                  <c:v>37.632999930342272</c:v>
                </c:pt>
                <c:pt idx="100">
                  <c:v>37.72275284840493</c:v>
                </c:pt>
              </c:numCache>
            </c:numRef>
          </c:xVal>
          <c:yVal>
            <c:numRef>
              <c:f>Sheet3!$E$110:$E$210</c:f>
              <c:numCache>
                <c:formatCode>0.0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254.72320688504644</c:v>
                </c:pt>
                <c:pt idx="3">
                  <c:v>2689.3464474764942</c:v>
                </c:pt>
                <c:pt idx="4">
                  <c:v>50125.974139423422</c:v>
                </c:pt>
                <c:pt idx="5">
                  <c:v>36519.267924864296</c:v>
                </c:pt>
                <c:pt idx="6">
                  <c:v>20956.084480908125</c:v>
                </c:pt>
                <c:pt idx="7">
                  <c:v>33035.024676035013</c:v>
                </c:pt>
                <c:pt idx="8">
                  <c:v>23600.473650216009</c:v>
                </c:pt>
                <c:pt idx="9">
                  <c:v>24348.18959069785</c:v>
                </c:pt>
                <c:pt idx="10">
                  <c:v>26500.863114786967</c:v>
                </c:pt>
                <c:pt idx="11">
                  <c:v>38831.425773218238</c:v>
                </c:pt>
                <c:pt idx="12">
                  <c:v>24254.051334248037</c:v>
                </c:pt>
                <c:pt idx="13">
                  <c:v>21555.849397613598</c:v>
                </c:pt>
                <c:pt idx="14">
                  <c:v>40604.784913897667</c:v>
                </c:pt>
                <c:pt idx="15">
                  <c:v>40238.954807283772</c:v>
                </c:pt>
                <c:pt idx="16">
                  <c:v>18067.792785294951</c:v>
                </c:pt>
                <c:pt idx="17">
                  <c:v>32226.390853956174</c:v>
                </c:pt>
                <c:pt idx="18">
                  <c:v>22722.884459417219</c:v>
                </c:pt>
                <c:pt idx="19">
                  <c:v>23556.50269156399</c:v>
                </c:pt>
                <c:pt idx="20">
                  <c:v>24352.682883202913</c:v>
                </c:pt>
                <c:pt idx="21">
                  <c:v>36765.029517669187</c:v>
                </c:pt>
                <c:pt idx="22">
                  <c:v>22020.919897060579</c:v>
                </c:pt>
                <c:pt idx="23">
                  <c:v>24742.84276077403</c:v>
                </c:pt>
                <c:pt idx="24">
                  <c:v>38843.482718296626</c:v>
                </c:pt>
                <c:pt idx="25">
                  <c:v>33317.189430922539</c:v>
                </c:pt>
                <c:pt idx="26">
                  <c:v>20167.148459973643</c:v>
                </c:pt>
                <c:pt idx="27">
                  <c:v>21540.55766544188</c:v>
                </c:pt>
                <c:pt idx="28">
                  <c:v>31728.776209451989</c:v>
                </c:pt>
                <c:pt idx="29">
                  <c:v>26192.976687368926</c:v>
                </c:pt>
                <c:pt idx="30">
                  <c:v>23466.576874329337</c:v>
                </c:pt>
                <c:pt idx="31">
                  <c:v>23898.08406237587</c:v>
                </c:pt>
                <c:pt idx="32">
                  <c:v>32361.500630948987</c:v>
                </c:pt>
                <c:pt idx="33">
                  <c:v>24911.567804814345</c:v>
                </c:pt>
                <c:pt idx="34">
                  <c:v>25228.940811902539</c:v>
                </c:pt>
                <c:pt idx="35">
                  <c:v>23774.980517160191</c:v>
                </c:pt>
                <c:pt idx="36">
                  <c:v>50134.595886032119</c:v>
                </c:pt>
                <c:pt idx="37">
                  <c:v>39388.215014825517</c:v>
                </c:pt>
                <c:pt idx="38">
                  <c:v>27131.693844316185</c:v>
                </c:pt>
                <c:pt idx="39">
                  <c:v>37969.327777122795</c:v>
                </c:pt>
                <c:pt idx="40">
                  <c:v>28098.310844925374</c:v>
                </c:pt>
                <c:pt idx="41">
                  <c:v>25506.979442621621</c:v>
                </c:pt>
                <c:pt idx="42">
                  <c:v>27029.035045157063</c:v>
                </c:pt>
                <c:pt idx="43">
                  <c:v>34429.30750402221</c:v>
                </c:pt>
                <c:pt idx="44">
                  <c:v>28651.188455066429</c:v>
                </c:pt>
                <c:pt idx="45">
                  <c:v>23654.98538087431</c:v>
                </c:pt>
                <c:pt idx="46">
                  <c:v>46111.954157327818</c:v>
                </c:pt>
                <c:pt idx="47">
                  <c:v>26126.167940493138</c:v>
                </c:pt>
                <c:pt idx="48">
                  <c:v>29768.522175466143</c:v>
                </c:pt>
                <c:pt idx="49">
                  <c:v>32476.933449445089</c:v>
                </c:pt>
                <c:pt idx="50">
                  <c:v>29678.339567970994</c:v>
                </c:pt>
                <c:pt idx="51">
                  <c:v>21091.166775756792</c:v>
                </c:pt>
                <c:pt idx="52">
                  <c:v>22332.617897190143</c:v>
                </c:pt>
                <c:pt idx="53">
                  <c:v>28150.3747810161</c:v>
                </c:pt>
                <c:pt idx="54">
                  <c:v>22066.870667734944</c:v>
                </c:pt>
                <c:pt idx="55">
                  <c:v>32695.099833570817</c:v>
                </c:pt>
                <c:pt idx="56">
                  <c:v>29829.899939767187</c:v>
                </c:pt>
                <c:pt idx="57">
                  <c:v>19317.646602832181</c:v>
                </c:pt>
                <c:pt idx="58">
                  <c:v>16933.758850806938</c:v>
                </c:pt>
                <c:pt idx="59">
                  <c:v>23670.399558404497</c:v>
                </c:pt>
                <c:pt idx="60">
                  <c:v>25643.497540690969</c:v>
                </c:pt>
                <c:pt idx="61">
                  <c:v>17109.816364666527</c:v>
                </c:pt>
                <c:pt idx="62">
                  <c:v>20629.782727493006</c:v>
                </c:pt>
                <c:pt idx="63">
                  <c:v>23548.140687180683</c:v>
                </c:pt>
                <c:pt idx="64">
                  <c:v>27849.57410532187</c:v>
                </c:pt>
                <c:pt idx="65">
                  <c:v>22600.393121522771</c:v>
                </c:pt>
                <c:pt idx="66">
                  <c:v>24163.5979389362</c:v>
                </c:pt>
                <c:pt idx="67">
                  <c:v>45238.000099116871</c:v>
                </c:pt>
                <c:pt idx="68">
                  <c:v>31186.838334441123</c:v>
                </c:pt>
                <c:pt idx="69">
                  <c:v>19296.300036544631</c:v>
                </c:pt>
                <c:pt idx="70">
                  <c:v>20303.346967104309</c:v>
                </c:pt>
                <c:pt idx="71">
                  <c:v>24874.024682779695</c:v>
                </c:pt>
                <c:pt idx="72">
                  <c:v>25982.723749214554</c:v>
                </c:pt>
                <c:pt idx="73">
                  <c:v>20996.786332843101</c:v>
                </c:pt>
                <c:pt idx="74">
                  <c:v>28382.435456864256</c:v>
                </c:pt>
                <c:pt idx="75">
                  <c:v>24774.342522369596</c:v>
                </c:pt>
                <c:pt idx="76">
                  <c:v>19562.235795487108</c:v>
                </c:pt>
                <c:pt idx="77">
                  <c:v>25511.100233943111</c:v>
                </c:pt>
                <c:pt idx="78">
                  <c:v>46705.451232161839</c:v>
                </c:pt>
                <c:pt idx="79">
                  <c:v>25534.190859748662</c:v>
                </c:pt>
                <c:pt idx="80">
                  <c:v>23923.812020429057</c:v>
                </c:pt>
                <c:pt idx="81">
                  <c:v>28699.607589724925</c:v>
                </c:pt>
                <c:pt idx="82">
                  <c:v>31014.156443420408</c:v>
                </c:pt>
                <c:pt idx="83">
                  <c:v>31199.3969121179</c:v>
                </c:pt>
                <c:pt idx="84">
                  <c:v>27946.709591720508</c:v>
                </c:pt>
                <c:pt idx="85">
                  <c:v>37491.183571223519</c:v>
                </c:pt>
                <c:pt idx="86">
                  <c:v>15473.06265788672</c:v>
                </c:pt>
                <c:pt idx="87">
                  <c:v>9203.4351000331535</c:v>
                </c:pt>
                <c:pt idx="88">
                  <c:v>4133.3016232393202</c:v>
                </c:pt>
                <c:pt idx="89">
                  <c:v>5027.0175915990312</c:v>
                </c:pt>
                <c:pt idx="90">
                  <c:v>1372.3119312459141</c:v>
                </c:pt>
                <c:pt idx="91">
                  <c:v>1656.3686204410562</c:v>
                </c:pt>
                <c:pt idx="92">
                  <c:v>3573.3172856245174</c:v>
                </c:pt>
                <c:pt idx="93">
                  <c:v>3351.8129102732278</c:v>
                </c:pt>
                <c:pt idx="94">
                  <c:v>3948.5119441978445</c:v>
                </c:pt>
                <c:pt idx="95">
                  <c:v>4978.8502725236403</c:v>
                </c:pt>
                <c:pt idx="96">
                  <c:v>2350.9682484076861</c:v>
                </c:pt>
                <c:pt idx="97">
                  <c:v>1801.6297343834822</c:v>
                </c:pt>
                <c:pt idx="98">
                  <c:v>1774.2321530041177</c:v>
                </c:pt>
                <c:pt idx="99">
                  <c:v>2405.4219517851066</c:v>
                </c:pt>
                <c:pt idx="100">
                  <c:v>1207.6611742181881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87B-8A4F-1160EE99E54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Sheet3!$C$110:$C$210</c:f>
              <c:numCache>
                <c:formatCode>0.0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3.3240872442874811E-2</c:v>
                </c:pt>
                <c:pt idx="3">
                  <c:v>0.15325606773646264</c:v>
                </c:pt>
                <c:pt idx="4">
                  <c:v>0.77081548392948873</c:v>
                </c:pt>
                <c:pt idx="5">
                  <c:v>1.2829692961640395</c:v>
                </c:pt>
                <c:pt idx="6">
                  <c:v>1.6555438563780682</c:v>
                </c:pt>
                <c:pt idx="7">
                  <c:v>2.1387241213034058</c:v>
                </c:pt>
                <c:pt idx="8">
                  <c:v>2.537231869899057</c:v>
                </c:pt>
                <c:pt idx="9">
                  <c:v>2.9428648760618876</c:v>
                </c:pt>
                <c:pt idx="10">
                  <c:v>3.3685601299794357</c:v>
                </c:pt>
                <c:pt idx="11">
                  <c:v>3.899418620510124</c:v>
                </c:pt>
                <c:pt idx="12">
                  <c:v>4.3041592141236826</c:v>
                </c:pt>
                <c:pt idx="13">
                  <c:v>4.6827225996662305</c:v>
                </c:pt>
                <c:pt idx="14">
                  <c:v>5.2276762325504622</c:v>
                </c:pt>
                <c:pt idx="15">
                  <c:v>5.7697389950724043</c:v>
                </c:pt>
                <c:pt idx="16">
                  <c:v>6.1124635239067393</c:v>
                </c:pt>
                <c:pt idx="17">
                  <c:v>6.5887690653758648</c:v>
                </c:pt>
                <c:pt idx="18">
                  <c:v>6.9788020198985006</c:v>
                </c:pt>
                <c:pt idx="19">
                  <c:v>7.3768880726242978</c:v>
                </c:pt>
                <c:pt idx="20">
                  <c:v>7.7825636412838284</c:v>
                </c:pt>
                <c:pt idx="21">
                  <c:v>8.2967242253323548</c:v>
                </c:pt>
                <c:pt idx="22">
                  <c:v>8.6798866346641042</c:v>
                </c:pt>
                <c:pt idx="23">
                  <c:v>9.0892466118167814</c:v>
                </c:pt>
                <c:pt idx="24">
                  <c:v>9.6202016436279489</c:v>
                </c:pt>
                <c:pt idx="25">
                  <c:v>10.105766718205381</c:v>
                </c:pt>
                <c:pt idx="26">
                  <c:v>10.470359675022205</c:v>
                </c:pt>
                <c:pt idx="27">
                  <c:v>10.848771186899368</c:v>
                </c:pt>
                <c:pt idx="28">
                  <c:v>11.320815675800075</c:v>
                </c:pt>
                <c:pt idx="29">
                  <c:v>11.743680377628371</c:v>
                </c:pt>
                <c:pt idx="30">
                  <c:v>12.140903066861974</c:v>
                </c:pt>
                <c:pt idx="31">
                  <c:v>12.542257090483968</c:v>
                </c:pt>
                <c:pt idx="32">
                  <c:v>13.019715512532253</c:v>
                </c:pt>
                <c:pt idx="33">
                  <c:v>13.430661941754007</c:v>
                </c:pt>
                <c:pt idx="34">
                  <c:v>13.844581461547966</c:v>
                </c:pt>
                <c:pt idx="35">
                  <c:v>14.244759814808882</c:v>
                </c:pt>
                <c:pt idx="36">
                  <c:v>14.862382973213368</c:v>
                </c:pt>
                <c:pt idx="37">
                  <c:v>15.397689420344246</c:v>
                </c:pt>
                <c:pt idx="38">
                  <c:v>15.829145972892729</c:v>
                </c:pt>
                <c:pt idx="39">
                  <c:v>16.353075363160396</c:v>
                </c:pt>
                <c:pt idx="40">
                  <c:v>16.793263903869153</c:v>
                </c:pt>
                <c:pt idx="41">
                  <c:v>17.209776384093111</c:v>
                </c:pt>
                <c:pt idx="42">
                  <c:v>17.640298809465413</c:v>
                </c:pt>
                <c:pt idx="43">
                  <c:v>18.13519508120104</c:v>
                </c:pt>
                <c:pt idx="44">
                  <c:v>18.580327994629187</c:v>
                </c:pt>
                <c:pt idx="45">
                  <c:v>18.979358108762629</c:v>
                </c:pt>
                <c:pt idx="46">
                  <c:v>19.566876757391039</c:v>
                </c:pt>
                <c:pt idx="47">
                  <c:v>19.989125603683007</c:v>
                </c:pt>
                <c:pt idx="48">
                  <c:v>20.444145030261321</c:v>
                </c:pt>
                <c:pt idx="49">
                  <c:v>20.92258707565038</c:v>
                </c:pt>
                <c:pt idx="50">
                  <c:v>21.376813635382113</c:v>
                </c:pt>
                <c:pt idx="51">
                  <c:v>21.750742844668295</c:v>
                </c:pt>
                <c:pt idx="52">
                  <c:v>22.136966391322595</c:v>
                </c:pt>
                <c:pt idx="53">
                  <c:v>22.577622062455749</c:v>
                </c:pt>
                <c:pt idx="54">
                  <c:v>22.961236803604006</c:v>
                </c:pt>
                <c:pt idx="55">
                  <c:v>23.441534499606718</c:v>
                </c:pt>
                <c:pt idx="56">
                  <c:v>23.897093046084915</c:v>
                </c:pt>
                <c:pt idx="57">
                  <c:v>24.252951994174133</c:v>
                </c:pt>
                <c:pt idx="58">
                  <c:v>24.583438785858952</c:v>
                </c:pt>
                <c:pt idx="59">
                  <c:v>24.9826165242267</c:v>
                </c:pt>
                <c:pt idx="60">
                  <c:v>25.400398235798267</c:v>
                </c:pt>
                <c:pt idx="61">
                  <c:v>25.732806214724899</c:v>
                </c:pt>
                <c:pt idx="62">
                  <c:v>26.102094248416272</c:v>
                </c:pt>
                <c:pt idx="63">
                  <c:v>26.500100072485687</c:v>
                </c:pt>
                <c:pt idx="64">
                  <c:v>26.9380524458157</c:v>
                </c:pt>
                <c:pt idx="65">
                  <c:v>27.326892513953769</c:v>
                </c:pt>
                <c:pt idx="66">
                  <c:v>27.730774376420282</c:v>
                </c:pt>
                <c:pt idx="67">
                  <c:v>28.311649448741829</c:v>
                </c:pt>
                <c:pt idx="68">
                  <c:v>28.779026046920826</c:v>
                </c:pt>
                <c:pt idx="69">
                  <c:v>29.134663576525703</c:v>
                </c:pt>
                <c:pt idx="70">
                  <c:v>29.500643137933448</c:v>
                </c:pt>
                <c:pt idx="71">
                  <c:v>29.911236919661143</c:v>
                </c:pt>
                <c:pt idx="72">
                  <c:v>30.332161461821382</c:v>
                </c:pt>
                <c:pt idx="73">
                  <c:v>30.70514455411552</c:v>
                </c:pt>
                <c:pt idx="74">
                  <c:v>31.147878457717471</c:v>
                </c:pt>
                <c:pt idx="75">
                  <c:v>31.557534926404422</c:v>
                </c:pt>
                <c:pt idx="76">
                  <c:v>31.915923966832171</c:v>
                </c:pt>
                <c:pt idx="77">
                  <c:v>32.332474796327517</c:v>
                </c:pt>
                <c:pt idx="78">
                  <c:v>32.924483099720376</c:v>
                </c:pt>
                <c:pt idx="79">
                  <c:v>33.341248773840519</c:v>
                </c:pt>
                <c:pt idx="80">
                  <c:v>33.742848211821155</c:v>
                </c:pt>
                <c:pt idx="81">
                  <c:v>34.188412452900828</c:v>
                </c:pt>
                <c:pt idx="82">
                  <c:v>34.574929749699585</c:v>
                </c:pt>
                <c:pt idx="83">
                  <c:v>34.962923695830725</c:v>
                </c:pt>
                <c:pt idx="84">
                  <c:v>35.299532372184771</c:v>
                </c:pt>
                <c:pt idx="85">
                  <c:v>35.70858596187567</c:v>
                </c:pt>
                <c:pt idx="86">
                  <c:v>35.942049423195307</c:v>
                </c:pt>
                <c:pt idx="87">
                  <c:v>36.128851294412954</c:v>
                </c:pt>
                <c:pt idx="88">
                  <c:v>36.280609290673588</c:v>
                </c:pt>
                <c:pt idx="89">
                  <c:v>36.449524542588676</c:v>
                </c:pt>
                <c:pt idx="90">
                  <c:v>36.532707164099456</c:v>
                </c:pt>
                <c:pt idx="91">
                  <c:v>36.624863453070702</c:v>
                </c:pt>
                <c:pt idx="92">
                  <c:v>36.765015799660908</c:v>
                </c:pt>
                <c:pt idx="93">
                  <c:v>36.900354800156869</c:v>
                </c:pt>
                <c:pt idx="94">
                  <c:v>37.048365426348347</c:v>
                </c:pt>
                <c:pt idx="95">
                  <c:v>37.216392444320469</c:v>
                </c:pt>
                <c:pt idx="96">
                  <c:v>37.327922636669555</c:v>
                </c:pt>
                <c:pt idx="97">
                  <c:v>37.424396676885415</c:v>
                </c:pt>
                <c:pt idx="98">
                  <c:v>37.520068778082162</c:v>
                </c:pt>
                <c:pt idx="99">
                  <c:v>37.632999930342272</c:v>
                </c:pt>
                <c:pt idx="100">
                  <c:v>37.72275284840493</c:v>
                </c:pt>
              </c:numCache>
            </c:numRef>
          </c:xVal>
          <c:yVal>
            <c:numRef>
              <c:f>Sheet3!$F$110:$F$210</c:f>
              <c:numCache>
                <c:formatCode>0.0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6.5959631127484029</c:v>
                </c:pt>
                <c:pt idx="3">
                  <c:v>69.639630333961833</c:v>
                </c:pt>
                <c:pt idx="4">
                  <c:v>1297.9935376026658</c:v>
                </c:pt>
                <c:pt idx="5">
                  <c:v>945.65291903570824</c:v>
                </c:pt>
                <c:pt idx="6">
                  <c:v>542.65004713955568</c:v>
                </c:pt>
                <c:pt idx="7">
                  <c:v>855.42973039827837</c:v>
                </c:pt>
                <c:pt idx="8">
                  <c:v>611.12552540399861</c:v>
                </c:pt>
                <c:pt idx="9">
                  <c:v>630.48735278731158</c:v>
                </c:pt>
                <c:pt idx="10">
                  <c:v>686.23003651180534</c:v>
                </c:pt>
                <c:pt idx="11">
                  <c:v>1005.5253902765279</c:v>
                </c:pt>
                <c:pt idx="12">
                  <c:v>628.04967749798607</c:v>
                </c:pt>
                <c:pt idx="13">
                  <c:v>558.1807375516596</c:v>
                </c:pt>
                <c:pt idx="14">
                  <c:v>1051.4458685109882</c:v>
                </c:pt>
                <c:pt idx="15">
                  <c:v>1041.9728333750613</c:v>
                </c:pt>
                <c:pt idx="16">
                  <c:v>467.85880327884405</c:v>
                </c:pt>
                <c:pt idx="17">
                  <c:v>834.49045703022671</c:v>
                </c:pt>
                <c:pt idx="18">
                  <c:v>588.40067829861562</c:v>
                </c:pt>
                <c:pt idx="19">
                  <c:v>609.98691371310622</c:v>
                </c:pt>
                <c:pt idx="20">
                  <c:v>630.6037049327665</c:v>
                </c:pt>
                <c:pt idx="21">
                  <c:v>952.01682447053167</c:v>
                </c:pt>
                <c:pt idx="22">
                  <c:v>570.22356590912477</c:v>
                </c:pt>
                <c:pt idx="23">
                  <c:v>640.70675047778775</c:v>
                </c:pt>
                <c:pt idx="24">
                  <c:v>1005.8376004043841</c:v>
                </c:pt>
                <c:pt idx="25">
                  <c:v>862.73628223434946</c:v>
                </c:pt>
                <c:pt idx="26">
                  <c:v>522.22084103761313</c:v>
                </c:pt>
                <c:pt idx="27">
                  <c:v>557.78476380993368</c:v>
                </c:pt>
                <c:pt idx="28">
                  <c:v>821.60491008830934</c:v>
                </c:pt>
                <c:pt idx="29">
                  <c:v>678.2574314908511</c:v>
                </c:pt>
                <c:pt idx="30">
                  <c:v>607.65831797729959</c:v>
                </c:pt>
                <c:pt idx="31">
                  <c:v>618.83203681527414</c:v>
                </c:pt>
                <c:pt idx="32">
                  <c:v>837.9890746713686</c:v>
                </c:pt>
                <c:pt idx="33">
                  <c:v>645.07582301066066</c:v>
                </c:pt>
                <c:pt idx="34">
                  <c:v>653.29407949908693</c:v>
                </c:pt>
                <c:pt idx="35">
                  <c:v>615.64431609983262</c:v>
                </c:pt>
                <c:pt idx="36">
                  <c:v>1298.2167945382782</c:v>
                </c:pt>
                <c:pt idx="37">
                  <c:v>1019.9432414967908</c:v>
                </c:pt>
                <c:pt idx="38">
                  <c:v>702.56516464263439</c:v>
                </c:pt>
                <c:pt idx="39">
                  <c:v>983.20168192126209</c:v>
                </c:pt>
                <c:pt idx="40">
                  <c:v>727.59535391412464</c:v>
                </c:pt>
                <c:pt idx="41">
                  <c:v>660.4937868778095</c:v>
                </c:pt>
                <c:pt idx="42">
                  <c:v>699.90685305519355</c:v>
                </c:pt>
                <c:pt idx="43">
                  <c:v>891.53416789577125</c:v>
                </c:pt>
                <c:pt idx="44">
                  <c:v>741.91191488613151</c:v>
                </c:pt>
                <c:pt idx="45">
                  <c:v>612.53708648251654</c:v>
                </c:pt>
                <c:pt idx="46">
                  <c:v>1194.0519766451439</c:v>
                </c:pt>
                <c:pt idx="47">
                  <c:v>676.52744373123369</c:v>
                </c:pt>
                <c:pt idx="48">
                  <c:v>770.8448578029205</c:v>
                </c:pt>
                <c:pt idx="49">
                  <c:v>840.97816475904358</c:v>
                </c:pt>
                <c:pt idx="50">
                  <c:v>768.50961257841334</c:v>
                </c:pt>
                <c:pt idx="51">
                  <c:v>546.14795314075218</c:v>
                </c:pt>
                <c:pt idx="52">
                  <c:v>578.29487019393582</c:v>
                </c:pt>
                <c:pt idx="53">
                  <c:v>728.94353025878695</c:v>
                </c:pt>
                <c:pt idx="54">
                  <c:v>571.41344409916849</c:v>
                </c:pt>
                <c:pt idx="55">
                  <c:v>846.62750248422549</c:v>
                </c:pt>
                <c:pt idx="56">
                  <c:v>772.43421227997578</c:v>
                </c:pt>
                <c:pt idx="57">
                  <c:v>500.22330503593645</c:v>
                </c:pt>
                <c:pt idx="58">
                  <c:v>438.49341450269094</c:v>
                </c:pt>
                <c:pt idx="59">
                  <c:v>612.93623090145593</c:v>
                </c:pt>
                <c:pt idx="60">
                  <c:v>664.02887247169622</c:v>
                </c:pt>
                <c:pt idx="61">
                  <c:v>443.05235862616087</c:v>
                </c:pt>
                <c:pt idx="62">
                  <c:v>534.20058407150259</c:v>
                </c:pt>
                <c:pt idx="63">
                  <c:v>609.77038270623257</c:v>
                </c:pt>
                <c:pt idx="64">
                  <c:v>721.154408154713</c:v>
                </c:pt>
                <c:pt idx="65">
                  <c:v>585.22881046504358</c:v>
                </c:pt>
                <c:pt idx="66">
                  <c:v>625.70742032324449</c:v>
                </c:pt>
                <c:pt idx="67">
                  <c:v>1171.4212599519547</c:v>
                </c:pt>
                <c:pt idx="68">
                  <c:v>807.57162950627719</c:v>
                </c:pt>
                <c:pt idx="69">
                  <c:v>499.67054360701803</c:v>
                </c:pt>
                <c:pt idx="70">
                  <c:v>525.74765094249449</c:v>
                </c:pt>
                <c:pt idx="71">
                  <c:v>644.10365776860749</c:v>
                </c:pt>
                <c:pt idx="72">
                  <c:v>672.81300951857645</c:v>
                </c:pt>
                <c:pt idx="73">
                  <c:v>543.7040065226314</c:v>
                </c:pt>
                <c:pt idx="74">
                  <c:v>734.95265552276271</c:v>
                </c:pt>
                <c:pt idx="75">
                  <c:v>641.52242513925853</c:v>
                </c:pt>
                <c:pt idx="76">
                  <c:v>506.55685160304171</c:v>
                </c:pt>
                <c:pt idx="77">
                  <c:v>660.60049324306078</c:v>
                </c:pt>
                <c:pt idx="78">
                  <c:v>1209.4203636131047</c:v>
                </c:pt>
                <c:pt idx="79">
                  <c:v>661.19841644733503</c:v>
                </c:pt>
                <c:pt idx="80">
                  <c:v>619.49825276143918</c:v>
                </c:pt>
                <c:pt idx="81">
                  <c:v>743.16571044745535</c:v>
                </c:pt>
                <c:pt idx="82">
                  <c:v>803.1000958861531</c:v>
                </c:pt>
                <c:pt idx="83">
                  <c:v>807.89682922450288</c:v>
                </c:pt>
                <c:pt idx="84">
                  <c:v>723.66969560362372</c:v>
                </c:pt>
                <c:pt idx="85">
                  <c:v>970.82031477669204</c:v>
                </c:pt>
                <c:pt idx="86">
                  <c:v>400.66922751456997</c:v>
                </c:pt>
                <c:pt idx="87">
                  <c:v>238.31954368330588</c:v>
                </c:pt>
                <c:pt idx="88">
                  <c:v>107.0303148823545</c:v>
                </c:pt>
                <c:pt idx="89">
                  <c:v>130.17275892058137</c:v>
                </c:pt>
                <c:pt idx="90">
                  <c:v>35.535509262677841</c:v>
                </c:pt>
                <c:pt idx="91">
                  <c:v>42.891052037020103</c:v>
                </c:pt>
                <c:pt idx="92">
                  <c:v>92.529727834190567</c:v>
                </c:pt>
                <c:pt idx="93">
                  <c:v>86.793954062353478</c:v>
                </c:pt>
                <c:pt idx="94">
                  <c:v>102.24525457521003</c:v>
                </c:pt>
                <c:pt idx="95">
                  <c:v>128.92548403052928</c:v>
                </c:pt>
                <c:pt idx="96">
                  <c:v>60.877452177876748</c:v>
                </c:pt>
                <c:pt idx="97">
                  <c:v>46.652534789211515</c:v>
                </c:pt>
                <c:pt idx="98">
                  <c:v>45.943084565312731</c:v>
                </c:pt>
                <c:pt idx="99">
                  <c:v>62.287510661445147</c:v>
                </c:pt>
                <c:pt idx="100">
                  <c:v>31.271938883198857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C-487B-8A4F-1160EE99E541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Sheet3!$C$110:$C$210</c:f>
              <c:numCache>
                <c:formatCode>0.0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3.3240872442874811E-2</c:v>
                </c:pt>
                <c:pt idx="3">
                  <c:v>0.15325606773646264</c:v>
                </c:pt>
                <c:pt idx="4">
                  <c:v>0.77081548392948873</c:v>
                </c:pt>
                <c:pt idx="5">
                  <c:v>1.2829692961640395</c:v>
                </c:pt>
                <c:pt idx="6">
                  <c:v>1.6555438563780682</c:v>
                </c:pt>
                <c:pt idx="7">
                  <c:v>2.1387241213034058</c:v>
                </c:pt>
                <c:pt idx="8">
                  <c:v>2.537231869899057</c:v>
                </c:pt>
                <c:pt idx="9">
                  <c:v>2.9428648760618876</c:v>
                </c:pt>
                <c:pt idx="10">
                  <c:v>3.3685601299794357</c:v>
                </c:pt>
                <c:pt idx="11">
                  <c:v>3.899418620510124</c:v>
                </c:pt>
                <c:pt idx="12">
                  <c:v>4.3041592141236826</c:v>
                </c:pt>
                <c:pt idx="13">
                  <c:v>4.6827225996662305</c:v>
                </c:pt>
                <c:pt idx="14">
                  <c:v>5.2276762325504622</c:v>
                </c:pt>
                <c:pt idx="15">
                  <c:v>5.7697389950724043</c:v>
                </c:pt>
                <c:pt idx="16">
                  <c:v>6.1124635239067393</c:v>
                </c:pt>
                <c:pt idx="17">
                  <c:v>6.5887690653758648</c:v>
                </c:pt>
                <c:pt idx="18">
                  <c:v>6.9788020198985006</c:v>
                </c:pt>
                <c:pt idx="19">
                  <c:v>7.3768880726242978</c:v>
                </c:pt>
                <c:pt idx="20">
                  <c:v>7.7825636412838284</c:v>
                </c:pt>
                <c:pt idx="21">
                  <c:v>8.2967242253323548</c:v>
                </c:pt>
                <c:pt idx="22">
                  <c:v>8.6798866346641042</c:v>
                </c:pt>
                <c:pt idx="23">
                  <c:v>9.0892466118167814</c:v>
                </c:pt>
                <c:pt idx="24">
                  <c:v>9.6202016436279489</c:v>
                </c:pt>
                <c:pt idx="25">
                  <c:v>10.105766718205381</c:v>
                </c:pt>
                <c:pt idx="26">
                  <c:v>10.470359675022205</c:v>
                </c:pt>
                <c:pt idx="27">
                  <c:v>10.848771186899368</c:v>
                </c:pt>
                <c:pt idx="28">
                  <c:v>11.320815675800075</c:v>
                </c:pt>
                <c:pt idx="29">
                  <c:v>11.743680377628371</c:v>
                </c:pt>
                <c:pt idx="30">
                  <c:v>12.140903066861974</c:v>
                </c:pt>
                <c:pt idx="31">
                  <c:v>12.542257090483968</c:v>
                </c:pt>
                <c:pt idx="32">
                  <c:v>13.019715512532253</c:v>
                </c:pt>
                <c:pt idx="33">
                  <c:v>13.430661941754007</c:v>
                </c:pt>
                <c:pt idx="34">
                  <c:v>13.844581461547966</c:v>
                </c:pt>
                <c:pt idx="35">
                  <c:v>14.244759814808882</c:v>
                </c:pt>
                <c:pt idx="36">
                  <c:v>14.862382973213368</c:v>
                </c:pt>
                <c:pt idx="37">
                  <c:v>15.397689420344246</c:v>
                </c:pt>
                <c:pt idx="38">
                  <c:v>15.829145972892729</c:v>
                </c:pt>
                <c:pt idx="39">
                  <c:v>16.353075363160396</c:v>
                </c:pt>
                <c:pt idx="40">
                  <c:v>16.793263903869153</c:v>
                </c:pt>
                <c:pt idx="41">
                  <c:v>17.209776384093111</c:v>
                </c:pt>
                <c:pt idx="42">
                  <c:v>17.640298809465413</c:v>
                </c:pt>
                <c:pt idx="43">
                  <c:v>18.13519508120104</c:v>
                </c:pt>
                <c:pt idx="44">
                  <c:v>18.580327994629187</c:v>
                </c:pt>
                <c:pt idx="45">
                  <c:v>18.979358108762629</c:v>
                </c:pt>
                <c:pt idx="46">
                  <c:v>19.566876757391039</c:v>
                </c:pt>
                <c:pt idx="47">
                  <c:v>19.989125603683007</c:v>
                </c:pt>
                <c:pt idx="48">
                  <c:v>20.444145030261321</c:v>
                </c:pt>
                <c:pt idx="49">
                  <c:v>20.92258707565038</c:v>
                </c:pt>
                <c:pt idx="50">
                  <c:v>21.376813635382113</c:v>
                </c:pt>
                <c:pt idx="51">
                  <c:v>21.750742844668295</c:v>
                </c:pt>
                <c:pt idx="52">
                  <c:v>22.136966391322595</c:v>
                </c:pt>
                <c:pt idx="53">
                  <c:v>22.577622062455749</c:v>
                </c:pt>
                <c:pt idx="54">
                  <c:v>22.961236803604006</c:v>
                </c:pt>
                <c:pt idx="55">
                  <c:v>23.441534499606718</c:v>
                </c:pt>
                <c:pt idx="56">
                  <c:v>23.897093046084915</c:v>
                </c:pt>
                <c:pt idx="57">
                  <c:v>24.252951994174133</c:v>
                </c:pt>
                <c:pt idx="58">
                  <c:v>24.583438785858952</c:v>
                </c:pt>
                <c:pt idx="59">
                  <c:v>24.9826165242267</c:v>
                </c:pt>
                <c:pt idx="60">
                  <c:v>25.400398235798267</c:v>
                </c:pt>
                <c:pt idx="61">
                  <c:v>25.732806214724899</c:v>
                </c:pt>
                <c:pt idx="62">
                  <c:v>26.102094248416272</c:v>
                </c:pt>
                <c:pt idx="63">
                  <c:v>26.500100072485687</c:v>
                </c:pt>
                <c:pt idx="64">
                  <c:v>26.9380524458157</c:v>
                </c:pt>
                <c:pt idx="65">
                  <c:v>27.326892513953769</c:v>
                </c:pt>
                <c:pt idx="66">
                  <c:v>27.730774376420282</c:v>
                </c:pt>
                <c:pt idx="67">
                  <c:v>28.311649448741829</c:v>
                </c:pt>
                <c:pt idx="68">
                  <c:v>28.779026046920826</c:v>
                </c:pt>
                <c:pt idx="69">
                  <c:v>29.134663576525703</c:v>
                </c:pt>
                <c:pt idx="70">
                  <c:v>29.500643137933448</c:v>
                </c:pt>
                <c:pt idx="71">
                  <c:v>29.911236919661143</c:v>
                </c:pt>
                <c:pt idx="72">
                  <c:v>30.332161461821382</c:v>
                </c:pt>
                <c:pt idx="73">
                  <c:v>30.70514455411552</c:v>
                </c:pt>
                <c:pt idx="74">
                  <c:v>31.147878457717471</c:v>
                </c:pt>
                <c:pt idx="75">
                  <c:v>31.557534926404422</c:v>
                </c:pt>
                <c:pt idx="76">
                  <c:v>31.915923966832171</c:v>
                </c:pt>
                <c:pt idx="77">
                  <c:v>32.332474796327517</c:v>
                </c:pt>
                <c:pt idx="78">
                  <c:v>32.924483099720376</c:v>
                </c:pt>
                <c:pt idx="79">
                  <c:v>33.341248773840519</c:v>
                </c:pt>
                <c:pt idx="80">
                  <c:v>33.742848211821155</c:v>
                </c:pt>
                <c:pt idx="81">
                  <c:v>34.188412452900828</c:v>
                </c:pt>
                <c:pt idx="82">
                  <c:v>34.574929749699585</c:v>
                </c:pt>
                <c:pt idx="83">
                  <c:v>34.962923695830725</c:v>
                </c:pt>
                <c:pt idx="84">
                  <c:v>35.299532372184771</c:v>
                </c:pt>
                <c:pt idx="85">
                  <c:v>35.70858596187567</c:v>
                </c:pt>
                <c:pt idx="86">
                  <c:v>35.942049423195307</c:v>
                </c:pt>
                <c:pt idx="87">
                  <c:v>36.128851294412954</c:v>
                </c:pt>
                <c:pt idx="88">
                  <c:v>36.280609290673588</c:v>
                </c:pt>
                <c:pt idx="89">
                  <c:v>36.449524542588676</c:v>
                </c:pt>
                <c:pt idx="90">
                  <c:v>36.532707164099456</c:v>
                </c:pt>
                <c:pt idx="91">
                  <c:v>36.624863453070702</c:v>
                </c:pt>
                <c:pt idx="92">
                  <c:v>36.765015799660908</c:v>
                </c:pt>
                <c:pt idx="93">
                  <c:v>36.900354800156869</c:v>
                </c:pt>
                <c:pt idx="94">
                  <c:v>37.048365426348347</c:v>
                </c:pt>
                <c:pt idx="95">
                  <c:v>37.216392444320469</c:v>
                </c:pt>
                <c:pt idx="96">
                  <c:v>37.327922636669555</c:v>
                </c:pt>
                <c:pt idx="97">
                  <c:v>37.424396676885415</c:v>
                </c:pt>
                <c:pt idx="98">
                  <c:v>37.520068778082162</c:v>
                </c:pt>
                <c:pt idx="99">
                  <c:v>37.632999930342272</c:v>
                </c:pt>
                <c:pt idx="100">
                  <c:v>37.72275284840493</c:v>
                </c:pt>
              </c:numCache>
            </c:numRef>
          </c:xVal>
          <c:yVal>
            <c:numRef>
              <c:f>Sheet3!$G$110:$G$210</c:f>
              <c:numCache>
                <c:formatCode>0.0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1.2033093722495699E-40</c:v>
                </c:pt>
                <c:pt idx="3">
                  <c:v>1.1216989471413179E-7</c:v>
                </c:pt>
                <c:pt idx="4">
                  <c:v>47461.537713911668</c:v>
                </c:pt>
                <c:pt idx="5">
                  <c:v>11826.847227860277</c:v>
                </c:pt>
                <c:pt idx="6">
                  <c:v>478.54197766604057</c:v>
                </c:pt>
                <c:pt idx="7">
                  <c:v>7051.0713612440222</c:v>
                </c:pt>
                <c:pt idx="8">
                  <c:v>1007.3018814272219</c:v>
                </c:pt>
                <c:pt idx="9">
                  <c:v>1219.403766941628</c:v>
                </c:pt>
                <c:pt idx="10">
                  <c:v>2029.8437908818717</c:v>
                </c:pt>
                <c:pt idx="11">
                  <c:v>15945.511831042757</c:v>
                </c:pt>
                <c:pt idx="12">
                  <c:v>1190.92111712211</c:v>
                </c:pt>
                <c:pt idx="13">
                  <c:v>572.40048651556401</c:v>
                </c:pt>
                <c:pt idx="14">
                  <c:v>19641.703455925923</c:v>
                </c:pt>
                <c:pt idx="15">
                  <c:v>18840.592331433389</c:v>
                </c:pt>
                <c:pt idx="16">
                  <c:v>181.50797026695469</c:v>
                </c:pt>
                <c:pt idx="17">
                  <c:v>6172.5461056048453</c:v>
                </c:pt>
                <c:pt idx="18">
                  <c:v>796.71401311997647</c:v>
                </c:pt>
                <c:pt idx="19">
                  <c:v>995.80280915909054</c:v>
                </c:pt>
                <c:pt idx="20">
                  <c:v>1220.7765280868671</c:v>
                </c:pt>
                <c:pt idx="21">
                  <c:v>12227.594264566549</c:v>
                </c:pt>
                <c:pt idx="22">
                  <c:v>654.79211648166017</c:v>
                </c:pt>
                <c:pt idx="23">
                  <c:v>1344.6860556629308</c:v>
                </c:pt>
                <c:pt idx="24">
                  <c:v>15969.054140760991</c:v>
                </c:pt>
                <c:pt idx="25">
                  <c:v>7377.1401729670388</c:v>
                </c:pt>
                <c:pt idx="26">
                  <c:v>374.15217450042729</c:v>
                </c:pt>
                <c:pt idx="27">
                  <c:v>569.83877781601529</c:v>
                </c:pt>
                <c:pt idx="28">
                  <c:v>5672.0817847867729</c:v>
                </c:pt>
                <c:pt idx="29">
                  <c:v>1893.6997011926885</c:v>
                </c:pt>
                <c:pt idx="30">
                  <c:v>972.6087179999638</c:v>
                </c:pt>
                <c:pt idx="31">
                  <c:v>1087.9150873670351</c:v>
                </c:pt>
                <c:pt idx="32">
                  <c:v>6313.6508303761839</c:v>
                </c:pt>
                <c:pt idx="33">
                  <c:v>1401.2285657319012</c:v>
                </c:pt>
                <c:pt idx="34">
                  <c:v>1512.6114617102626</c:v>
                </c:pt>
                <c:pt idx="35">
                  <c:v>1053.9758330008001</c:v>
                </c:pt>
                <c:pt idx="36">
                  <c:v>47492.594379491107</c:v>
                </c:pt>
                <c:pt idx="37">
                  <c:v>17055.305709046297</c:v>
                </c:pt>
                <c:pt idx="38">
                  <c:v>2332.2227443517877</c:v>
                </c:pt>
                <c:pt idx="39">
                  <c:v>14318.093324543377</c:v>
                </c:pt>
                <c:pt idx="40">
                  <c:v>2860.844393786228</c:v>
                </c:pt>
                <c:pt idx="41">
                  <c:v>1615.7598226408409</c:v>
                </c:pt>
                <c:pt idx="42">
                  <c:v>2280.8046351256899</c:v>
                </c:pt>
                <c:pt idx="43">
                  <c:v>8763.8389159871258</c:v>
                </c:pt>
                <c:pt idx="44">
                  <c:v>3201.2727991658976</c:v>
                </c:pt>
                <c:pt idx="45">
                  <c:v>1021.7028044266982</c:v>
                </c:pt>
                <c:pt idx="46">
                  <c:v>34124.413759469331</c:v>
                </c:pt>
                <c:pt idx="47">
                  <c:v>1865.1122494291126</c:v>
                </c:pt>
                <c:pt idx="48">
                  <c:v>3980.6331435236866</c:v>
                </c:pt>
                <c:pt idx="49">
                  <c:v>6435.994962574433</c:v>
                </c:pt>
                <c:pt idx="50">
                  <c:v>3912.9961541673024</c:v>
                </c:pt>
                <c:pt idx="51">
                  <c:v>498.52748161966713</c:v>
                </c:pt>
                <c:pt idx="52">
                  <c:v>715.09096007024823</c:v>
                </c:pt>
                <c:pt idx="53">
                  <c:v>2891.6833588102281</c:v>
                </c:pt>
                <c:pt idx="54">
                  <c:v>663.41799392738187</c:v>
                </c:pt>
                <c:pt idx="55">
                  <c:v>6671.7622847532029</c:v>
                </c:pt>
                <c:pt idx="56">
                  <c:v>4027.1562907155758</c:v>
                </c:pt>
                <c:pt idx="57">
                  <c:v>282.85664698783864</c:v>
                </c:pt>
                <c:pt idx="58">
                  <c:v>116.67606686503349</c:v>
                </c:pt>
                <c:pt idx="59">
                  <c:v>1025.8042552786389</c:v>
                </c:pt>
                <c:pt idx="60">
                  <c:v>1668.3684451260847</c:v>
                </c:pt>
                <c:pt idx="61">
                  <c:v>125.30870940647098</c:v>
                </c:pt>
                <c:pt idx="62">
                  <c:v>432.88411322182498</c:v>
                </c:pt>
                <c:pt idx="63">
                  <c:v>993.62779935816434</c:v>
                </c:pt>
                <c:pt idx="64">
                  <c:v>2716.9243309337562</c:v>
                </c:pt>
                <c:pt idx="65">
                  <c:v>770.33900478319833</c:v>
                </c:pt>
                <c:pt idx="66">
                  <c:v>1164.0487335418752</c:v>
                </c:pt>
                <c:pt idx="67">
                  <c:v>31525.657399449341</c:v>
                </c:pt>
                <c:pt idx="68">
                  <c:v>5160.7192810114311</c:v>
                </c:pt>
                <c:pt idx="69">
                  <c:v>280.8155817424684</c:v>
                </c:pt>
                <c:pt idx="70">
                  <c:v>390.74071532684326</c:v>
                </c:pt>
                <c:pt idx="71">
                  <c:v>1388.4892356777277</c:v>
                </c:pt>
                <c:pt idx="72">
                  <c:v>1804.860418997531</c:v>
                </c:pt>
                <c:pt idx="73">
                  <c:v>484.49554083001004</c:v>
                </c:pt>
                <c:pt idx="74">
                  <c:v>3032.1970419406161</c:v>
                </c:pt>
                <c:pt idx="75">
                  <c:v>1355.104045764064</c:v>
                </c:pt>
                <c:pt idx="76">
                  <c:v>307.0933649346029</c:v>
                </c:pt>
                <c:pt idx="77">
                  <c:v>1617.3286765154157</c:v>
                </c:pt>
                <c:pt idx="78">
                  <c:v>35952.502981329679</c:v>
                </c:pt>
                <c:pt idx="79">
                  <c:v>1626.1416018853058</c:v>
                </c:pt>
                <c:pt idx="80">
                  <c:v>1095.115795697528</c:v>
                </c:pt>
                <c:pt idx="81">
                  <c:v>3232.4694423699962</c:v>
                </c:pt>
                <c:pt idx="82">
                  <c:v>5004.9865612834783</c:v>
                </c:pt>
                <c:pt idx="83">
                  <c:v>5172.1796263346023</c:v>
                </c:pt>
                <c:pt idx="84">
                  <c:v>2772.4596060391109</c:v>
                </c:pt>
                <c:pt idx="85">
                  <c:v>13462.753427799114</c:v>
                </c:pt>
                <c:pt idx="86">
                  <c:v>61.643654565085932</c:v>
                </c:pt>
                <c:pt idx="87">
                  <c:v>0.83205220408412006</c:v>
                </c:pt>
                <c:pt idx="88">
                  <c:v>8.4991542860652535E-5</c:v>
                </c:pt>
                <c:pt idx="89">
                  <c:v>1.1312252044498564E-3</c:v>
                </c:pt>
                <c:pt idx="90">
                  <c:v>1.3543010477561232E-13</c:v>
                </c:pt>
                <c:pt idx="91">
                  <c:v>9.71083786097464E-12</c:v>
                </c:pt>
                <c:pt idx="92">
                  <c:v>1.049184961519339E-5</c:v>
                </c:pt>
                <c:pt idx="93">
                  <c:v>3.986606839723417E-6</c:v>
                </c:pt>
                <c:pt idx="94">
                  <c:v>4.4757751825263007E-5</c:v>
                </c:pt>
                <c:pt idx="95">
                  <c:v>1.0016849461777411E-3</c:v>
                </c:pt>
                <c:pt idx="96">
                  <c:v>1.0410476757621195E-8</c:v>
                </c:pt>
                <c:pt idx="97">
                  <c:v>5.7903021086721965E-11</c:v>
                </c:pt>
                <c:pt idx="98">
                  <c:v>4.2045027062547364E-11</c:v>
                </c:pt>
                <c:pt idx="99">
                  <c:v>1.5779783223945102E-8</c:v>
                </c:pt>
                <c:pt idx="100">
                  <c:v>5.8872384171095459E-15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C-487B-8A4F-1160EE99E541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Sheet3!$C$110:$C$210</c:f>
              <c:numCache>
                <c:formatCode>0.0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3.3240872442874811E-2</c:v>
                </c:pt>
                <c:pt idx="3">
                  <c:v>0.15325606773646264</c:v>
                </c:pt>
                <c:pt idx="4">
                  <c:v>0.77081548392948873</c:v>
                </c:pt>
                <c:pt idx="5">
                  <c:v>1.2829692961640395</c:v>
                </c:pt>
                <c:pt idx="6">
                  <c:v>1.6555438563780682</c:v>
                </c:pt>
                <c:pt idx="7">
                  <c:v>2.1387241213034058</c:v>
                </c:pt>
                <c:pt idx="8">
                  <c:v>2.537231869899057</c:v>
                </c:pt>
                <c:pt idx="9">
                  <c:v>2.9428648760618876</c:v>
                </c:pt>
                <c:pt idx="10">
                  <c:v>3.3685601299794357</c:v>
                </c:pt>
                <c:pt idx="11">
                  <c:v>3.899418620510124</c:v>
                </c:pt>
                <c:pt idx="12">
                  <c:v>4.3041592141236826</c:v>
                </c:pt>
                <c:pt idx="13">
                  <c:v>4.6827225996662305</c:v>
                </c:pt>
                <c:pt idx="14">
                  <c:v>5.2276762325504622</c:v>
                </c:pt>
                <c:pt idx="15">
                  <c:v>5.7697389950724043</c:v>
                </c:pt>
                <c:pt idx="16">
                  <c:v>6.1124635239067393</c:v>
                </c:pt>
                <c:pt idx="17">
                  <c:v>6.5887690653758648</c:v>
                </c:pt>
                <c:pt idx="18">
                  <c:v>6.9788020198985006</c:v>
                </c:pt>
                <c:pt idx="19">
                  <c:v>7.3768880726242978</c:v>
                </c:pt>
                <c:pt idx="20">
                  <c:v>7.7825636412838284</c:v>
                </c:pt>
                <c:pt idx="21">
                  <c:v>8.2967242253323548</c:v>
                </c:pt>
                <c:pt idx="22">
                  <c:v>8.6798866346641042</c:v>
                </c:pt>
                <c:pt idx="23">
                  <c:v>9.0892466118167814</c:v>
                </c:pt>
                <c:pt idx="24">
                  <c:v>9.6202016436279489</c:v>
                </c:pt>
                <c:pt idx="25">
                  <c:v>10.105766718205381</c:v>
                </c:pt>
                <c:pt idx="26">
                  <c:v>10.470359675022205</c:v>
                </c:pt>
                <c:pt idx="27">
                  <c:v>10.848771186899368</c:v>
                </c:pt>
                <c:pt idx="28">
                  <c:v>11.320815675800075</c:v>
                </c:pt>
                <c:pt idx="29">
                  <c:v>11.743680377628371</c:v>
                </c:pt>
                <c:pt idx="30">
                  <c:v>12.140903066861974</c:v>
                </c:pt>
                <c:pt idx="31">
                  <c:v>12.542257090483968</c:v>
                </c:pt>
                <c:pt idx="32">
                  <c:v>13.019715512532253</c:v>
                </c:pt>
                <c:pt idx="33">
                  <c:v>13.430661941754007</c:v>
                </c:pt>
                <c:pt idx="34">
                  <c:v>13.844581461547966</c:v>
                </c:pt>
                <c:pt idx="35">
                  <c:v>14.244759814808882</c:v>
                </c:pt>
                <c:pt idx="36">
                  <c:v>14.862382973213368</c:v>
                </c:pt>
                <c:pt idx="37">
                  <c:v>15.397689420344246</c:v>
                </c:pt>
                <c:pt idx="38">
                  <c:v>15.829145972892729</c:v>
                </c:pt>
                <c:pt idx="39">
                  <c:v>16.353075363160396</c:v>
                </c:pt>
                <c:pt idx="40">
                  <c:v>16.793263903869153</c:v>
                </c:pt>
                <c:pt idx="41">
                  <c:v>17.209776384093111</c:v>
                </c:pt>
                <c:pt idx="42">
                  <c:v>17.640298809465413</c:v>
                </c:pt>
                <c:pt idx="43">
                  <c:v>18.13519508120104</c:v>
                </c:pt>
                <c:pt idx="44">
                  <c:v>18.580327994629187</c:v>
                </c:pt>
                <c:pt idx="45">
                  <c:v>18.979358108762629</c:v>
                </c:pt>
                <c:pt idx="46">
                  <c:v>19.566876757391039</c:v>
                </c:pt>
                <c:pt idx="47">
                  <c:v>19.989125603683007</c:v>
                </c:pt>
                <c:pt idx="48">
                  <c:v>20.444145030261321</c:v>
                </c:pt>
                <c:pt idx="49">
                  <c:v>20.92258707565038</c:v>
                </c:pt>
                <c:pt idx="50">
                  <c:v>21.376813635382113</c:v>
                </c:pt>
                <c:pt idx="51">
                  <c:v>21.750742844668295</c:v>
                </c:pt>
                <c:pt idx="52">
                  <c:v>22.136966391322595</c:v>
                </c:pt>
                <c:pt idx="53">
                  <c:v>22.577622062455749</c:v>
                </c:pt>
                <c:pt idx="54">
                  <c:v>22.961236803604006</c:v>
                </c:pt>
                <c:pt idx="55">
                  <c:v>23.441534499606718</c:v>
                </c:pt>
                <c:pt idx="56">
                  <c:v>23.897093046084915</c:v>
                </c:pt>
                <c:pt idx="57">
                  <c:v>24.252951994174133</c:v>
                </c:pt>
                <c:pt idx="58">
                  <c:v>24.583438785858952</c:v>
                </c:pt>
                <c:pt idx="59">
                  <c:v>24.9826165242267</c:v>
                </c:pt>
                <c:pt idx="60">
                  <c:v>25.400398235798267</c:v>
                </c:pt>
                <c:pt idx="61">
                  <c:v>25.732806214724899</c:v>
                </c:pt>
                <c:pt idx="62">
                  <c:v>26.102094248416272</c:v>
                </c:pt>
                <c:pt idx="63">
                  <c:v>26.500100072485687</c:v>
                </c:pt>
                <c:pt idx="64">
                  <c:v>26.9380524458157</c:v>
                </c:pt>
                <c:pt idx="65">
                  <c:v>27.326892513953769</c:v>
                </c:pt>
                <c:pt idx="66">
                  <c:v>27.730774376420282</c:v>
                </c:pt>
                <c:pt idx="67">
                  <c:v>28.311649448741829</c:v>
                </c:pt>
                <c:pt idx="68">
                  <c:v>28.779026046920826</c:v>
                </c:pt>
                <c:pt idx="69">
                  <c:v>29.134663576525703</c:v>
                </c:pt>
                <c:pt idx="70">
                  <c:v>29.500643137933448</c:v>
                </c:pt>
                <c:pt idx="71">
                  <c:v>29.911236919661143</c:v>
                </c:pt>
                <c:pt idx="72">
                  <c:v>30.332161461821382</c:v>
                </c:pt>
                <c:pt idx="73">
                  <c:v>30.70514455411552</c:v>
                </c:pt>
                <c:pt idx="74">
                  <c:v>31.147878457717471</c:v>
                </c:pt>
                <c:pt idx="75">
                  <c:v>31.557534926404422</c:v>
                </c:pt>
                <c:pt idx="76">
                  <c:v>31.915923966832171</c:v>
                </c:pt>
                <c:pt idx="77">
                  <c:v>32.332474796327517</c:v>
                </c:pt>
                <c:pt idx="78">
                  <c:v>32.924483099720376</c:v>
                </c:pt>
                <c:pt idx="79">
                  <c:v>33.341248773840519</c:v>
                </c:pt>
                <c:pt idx="80">
                  <c:v>33.742848211821155</c:v>
                </c:pt>
                <c:pt idx="81">
                  <c:v>34.188412452900828</c:v>
                </c:pt>
                <c:pt idx="82">
                  <c:v>34.574929749699585</c:v>
                </c:pt>
                <c:pt idx="83">
                  <c:v>34.962923695830725</c:v>
                </c:pt>
                <c:pt idx="84">
                  <c:v>35.299532372184771</c:v>
                </c:pt>
                <c:pt idx="85">
                  <c:v>35.70858596187567</c:v>
                </c:pt>
                <c:pt idx="86">
                  <c:v>35.942049423195307</c:v>
                </c:pt>
                <c:pt idx="87">
                  <c:v>36.128851294412954</c:v>
                </c:pt>
                <c:pt idx="88">
                  <c:v>36.280609290673588</c:v>
                </c:pt>
                <c:pt idx="89">
                  <c:v>36.449524542588676</c:v>
                </c:pt>
                <c:pt idx="90">
                  <c:v>36.532707164099456</c:v>
                </c:pt>
                <c:pt idx="91">
                  <c:v>36.624863453070702</c:v>
                </c:pt>
                <c:pt idx="92">
                  <c:v>36.765015799660908</c:v>
                </c:pt>
                <c:pt idx="93">
                  <c:v>36.900354800156869</c:v>
                </c:pt>
                <c:pt idx="94">
                  <c:v>37.048365426348347</c:v>
                </c:pt>
                <c:pt idx="95">
                  <c:v>37.216392444320469</c:v>
                </c:pt>
                <c:pt idx="96">
                  <c:v>37.327922636669555</c:v>
                </c:pt>
                <c:pt idx="97">
                  <c:v>37.424396676885415</c:v>
                </c:pt>
                <c:pt idx="98">
                  <c:v>37.520068778082162</c:v>
                </c:pt>
                <c:pt idx="99">
                  <c:v>37.632999930342272</c:v>
                </c:pt>
                <c:pt idx="100">
                  <c:v>37.72275284840493</c:v>
                </c:pt>
              </c:numCache>
            </c:numRef>
          </c:xVal>
          <c:yVal>
            <c:numRef>
              <c:f>Sheet3!$H$110:$H$210</c:f>
              <c:numCache>
                <c:formatCode>0.0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57.519519538476466</c:v>
                </c:pt>
                <c:pt idx="3">
                  <c:v>739.42179973670238</c:v>
                </c:pt>
                <c:pt idx="4">
                  <c:v>17146.263697960851</c:v>
                </c:pt>
                <c:pt idx="5">
                  <c:v>12214.603050381247</c:v>
                </c:pt>
                <c:pt idx="6">
                  <c:v>6734.124041138346</c:v>
                </c:pt>
                <c:pt idx="7">
                  <c:v>10970.351484829907</c:v>
                </c:pt>
                <c:pt idx="8">
                  <c:v>7649.6794815423182</c:v>
                </c:pt>
                <c:pt idx="9">
                  <c:v>7909.8995962373683</c:v>
                </c:pt>
                <c:pt idx="10">
                  <c:v>8662.1362861228845</c:v>
                </c:pt>
                <c:pt idx="11">
                  <c:v>13044.867045425872</c:v>
                </c:pt>
                <c:pt idx="12">
                  <c:v>7877.1065206997555</c:v>
                </c:pt>
                <c:pt idx="13">
                  <c:v>6941.1031264261301</c:v>
                </c:pt>
                <c:pt idx="14">
                  <c:v>13683.970526270103</c:v>
                </c:pt>
                <c:pt idx="15">
                  <c:v>13551.968985483132</c:v>
                </c:pt>
                <c:pt idx="16">
                  <c:v>5743.4121813981501</c:v>
                </c:pt>
                <c:pt idx="17">
                  <c:v>10682.8403380695</c:v>
                </c:pt>
                <c:pt idx="18">
                  <c:v>7344.9965466735048</c:v>
                </c:pt>
                <c:pt idx="19">
                  <c:v>7634.3944574345842</c:v>
                </c:pt>
                <c:pt idx="20">
                  <c:v>7911.465056957526</c:v>
                </c:pt>
                <c:pt idx="21">
                  <c:v>12302.685071501823</c:v>
                </c:pt>
                <c:pt idx="22">
                  <c:v>7101.8779889451343</c:v>
                </c:pt>
                <c:pt idx="23">
                  <c:v>8047.4730526251742</c:v>
                </c:pt>
                <c:pt idx="24">
                  <c:v>13049.205612299647</c:v>
                </c:pt>
                <c:pt idx="25">
                  <c:v>11070.790668219974</c:v>
                </c:pt>
                <c:pt idx="26">
                  <c:v>6462.4965822166041</c:v>
                </c:pt>
                <c:pt idx="27">
                  <c:v>6935.8208751023603</c:v>
                </c:pt>
                <c:pt idx="28">
                  <c:v>10506.159357308741</c:v>
                </c:pt>
                <c:pt idx="29">
                  <c:v>8554.2780124789042</c:v>
                </c:pt>
                <c:pt idx="30">
                  <c:v>7603.1409863721592</c:v>
                </c:pt>
                <c:pt idx="31">
                  <c:v>7753.1858756126621</c:v>
                </c:pt>
                <c:pt idx="32">
                  <c:v>10730.844523627418</c:v>
                </c:pt>
                <c:pt idx="33">
                  <c:v>8106.3363573466704</c:v>
                </c:pt>
                <c:pt idx="34">
                  <c:v>8217.1338748639391</c:v>
                </c:pt>
                <c:pt idx="35">
                  <c:v>7710.3605122522968</c:v>
                </c:pt>
                <c:pt idx="36">
                  <c:v>17149.420698283709</c:v>
                </c:pt>
                <c:pt idx="37">
                  <c:v>13245.317859552812</c:v>
                </c:pt>
                <c:pt idx="38">
                  <c:v>8883.3993158765152</c:v>
                </c:pt>
                <c:pt idx="39">
                  <c:v>12734.891295162824</c:v>
                </c:pt>
                <c:pt idx="40">
                  <c:v>9223.1307904078967</c:v>
                </c:pt>
                <c:pt idx="41">
                  <c:v>8314.279370302067</c:v>
                </c:pt>
                <c:pt idx="42">
                  <c:v>8847.3672767608623</c:v>
                </c:pt>
                <c:pt idx="43">
                  <c:v>11467.226711832438</c:v>
                </c:pt>
                <c:pt idx="44">
                  <c:v>9417.8146601788376</c:v>
                </c:pt>
                <c:pt idx="45">
                  <c:v>7668.6314133957385</c:v>
                </c:pt>
                <c:pt idx="46">
                  <c:v>15680.578159856492</c:v>
                </c:pt>
                <c:pt idx="47">
                  <c:v>8530.8852960887598</c:v>
                </c:pt>
                <c:pt idx="48">
                  <c:v>9812.0508698316298</c:v>
                </c:pt>
                <c:pt idx="49">
                  <c:v>10771.868502507095</c:v>
                </c:pt>
                <c:pt idx="50">
                  <c:v>9780.1925513803089</c:v>
                </c:pt>
                <c:pt idx="51">
                  <c:v>6780.7051444404442</c:v>
                </c:pt>
                <c:pt idx="52">
                  <c:v>7209.7655594760299</c:v>
                </c:pt>
                <c:pt idx="53">
                  <c:v>9241.452717981836</c:v>
                </c:pt>
                <c:pt idx="54">
                  <c:v>7117.7761750027548</c:v>
                </c:pt>
                <c:pt idx="55">
                  <c:v>10849.430717535459</c:v>
                </c:pt>
                <c:pt idx="56">
                  <c:v>9833.7372843867161</c:v>
                </c:pt>
                <c:pt idx="57">
                  <c:v>6170.8517444265326</c:v>
                </c:pt>
                <c:pt idx="58">
                  <c:v>5357.3815390151485</c:v>
                </c:pt>
                <c:pt idx="59">
                  <c:v>7673.9909687090358</c:v>
                </c:pt>
                <c:pt idx="60">
                  <c:v>8362.0052752394386</c:v>
                </c:pt>
                <c:pt idx="61">
                  <c:v>5417.1955639521166</c:v>
                </c:pt>
                <c:pt idx="62">
                  <c:v>6621.690973486674</c:v>
                </c:pt>
                <c:pt idx="63">
                  <c:v>7631.4879135603042</c:v>
                </c:pt>
                <c:pt idx="64">
                  <c:v>9135.6299353456561</c:v>
                </c:pt>
                <c:pt idx="65">
                  <c:v>7302.5345175362472</c:v>
                </c:pt>
                <c:pt idx="66">
                  <c:v>7845.6054373947236</c:v>
                </c:pt>
                <c:pt idx="67">
                  <c:v>15362.58693766798</c:v>
                </c:pt>
                <c:pt idx="68">
                  <c:v>10313.959042870873</c:v>
                </c:pt>
                <c:pt idx="69">
                  <c:v>6163.5346530937722</c:v>
                </c:pt>
                <c:pt idx="70">
                  <c:v>6509.3366659888397</c:v>
                </c:pt>
                <c:pt idx="71">
                  <c:v>8093.2362317584093</c:v>
                </c:pt>
                <c:pt idx="72">
                  <c:v>8480.6731827536023</c:v>
                </c:pt>
                <c:pt idx="73">
                  <c:v>6748.1572519216188</c:v>
                </c:pt>
                <c:pt idx="74">
                  <c:v>9323.1462295383462</c:v>
                </c:pt>
                <c:pt idx="75">
                  <c:v>8058.4602914580464</c:v>
                </c:pt>
                <c:pt idx="76">
                  <c:v>6254.7315471087095</c:v>
                </c:pt>
                <c:pt idx="77">
                  <c:v>8315.7197140869775</c:v>
                </c:pt>
                <c:pt idx="78">
                  <c:v>15896.759043073507</c:v>
                </c:pt>
                <c:pt idx="79">
                  <c:v>8323.7909005635574</c:v>
                </c:pt>
                <c:pt idx="80">
                  <c:v>7762.1380888772674</c:v>
                </c:pt>
                <c:pt idx="81">
                  <c:v>9434.8769030683015</c:v>
                </c:pt>
                <c:pt idx="82">
                  <c:v>10252.76507939287</c:v>
                </c:pt>
                <c:pt idx="83">
                  <c:v>10318.410391551542</c:v>
                </c:pt>
                <c:pt idx="84">
                  <c:v>9169.7939198619915</c:v>
                </c:pt>
                <c:pt idx="85">
                  <c:v>12563.177412935154</c:v>
                </c:pt>
                <c:pt idx="86">
                  <c:v>4862.8626685585305</c:v>
                </c:pt>
                <c:pt idx="87">
                  <c:v>2782.6342239390001</c:v>
                </c:pt>
                <c:pt idx="88">
                  <c:v>1175.4321698302244</c:v>
                </c:pt>
                <c:pt idx="89">
                  <c:v>1451.4377415536233</c:v>
                </c:pt>
                <c:pt idx="90">
                  <c:v>357.44292794081144</c:v>
                </c:pt>
                <c:pt idx="91">
                  <c:v>438.07564269884477</c:v>
                </c:pt>
                <c:pt idx="92">
                  <c:v>1004.7029248010648</c:v>
                </c:pt>
                <c:pt idx="93">
                  <c:v>937.70723205267518</c:v>
                </c:pt>
                <c:pt idx="94">
                  <c:v>1118.8888350359564</c:v>
                </c:pt>
                <c:pt idx="95">
                  <c:v>1436.4626021076795</c:v>
                </c:pt>
                <c:pt idx="96">
                  <c:v>639.51628672406218</c:v>
                </c:pt>
                <c:pt idx="97">
                  <c:v>479.74033938215041</c:v>
                </c:pt>
                <c:pt idx="98">
                  <c:v>471.86140274312851</c:v>
                </c:pt>
                <c:pt idx="99">
                  <c:v>655.52344867338309</c:v>
                </c:pt>
                <c:pt idx="100">
                  <c:v>311.28458478231335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6C-487B-8A4F-1160EE99E541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Sheet3!$C$110:$C$210</c:f>
              <c:numCache>
                <c:formatCode>0.0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3.3240872442874811E-2</c:v>
                </c:pt>
                <c:pt idx="3">
                  <c:v>0.15325606773646264</c:v>
                </c:pt>
                <c:pt idx="4">
                  <c:v>0.77081548392948873</c:v>
                </c:pt>
                <c:pt idx="5">
                  <c:v>1.2829692961640395</c:v>
                </c:pt>
                <c:pt idx="6">
                  <c:v>1.6555438563780682</c:v>
                </c:pt>
                <c:pt idx="7">
                  <c:v>2.1387241213034058</c:v>
                </c:pt>
                <c:pt idx="8">
                  <c:v>2.537231869899057</c:v>
                </c:pt>
                <c:pt idx="9">
                  <c:v>2.9428648760618876</c:v>
                </c:pt>
                <c:pt idx="10">
                  <c:v>3.3685601299794357</c:v>
                </c:pt>
                <c:pt idx="11">
                  <c:v>3.899418620510124</c:v>
                </c:pt>
                <c:pt idx="12">
                  <c:v>4.3041592141236826</c:v>
                </c:pt>
                <c:pt idx="13">
                  <c:v>4.6827225996662305</c:v>
                </c:pt>
                <c:pt idx="14">
                  <c:v>5.2276762325504622</c:v>
                </c:pt>
                <c:pt idx="15">
                  <c:v>5.7697389950724043</c:v>
                </c:pt>
                <c:pt idx="16">
                  <c:v>6.1124635239067393</c:v>
                </c:pt>
                <c:pt idx="17">
                  <c:v>6.5887690653758648</c:v>
                </c:pt>
                <c:pt idx="18">
                  <c:v>6.9788020198985006</c:v>
                </c:pt>
                <c:pt idx="19">
                  <c:v>7.3768880726242978</c:v>
                </c:pt>
                <c:pt idx="20">
                  <c:v>7.7825636412838284</c:v>
                </c:pt>
                <c:pt idx="21">
                  <c:v>8.2967242253323548</c:v>
                </c:pt>
                <c:pt idx="22">
                  <c:v>8.6798866346641042</c:v>
                </c:pt>
                <c:pt idx="23">
                  <c:v>9.0892466118167814</c:v>
                </c:pt>
                <c:pt idx="24">
                  <c:v>9.6202016436279489</c:v>
                </c:pt>
                <c:pt idx="25">
                  <c:v>10.105766718205381</c:v>
                </c:pt>
                <c:pt idx="26">
                  <c:v>10.470359675022205</c:v>
                </c:pt>
                <c:pt idx="27">
                  <c:v>10.848771186899368</c:v>
                </c:pt>
                <c:pt idx="28">
                  <c:v>11.320815675800075</c:v>
                </c:pt>
                <c:pt idx="29">
                  <c:v>11.743680377628371</c:v>
                </c:pt>
                <c:pt idx="30">
                  <c:v>12.140903066861974</c:v>
                </c:pt>
                <c:pt idx="31">
                  <c:v>12.542257090483968</c:v>
                </c:pt>
                <c:pt idx="32">
                  <c:v>13.019715512532253</c:v>
                </c:pt>
                <c:pt idx="33">
                  <c:v>13.430661941754007</c:v>
                </c:pt>
                <c:pt idx="34">
                  <c:v>13.844581461547966</c:v>
                </c:pt>
                <c:pt idx="35">
                  <c:v>14.244759814808882</c:v>
                </c:pt>
                <c:pt idx="36">
                  <c:v>14.862382973213368</c:v>
                </c:pt>
                <c:pt idx="37">
                  <c:v>15.397689420344246</c:v>
                </c:pt>
                <c:pt idx="38">
                  <c:v>15.829145972892729</c:v>
                </c:pt>
                <c:pt idx="39">
                  <c:v>16.353075363160396</c:v>
                </c:pt>
                <c:pt idx="40">
                  <c:v>16.793263903869153</c:v>
                </c:pt>
                <c:pt idx="41">
                  <c:v>17.209776384093111</c:v>
                </c:pt>
                <c:pt idx="42">
                  <c:v>17.640298809465413</c:v>
                </c:pt>
                <c:pt idx="43">
                  <c:v>18.13519508120104</c:v>
                </c:pt>
                <c:pt idx="44">
                  <c:v>18.580327994629187</c:v>
                </c:pt>
                <c:pt idx="45">
                  <c:v>18.979358108762629</c:v>
                </c:pt>
                <c:pt idx="46">
                  <c:v>19.566876757391039</c:v>
                </c:pt>
                <c:pt idx="47">
                  <c:v>19.989125603683007</c:v>
                </c:pt>
                <c:pt idx="48">
                  <c:v>20.444145030261321</c:v>
                </c:pt>
                <c:pt idx="49">
                  <c:v>20.92258707565038</c:v>
                </c:pt>
                <c:pt idx="50">
                  <c:v>21.376813635382113</c:v>
                </c:pt>
                <c:pt idx="51">
                  <c:v>21.750742844668295</c:v>
                </c:pt>
                <c:pt idx="52">
                  <c:v>22.136966391322595</c:v>
                </c:pt>
                <c:pt idx="53">
                  <c:v>22.577622062455749</c:v>
                </c:pt>
                <c:pt idx="54">
                  <c:v>22.961236803604006</c:v>
                </c:pt>
                <c:pt idx="55">
                  <c:v>23.441534499606718</c:v>
                </c:pt>
                <c:pt idx="56">
                  <c:v>23.897093046084915</c:v>
                </c:pt>
                <c:pt idx="57">
                  <c:v>24.252951994174133</c:v>
                </c:pt>
                <c:pt idx="58">
                  <c:v>24.583438785858952</c:v>
                </c:pt>
                <c:pt idx="59">
                  <c:v>24.9826165242267</c:v>
                </c:pt>
                <c:pt idx="60">
                  <c:v>25.400398235798267</c:v>
                </c:pt>
                <c:pt idx="61">
                  <c:v>25.732806214724899</c:v>
                </c:pt>
                <c:pt idx="62">
                  <c:v>26.102094248416272</c:v>
                </c:pt>
                <c:pt idx="63">
                  <c:v>26.500100072485687</c:v>
                </c:pt>
                <c:pt idx="64">
                  <c:v>26.9380524458157</c:v>
                </c:pt>
                <c:pt idx="65">
                  <c:v>27.326892513953769</c:v>
                </c:pt>
                <c:pt idx="66">
                  <c:v>27.730774376420282</c:v>
                </c:pt>
                <c:pt idx="67">
                  <c:v>28.311649448741829</c:v>
                </c:pt>
                <c:pt idx="68">
                  <c:v>28.779026046920826</c:v>
                </c:pt>
                <c:pt idx="69">
                  <c:v>29.134663576525703</c:v>
                </c:pt>
                <c:pt idx="70">
                  <c:v>29.500643137933448</c:v>
                </c:pt>
                <c:pt idx="71">
                  <c:v>29.911236919661143</c:v>
                </c:pt>
                <c:pt idx="72">
                  <c:v>30.332161461821382</c:v>
                </c:pt>
                <c:pt idx="73">
                  <c:v>30.70514455411552</c:v>
                </c:pt>
                <c:pt idx="74">
                  <c:v>31.147878457717471</c:v>
                </c:pt>
                <c:pt idx="75">
                  <c:v>31.557534926404422</c:v>
                </c:pt>
                <c:pt idx="76">
                  <c:v>31.915923966832171</c:v>
                </c:pt>
                <c:pt idx="77">
                  <c:v>32.332474796327517</c:v>
                </c:pt>
                <c:pt idx="78">
                  <c:v>32.924483099720376</c:v>
                </c:pt>
                <c:pt idx="79">
                  <c:v>33.341248773840519</c:v>
                </c:pt>
                <c:pt idx="80">
                  <c:v>33.742848211821155</c:v>
                </c:pt>
                <c:pt idx="81">
                  <c:v>34.188412452900828</c:v>
                </c:pt>
                <c:pt idx="82">
                  <c:v>34.574929749699585</c:v>
                </c:pt>
                <c:pt idx="83">
                  <c:v>34.962923695830725</c:v>
                </c:pt>
                <c:pt idx="84">
                  <c:v>35.299532372184771</c:v>
                </c:pt>
                <c:pt idx="85">
                  <c:v>35.70858596187567</c:v>
                </c:pt>
                <c:pt idx="86">
                  <c:v>35.942049423195307</c:v>
                </c:pt>
                <c:pt idx="87">
                  <c:v>36.128851294412954</c:v>
                </c:pt>
                <c:pt idx="88">
                  <c:v>36.280609290673588</c:v>
                </c:pt>
                <c:pt idx="89">
                  <c:v>36.449524542588676</c:v>
                </c:pt>
                <c:pt idx="90">
                  <c:v>36.532707164099456</c:v>
                </c:pt>
                <c:pt idx="91">
                  <c:v>36.624863453070702</c:v>
                </c:pt>
                <c:pt idx="92">
                  <c:v>36.765015799660908</c:v>
                </c:pt>
                <c:pt idx="93">
                  <c:v>36.900354800156869</c:v>
                </c:pt>
                <c:pt idx="94">
                  <c:v>37.048365426348347</c:v>
                </c:pt>
                <c:pt idx="95">
                  <c:v>37.216392444320469</c:v>
                </c:pt>
                <c:pt idx="96">
                  <c:v>37.327922636669555</c:v>
                </c:pt>
                <c:pt idx="97">
                  <c:v>37.424396676885415</c:v>
                </c:pt>
                <c:pt idx="98">
                  <c:v>37.520068778082162</c:v>
                </c:pt>
                <c:pt idx="99">
                  <c:v>37.632999930342272</c:v>
                </c:pt>
                <c:pt idx="100">
                  <c:v>37.72275284840493</c:v>
                </c:pt>
              </c:numCache>
            </c:numRef>
          </c:xVal>
          <c:yVal>
            <c:numRef>
              <c:f>Sheet3!$J$110:$J$210</c:f>
              <c:numCache>
                <c:formatCode>0.0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637.7598441318579</c:v>
                </c:pt>
                <c:pt idx="3">
                  <c:v>6865.5509213781806</c:v>
                </c:pt>
                <c:pt idx="4">
                  <c:v>178791.00388052018</c:v>
                </c:pt>
                <c:pt idx="5">
                  <c:v>107229.59844017438</c:v>
                </c:pt>
                <c:pt idx="6">
                  <c:v>54949.051761215043</c:v>
                </c:pt>
                <c:pt idx="7">
                  <c:v>93272.726704003609</c:v>
                </c:pt>
                <c:pt idx="8">
                  <c:v>62417.086925470547</c:v>
                </c:pt>
                <c:pt idx="9">
                  <c:v>64592.649652405853</c:v>
                </c:pt>
                <c:pt idx="10">
                  <c:v>71058.954895550269</c:v>
                </c:pt>
                <c:pt idx="11">
                  <c:v>117445.44887424927</c:v>
                </c:pt>
                <c:pt idx="12">
                  <c:v>64316.934052696241</c:v>
                </c:pt>
                <c:pt idx="13">
                  <c:v>56616.108767413847</c:v>
                </c:pt>
                <c:pt idx="14">
                  <c:v>125820.32284674571</c:v>
                </c:pt>
                <c:pt idx="15">
                  <c:v>124053.87668820711</c:v>
                </c:pt>
                <c:pt idx="16">
                  <c:v>47081.994446653262</c:v>
                </c:pt>
                <c:pt idx="17">
                  <c:v>90264.68321815852</c:v>
                </c:pt>
                <c:pt idx="18">
                  <c:v>59902.733890424919</c:v>
                </c:pt>
                <c:pt idx="19">
                  <c:v>62290.140289399409</c:v>
                </c:pt>
                <c:pt idx="20">
                  <c:v>64605.823256957876</c:v>
                </c:pt>
                <c:pt idx="21">
                  <c:v>108278.25393912345</c:v>
                </c:pt>
                <c:pt idx="22">
                  <c:v>57918.670910801309</c:v>
                </c:pt>
                <c:pt idx="23">
                  <c:v>65754.495663486901</c:v>
                </c:pt>
                <c:pt idx="24">
                  <c:v>117500.79456573364</c:v>
                </c:pt>
                <c:pt idx="25">
                  <c:v>94341.984808016801</c:v>
                </c:pt>
                <c:pt idx="26">
                  <c:v>52775.897526535235</c:v>
                </c:pt>
                <c:pt idx="27">
                  <c:v>56573.431390571473</c:v>
                </c:pt>
                <c:pt idx="28">
                  <c:v>88454.009148704878</c:v>
                </c:pt>
                <c:pt idx="29">
                  <c:v>70113.610386098604</c:v>
                </c:pt>
                <c:pt idx="30">
                  <c:v>62030.848472821766</c:v>
                </c:pt>
                <c:pt idx="31">
                  <c:v>63279.140681012665</c:v>
                </c:pt>
                <c:pt idx="32">
                  <c:v>90761.562047910251</c:v>
                </c:pt>
                <c:pt idx="33">
                  <c:v>66254.244450078782</c:v>
                </c:pt>
                <c:pt idx="34">
                  <c:v>67199.376725330512</c:v>
                </c:pt>
                <c:pt idx="35">
                  <c:v>62921.955437666446</c:v>
                </c:pt>
                <c:pt idx="36">
                  <c:v>178844.85723733235</c:v>
                </c:pt>
                <c:pt idx="37">
                  <c:v>120024.0176198929</c:v>
                </c:pt>
                <c:pt idx="38">
                  <c:v>73019.581878066383</c:v>
                </c:pt>
                <c:pt idx="39">
                  <c:v>113544.26016309515</c:v>
                </c:pt>
                <c:pt idx="40">
                  <c:v>76089.815894824496</c:v>
                </c:pt>
                <c:pt idx="41">
                  <c:v>68033.021689793371</c:v>
                </c:pt>
                <c:pt idx="42">
                  <c:v>72698.282699340314</c:v>
                </c:pt>
                <c:pt idx="43">
                  <c:v>98658.44099717369</c:v>
                </c:pt>
                <c:pt idx="44">
                  <c:v>77884.341820940273</c:v>
                </c:pt>
                <c:pt idx="45">
                  <c:v>62574.613406582765</c:v>
                </c:pt>
                <c:pt idx="46">
                  <c:v>154844.55849465434</c:v>
                </c:pt>
                <c:pt idx="47">
                  <c:v>69909.444912778024</c:v>
                </c:pt>
                <c:pt idx="48">
                  <c:v>81603.140630104797</c:v>
                </c:pt>
                <c:pt idx="49">
                  <c:v>91187.877445542777</c:v>
                </c:pt>
                <c:pt idx="50">
                  <c:v>81298.216119023607</c:v>
                </c:pt>
                <c:pt idx="51">
                  <c:v>55323.325685633987</c:v>
                </c:pt>
                <c:pt idx="52">
                  <c:v>58796.881947262751</c:v>
                </c:pt>
                <c:pt idx="53">
                  <c:v>76257.574521591683</c:v>
                </c:pt>
                <c:pt idx="54">
                  <c:v>58047.867377017617</c:v>
                </c:pt>
                <c:pt idx="55">
                  <c:v>91998.173612090482</c:v>
                </c:pt>
                <c:pt idx="56">
                  <c:v>81811.164126814227</c:v>
                </c:pt>
                <c:pt idx="57">
                  <c:v>50457.85576486514</c:v>
                </c:pt>
                <c:pt idx="58">
                  <c:v>44047.887812927082</c:v>
                </c:pt>
                <c:pt idx="59">
                  <c:v>62619.186750892717</c:v>
                </c:pt>
                <c:pt idx="60">
                  <c:v>68444.334186225213</c:v>
                </c:pt>
                <c:pt idx="61">
                  <c:v>44517.380267470711</c:v>
                </c:pt>
                <c:pt idx="62">
                  <c:v>54047.669954163954</c:v>
                </c:pt>
                <c:pt idx="63">
                  <c:v>62266.010718085941</c:v>
                </c:pt>
                <c:pt idx="64">
                  <c:v>75291.791374942055</c:v>
                </c:pt>
                <c:pt idx="65">
                  <c:v>59554.87078960587</c:v>
                </c:pt>
                <c:pt idx="66">
                  <c:v>64052.514548238905</c:v>
                </c:pt>
                <c:pt idx="67">
                  <c:v>149937.00923945624</c:v>
                </c:pt>
                <c:pt idx="68">
                  <c:v>86515.952574107461</c:v>
                </c:pt>
                <c:pt idx="69">
                  <c:v>50399.871734331093</c:v>
                </c:pt>
                <c:pt idx="70">
                  <c:v>53149.576115999851</c:v>
                </c:pt>
                <c:pt idx="71">
                  <c:v>66142.884583547886</c:v>
                </c:pt>
                <c:pt idx="72">
                  <c:v>69472.225880119513</c:v>
                </c:pt>
                <c:pt idx="73">
                  <c:v>55061.754295406936</c:v>
                </c:pt>
                <c:pt idx="74">
                  <c:v>77008.398498102702</c:v>
                </c:pt>
                <c:pt idx="75">
                  <c:v>65847.654982345935</c:v>
                </c:pt>
                <c:pt idx="76">
                  <c:v>51123.128087172474</c:v>
                </c:pt>
                <c:pt idx="77">
                  <c:v>68045.41774043419</c:v>
                </c:pt>
                <c:pt idx="78">
                  <c:v>158240.77033899506</c:v>
                </c:pt>
                <c:pt idx="79">
                  <c:v>68114.900562764553</c:v>
                </c:pt>
                <c:pt idx="80">
                  <c:v>63353.899957774469</c:v>
                </c:pt>
                <c:pt idx="81">
                  <c:v>78042.895857422147</c:v>
                </c:pt>
                <c:pt idx="82">
                  <c:v>85905.669519008487</c:v>
                </c:pt>
                <c:pt idx="83">
                  <c:v>86560.471764368573</c:v>
                </c:pt>
                <c:pt idx="84">
                  <c:v>75602.757973518514</c:v>
                </c:pt>
                <c:pt idx="85">
                  <c:v>111428.0298123213</c:v>
                </c:pt>
                <c:pt idx="86">
                  <c:v>40170.980363934614</c:v>
                </c:pt>
                <c:pt idx="87">
                  <c:v>23748.199859398126</c:v>
                </c:pt>
                <c:pt idx="88">
                  <c:v>10590.782763474326</c:v>
                </c:pt>
                <c:pt idx="89">
                  <c:v>12902.607200768718</c:v>
                </c:pt>
                <c:pt idx="90">
                  <c:v>3483.46638754984</c:v>
                </c:pt>
                <c:pt idx="91">
                  <c:v>4211.1588953949422</c:v>
                </c:pt>
                <c:pt idx="92">
                  <c:v>9144.4512018165969</c:v>
                </c:pt>
                <c:pt idx="93">
                  <c:v>8572.8851800375869</c:v>
                </c:pt>
                <c:pt idx="94">
                  <c:v>10113.302385258641</c:v>
                </c:pt>
                <c:pt idx="95">
                  <c:v>12777.910398370326</c:v>
                </c:pt>
                <c:pt idx="96">
                  <c:v>5994.8452975710197</c:v>
                </c:pt>
                <c:pt idx="97">
                  <c:v>4583.7174942691045</c:v>
                </c:pt>
                <c:pt idx="98">
                  <c:v>4513.4289259870011</c:v>
                </c:pt>
                <c:pt idx="99">
                  <c:v>6134.8939039995357</c:v>
                </c:pt>
                <c:pt idx="100">
                  <c:v>3062.2459922500602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6C-487B-8A4F-1160EE99E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04432"/>
        <c:axId val="529812112"/>
      </c:scatterChart>
      <c:valAx>
        <c:axId val="5298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9812112"/>
        <c:crosses val="autoZero"/>
        <c:crossBetween val="midCat"/>
      </c:valAx>
      <c:valAx>
        <c:axId val="529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980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'DataRegresi DF 8'!$E$3:$E$22</c:f>
              <c:numCache>
                <c:formatCode>General</c:formatCode>
                <c:ptCount val="20"/>
                <c:pt idx="0">
                  <c:v>5.5384192191199766</c:v>
                </c:pt>
                <c:pt idx="1">
                  <c:v>9.4991367842877565</c:v>
                </c:pt>
                <c:pt idx="2">
                  <c:v>9.9524898277448379</c:v>
                </c:pt>
                <c:pt idx="3">
                  <c:v>9.3971337415464724</c:v>
                </c:pt>
                <c:pt idx="4">
                  <c:v>9.7870147695758796</c:v>
                </c:pt>
                <c:pt idx="5">
                  <c:v>9.3017640042711811</c:v>
                </c:pt>
                <c:pt idx="6">
                  <c:v>9.2144088569091007</c:v>
                </c:pt>
                <c:pt idx="7">
                  <c:v>10.847297153313651</c:v>
                </c:pt>
                <c:pt idx="8">
                  <c:v>9.7335447329013274</c:v>
                </c:pt>
                <c:pt idx="9">
                  <c:v>10.186487929718885</c:v>
                </c:pt>
                <c:pt idx="10">
                  <c:v>8.9562983804844567</c:v>
                </c:pt>
                <c:pt idx="11">
                  <c:v>8.8766191512053432</c:v>
                </c:pt>
                <c:pt idx="12">
                  <c:v>8.6095687446753342</c:v>
                </c:pt>
                <c:pt idx="13">
                  <c:v>9.5857848071632059</c:v>
                </c:pt>
                <c:pt idx="14">
                  <c:v>8.8517750907623451</c:v>
                </c:pt>
                <c:pt idx="15">
                  <c:v>9.5721789748692085</c:v>
                </c:pt>
                <c:pt idx="16">
                  <c:v>9.7018630250524858</c:v>
                </c:pt>
                <c:pt idx="17">
                  <c:v>6.1550727571587283</c:v>
                </c:pt>
                <c:pt idx="18">
                  <c:v>2.7191811872385259</c:v>
                </c:pt>
                <c:pt idx="19">
                  <c:v>2.6552673443855936</c:v>
                </c:pt>
              </c:numCache>
            </c:numRef>
          </c:xVal>
          <c:yVal>
            <c:numRef>
              <c:f>'DataRegresi DF 8'!$C$3:$C$23</c:f>
              <c:numCache>
                <c:formatCode>General</c:formatCode>
                <c:ptCount val="21"/>
                <c:pt idx="0">
                  <c:v>29.01333449313918</c:v>
                </c:pt>
                <c:pt idx="1">
                  <c:v>44.731016470346106</c:v>
                </c:pt>
                <c:pt idx="2">
                  <c:v>54.404175579246328</c:v>
                </c:pt>
                <c:pt idx="3">
                  <c:v>45.514057458756426</c:v>
                </c:pt>
                <c:pt idx="4">
                  <c:v>50.427786461986997</c:v>
                </c:pt>
                <c:pt idx="5">
                  <c:v>41.165976352872512</c:v>
                </c:pt>
                <c:pt idx="6">
                  <c:v>38.70236065654359</c:v>
                </c:pt>
                <c:pt idx="7">
                  <c:v>75.854068187963037</c:v>
                </c:pt>
                <c:pt idx="8">
                  <c:v>46.058472075501342</c:v>
                </c:pt>
                <c:pt idx="9">
                  <c:v>58.99232364900908</c:v>
                </c:pt>
                <c:pt idx="10">
                  <c:v>35.515867815175639</c:v>
                </c:pt>
                <c:pt idx="11">
                  <c:v>36.238386871373933</c:v>
                </c:pt>
                <c:pt idx="12">
                  <c:v>31.58170673862104</c:v>
                </c:pt>
                <c:pt idx="13">
                  <c:v>50.715337181593469</c:v>
                </c:pt>
                <c:pt idx="14">
                  <c:v>34.026467967695218</c:v>
                </c:pt>
                <c:pt idx="15">
                  <c:v>51.035515265180699</c:v>
                </c:pt>
                <c:pt idx="16">
                  <c:v>39.75566598898142</c:v>
                </c:pt>
                <c:pt idx="17">
                  <c:v>16.475958579374339</c:v>
                </c:pt>
                <c:pt idx="18">
                  <c:v>1.2038782690453287</c:v>
                </c:pt>
                <c:pt idx="19">
                  <c:v>1.1428296789070331</c:v>
                </c:pt>
                <c:pt idx="20">
                  <c:v>7.1672114214409998E-5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B18-B132-F14E5B56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31616"/>
        <c:axId val="255413376"/>
      </c:scatterChart>
      <c:valAx>
        <c:axId val="2554316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5413376"/>
        <c:crosses val="autoZero"/>
        <c:crossBetween val="midCat"/>
      </c:valAx>
      <c:valAx>
        <c:axId val="255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54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'DataRegresi DF 8'!$E$25:$E$42</c:f>
              <c:numCache>
                <c:formatCode>General</c:formatCode>
                <c:ptCount val="18"/>
                <c:pt idx="0">
                  <c:v>0.89309390025931923</c:v>
                </c:pt>
                <c:pt idx="1">
                  <c:v>4.2529751812625438</c:v>
                </c:pt>
                <c:pt idx="2">
                  <c:v>7.3658858396883691</c:v>
                </c:pt>
                <c:pt idx="3">
                  <c:v>9.3643949416860828</c:v>
                </c:pt>
                <c:pt idx="4">
                  <c:v>10.11617245955637</c:v>
                </c:pt>
                <c:pt idx="5">
                  <c:v>10.103459350118733</c:v>
                </c:pt>
                <c:pt idx="6">
                  <c:v>10.662443689444762</c:v>
                </c:pt>
                <c:pt idx="7">
                  <c:v>9.7602018808484985</c:v>
                </c:pt>
                <c:pt idx="8">
                  <c:v>9.0455456192099852</c:v>
                </c:pt>
                <c:pt idx="9">
                  <c:v>9.001214276675265</c:v>
                </c:pt>
                <c:pt idx="10">
                  <c:v>9.7016261742157859</c:v>
                </c:pt>
                <c:pt idx="11">
                  <c:v>8.9383042891287765</c:v>
                </c:pt>
                <c:pt idx="12">
                  <c:v>9.8239510158031518</c:v>
                </c:pt>
                <c:pt idx="13">
                  <c:v>9.0330646214214472</c:v>
                </c:pt>
                <c:pt idx="14">
                  <c:v>8.8746762719595225</c:v>
                </c:pt>
                <c:pt idx="15">
                  <c:v>10.817415235960969</c:v>
                </c:pt>
                <c:pt idx="16">
                  <c:v>10.002940660619682</c:v>
                </c:pt>
                <c:pt idx="17">
                  <c:v>9.0651220596601423</c:v>
                </c:pt>
              </c:numCache>
            </c:numRef>
          </c:xVal>
          <c:yVal>
            <c:numRef>
              <c:f>'DataRegresi DF 8'!$C$25:$C$42</c:f>
              <c:numCache>
                <c:formatCode>General</c:formatCode>
                <c:ptCount val="18"/>
                <c:pt idx="0">
                  <c:v>4.3620720591100795E-2</c:v>
                </c:pt>
                <c:pt idx="1">
                  <c:v>11.604389377959201</c:v>
                </c:pt>
                <c:pt idx="2">
                  <c:v>21.338456074756213</c:v>
                </c:pt>
                <c:pt idx="3">
                  <c:v>60.500188507548017</c:v>
                </c:pt>
                <c:pt idx="4">
                  <c:v>69.335248408903013</c:v>
                </c:pt>
                <c:pt idx="5">
                  <c:v>56.709581806972544</c:v>
                </c:pt>
                <c:pt idx="6">
                  <c:v>84.242454498969877</c:v>
                </c:pt>
                <c:pt idx="7">
                  <c:v>47.04135010703552</c:v>
                </c:pt>
                <c:pt idx="8">
                  <c:v>40.19495900579264</c:v>
                </c:pt>
                <c:pt idx="9">
                  <c:v>36.288078261584658</c:v>
                </c:pt>
                <c:pt idx="10">
                  <c:v>59.622574290484849</c:v>
                </c:pt>
                <c:pt idx="11">
                  <c:v>35.685156202835167</c:v>
                </c:pt>
                <c:pt idx="12">
                  <c:v>57.382757306732742</c:v>
                </c:pt>
                <c:pt idx="13">
                  <c:v>37.086095972511153</c:v>
                </c:pt>
                <c:pt idx="14">
                  <c:v>38.063757855869035</c:v>
                </c:pt>
                <c:pt idx="15">
                  <c:v>102.74081200257143</c:v>
                </c:pt>
                <c:pt idx="16">
                  <c:v>54.594414374838742</c:v>
                </c:pt>
                <c:pt idx="17">
                  <c:v>38.227781408790918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A-427F-8B5C-AAE9991F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33536"/>
        <c:axId val="255439776"/>
      </c:scatterChart>
      <c:valAx>
        <c:axId val="2554335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5439776"/>
        <c:crosses val="autoZero"/>
        <c:crossBetween val="midCat"/>
      </c:valAx>
      <c:valAx>
        <c:axId val="2554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54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CII DF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ferry!$U$30:$U$234</c:f>
              <c:numCache>
                <c:formatCode>General</c:formatCode>
                <c:ptCount val="205"/>
                <c:pt idx="0">
                  <c:v>534.89051094890499</c:v>
                </c:pt>
                <c:pt idx="1">
                  <c:v>534.89051094890499</c:v>
                </c:pt>
                <c:pt idx="2">
                  <c:v>191.13504053784749</c:v>
                </c:pt>
                <c:pt idx="3">
                  <c:v>182.04390541157005</c:v>
                </c:pt>
                <c:pt idx="4">
                  <c:v>177.21876723995484</c:v>
                </c:pt>
                <c:pt idx="5">
                  <c:v>175.3966455473664</c:v>
                </c:pt>
                <c:pt idx="6">
                  <c:v>172.83965872334923</c:v>
                </c:pt>
                <c:pt idx="7">
                  <c:v>168.57122821088464</c:v>
                </c:pt>
                <c:pt idx="8">
                  <c:v>165.83524174952899</c:v>
                </c:pt>
                <c:pt idx="9">
                  <c:v>152.46442375632441</c:v>
                </c:pt>
                <c:pt idx="10">
                  <c:v>94.425561377218216</c:v>
                </c:pt>
                <c:pt idx="11">
                  <c:v>75.601867523068819</c:v>
                </c:pt>
                <c:pt idx="12">
                  <c:v>65.708670096942697</c:v>
                </c:pt>
                <c:pt idx="13">
                  <c:v>59.551765764784655</c:v>
                </c:pt>
                <c:pt idx="14">
                  <c:v>54.496756266829252</c:v>
                </c:pt>
                <c:pt idx="15">
                  <c:v>50.505040214657377</c:v>
                </c:pt>
                <c:pt idx="16">
                  <c:v>47.555058189762647</c:v>
                </c:pt>
                <c:pt idx="17">
                  <c:v>45.151111590204458</c:v>
                </c:pt>
                <c:pt idx="18">
                  <c:v>45.169523408300137</c:v>
                </c:pt>
                <c:pt idx="19">
                  <c:v>43.803167671816219</c:v>
                </c:pt>
                <c:pt idx="20">
                  <c:v>42.384359759861809</c:v>
                </c:pt>
                <c:pt idx="21">
                  <c:v>41.585926513219896</c:v>
                </c:pt>
                <c:pt idx="22">
                  <c:v>41.03347524469963</c:v>
                </c:pt>
                <c:pt idx="23">
                  <c:v>40.197265728514559</c:v>
                </c:pt>
                <c:pt idx="24">
                  <c:v>40.772662145712502</c:v>
                </c:pt>
                <c:pt idx="25">
                  <c:v>39.959634750466975</c:v>
                </c:pt>
                <c:pt idx="26">
                  <c:v>39.601895057718345</c:v>
                </c:pt>
                <c:pt idx="27">
                  <c:v>38.90456333089211</c:v>
                </c:pt>
                <c:pt idx="28">
                  <c:v>42.617480755088529</c:v>
                </c:pt>
                <c:pt idx="29">
                  <c:v>42.02341388387552</c:v>
                </c:pt>
                <c:pt idx="30">
                  <c:v>41.774434794735896</c:v>
                </c:pt>
                <c:pt idx="31">
                  <c:v>41.289424448470939</c:v>
                </c:pt>
                <c:pt idx="32">
                  <c:v>42.027132798717489</c:v>
                </c:pt>
                <c:pt idx="33">
                  <c:v>41.567843573962371</c:v>
                </c:pt>
                <c:pt idx="34">
                  <c:v>41.174516186111987</c:v>
                </c:pt>
                <c:pt idx="35">
                  <c:v>40.837236464348067</c:v>
                </c:pt>
                <c:pt idx="36">
                  <c:v>44.010472998992405</c:v>
                </c:pt>
                <c:pt idx="37">
                  <c:v>43.672411919116534</c:v>
                </c:pt>
                <c:pt idx="38">
                  <c:v>43.276709797189902</c:v>
                </c:pt>
                <c:pt idx="39">
                  <c:v>43.001104631817832</c:v>
                </c:pt>
                <c:pt idx="40">
                  <c:v>42.604320147705444</c:v>
                </c:pt>
                <c:pt idx="41">
                  <c:v>42.288726871628718</c:v>
                </c:pt>
                <c:pt idx="42">
                  <c:v>41.906797915794137</c:v>
                </c:pt>
                <c:pt idx="43">
                  <c:v>41.711134540261362</c:v>
                </c:pt>
                <c:pt idx="44">
                  <c:v>41.31577381479682</c:v>
                </c:pt>
                <c:pt idx="45">
                  <c:v>41.149323804205544</c:v>
                </c:pt>
                <c:pt idx="46">
                  <c:v>40.911802318926512</c:v>
                </c:pt>
                <c:pt idx="47">
                  <c:v>40.652338611356328</c:v>
                </c:pt>
                <c:pt idx="48">
                  <c:v>40.430557051550522</c:v>
                </c:pt>
                <c:pt idx="49">
                  <c:v>40.151838767155951</c:v>
                </c:pt>
                <c:pt idx="50">
                  <c:v>39.901771964196357</c:v>
                </c:pt>
                <c:pt idx="51">
                  <c:v>39.605593365566925</c:v>
                </c:pt>
                <c:pt idx="52">
                  <c:v>39.352836654546962</c:v>
                </c:pt>
                <c:pt idx="53">
                  <c:v>39.189552127848415</c:v>
                </c:pt>
                <c:pt idx="54">
                  <c:v>39.081924537232176</c:v>
                </c:pt>
                <c:pt idx="55">
                  <c:v>38.818747091737407</c:v>
                </c:pt>
                <c:pt idx="56">
                  <c:v>38.589762017529821</c:v>
                </c:pt>
                <c:pt idx="57">
                  <c:v>39.552983418411422</c:v>
                </c:pt>
                <c:pt idx="58">
                  <c:v>39.356171821049017</c:v>
                </c:pt>
                <c:pt idx="59">
                  <c:v>39.160292312156592</c:v>
                </c:pt>
                <c:pt idx="60">
                  <c:v>39.057699630995486</c:v>
                </c:pt>
                <c:pt idx="61">
                  <c:v>38.844233874951897</c:v>
                </c:pt>
                <c:pt idx="62">
                  <c:v>38.661942046856346</c:v>
                </c:pt>
                <c:pt idx="63">
                  <c:v>38.475557520698018</c:v>
                </c:pt>
                <c:pt idx="64">
                  <c:v>38.735251970521553</c:v>
                </c:pt>
                <c:pt idx="65">
                  <c:v>38.528916622547612</c:v>
                </c:pt>
                <c:pt idx="66">
                  <c:v>38.374955646993321</c:v>
                </c:pt>
                <c:pt idx="67">
                  <c:v>38.246496864035777</c:v>
                </c:pt>
                <c:pt idx="68">
                  <c:v>38.562514884468847</c:v>
                </c:pt>
                <c:pt idx="69">
                  <c:v>38.408913523360226</c:v>
                </c:pt>
                <c:pt idx="70">
                  <c:v>38.365856913971825</c:v>
                </c:pt>
                <c:pt idx="71">
                  <c:v>38.201456621249818</c:v>
                </c:pt>
                <c:pt idx="72">
                  <c:v>38.058007791859133</c:v>
                </c:pt>
                <c:pt idx="73">
                  <c:v>37.912405500484681</c:v>
                </c:pt>
                <c:pt idx="74">
                  <c:v>37.795888067656172</c:v>
                </c:pt>
                <c:pt idx="75">
                  <c:v>37.861033873941331</c:v>
                </c:pt>
                <c:pt idx="76">
                  <c:v>37.761507812059435</c:v>
                </c:pt>
                <c:pt idx="77">
                  <c:v>37.632361626933076</c:v>
                </c:pt>
                <c:pt idx="78">
                  <c:v>37.476740423157558</c:v>
                </c:pt>
                <c:pt idx="79">
                  <c:v>39.53784846812173</c:v>
                </c:pt>
                <c:pt idx="80">
                  <c:v>39.438379722708284</c:v>
                </c:pt>
                <c:pt idx="81">
                  <c:v>39.381620412486335</c:v>
                </c:pt>
                <c:pt idx="82">
                  <c:v>39.284264291188585</c:v>
                </c:pt>
                <c:pt idx="83">
                  <c:v>39.163612794763871</c:v>
                </c:pt>
                <c:pt idx="84">
                  <c:v>39.060467721153408</c:v>
                </c:pt>
                <c:pt idx="85">
                  <c:v>39.178642237951685</c:v>
                </c:pt>
                <c:pt idx="86">
                  <c:v>39.063559767239042</c:v>
                </c:pt>
                <c:pt idx="87">
                  <c:v>38.942267816989443</c:v>
                </c:pt>
                <c:pt idx="88">
                  <c:v>39.077308069815231</c:v>
                </c:pt>
                <c:pt idx="89">
                  <c:v>39.070281393311298</c:v>
                </c:pt>
                <c:pt idx="90">
                  <c:v>39.006026070649391</c:v>
                </c:pt>
                <c:pt idx="91">
                  <c:v>38.926870301959269</c:v>
                </c:pt>
                <c:pt idx="92">
                  <c:v>38.920892552017087</c:v>
                </c:pt>
                <c:pt idx="93">
                  <c:v>38.828338193738226</c:v>
                </c:pt>
                <c:pt idx="94">
                  <c:v>38.738855553421203</c:v>
                </c:pt>
                <c:pt idx="95">
                  <c:v>38.74675135739836</c:v>
                </c:pt>
                <c:pt idx="96">
                  <c:v>38.762235238510982</c:v>
                </c:pt>
                <c:pt idx="97">
                  <c:v>38.777637054600959</c:v>
                </c:pt>
                <c:pt idx="98">
                  <c:v>38.792957456364462</c:v>
                </c:pt>
                <c:pt idx="99">
                  <c:v>38.808284405988836</c:v>
                </c:pt>
                <c:pt idx="100">
                  <c:v>38.823443674264077</c:v>
                </c:pt>
                <c:pt idx="101">
                  <c:v>38.838523440698381</c:v>
                </c:pt>
                <c:pt idx="102">
                  <c:v>38.853524329069749</c:v>
                </c:pt>
                <c:pt idx="103">
                  <c:v>38.868446956647595</c:v>
                </c:pt>
                <c:pt idx="104">
                  <c:v>38.906486140611101</c:v>
                </c:pt>
                <c:pt idx="105">
                  <c:v>38.944327901186263</c:v>
                </c:pt>
                <c:pt idx="106">
                  <c:v>39.049638073502258</c:v>
                </c:pt>
                <c:pt idx="107">
                  <c:v>39.074125793722139</c:v>
                </c:pt>
                <c:pt idx="108">
                  <c:v>39.568075348901843</c:v>
                </c:pt>
                <c:pt idx="109">
                  <c:v>39.670603770892001</c:v>
                </c:pt>
                <c:pt idx="110">
                  <c:v>39.612158843458943</c:v>
                </c:pt>
                <c:pt idx="111">
                  <c:v>39.656411328660312</c:v>
                </c:pt>
                <c:pt idx="112">
                  <c:v>39.611379788499526</c:v>
                </c:pt>
                <c:pt idx="113">
                  <c:v>39.571486177161297</c:v>
                </c:pt>
                <c:pt idx="114">
                  <c:v>39.552180346432181</c:v>
                </c:pt>
                <c:pt idx="115">
                  <c:v>39.696959514539195</c:v>
                </c:pt>
                <c:pt idx="116">
                  <c:v>39.662185994727416</c:v>
                </c:pt>
                <c:pt idx="117">
                  <c:v>39.615253876018421</c:v>
                </c:pt>
                <c:pt idx="118">
                  <c:v>39.791277708839779</c:v>
                </c:pt>
                <c:pt idx="119">
                  <c:v>39.940171589017581</c:v>
                </c:pt>
                <c:pt idx="120">
                  <c:v>39.868430446821101</c:v>
                </c:pt>
                <c:pt idx="121">
                  <c:v>39.885870681859814</c:v>
                </c:pt>
                <c:pt idx="122">
                  <c:v>39.829383360045099</c:v>
                </c:pt>
                <c:pt idx="123">
                  <c:v>39.777675475497922</c:v>
                </c:pt>
                <c:pt idx="124">
                  <c:v>39.740517826877159</c:v>
                </c:pt>
                <c:pt idx="125">
                  <c:v>39.829674958887239</c:v>
                </c:pt>
                <c:pt idx="126">
                  <c:v>39.782337809627059</c:v>
                </c:pt>
                <c:pt idx="127">
                  <c:v>39.748226972293558</c:v>
                </c:pt>
                <c:pt idx="128">
                  <c:v>39.869230349438716</c:v>
                </c:pt>
                <c:pt idx="129">
                  <c:v>39.856599774814399</c:v>
                </c:pt>
                <c:pt idx="130">
                  <c:v>39.755029515393403</c:v>
                </c:pt>
                <c:pt idx="131">
                  <c:v>39.659038642988655</c:v>
                </c:pt>
                <c:pt idx="132">
                  <c:v>39.631381679802139</c:v>
                </c:pt>
                <c:pt idx="133">
                  <c:v>39.559689373921209</c:v>
                </c:pt>
                <c:pt idx="134">
                  <c:v>39.479381452406763</c:v>
                </c:pt>
                <c:pt idx="135">
                  <c:v>39.402264835267943</c:v>
                </c:pt>
                <c:pt idx="136">
                  <c:v>39.38866188393925</c:v>
                </c:pt>
                <c:pt idx="137">
                  <c:v>39.318473435862735</c:v>
                </c:pt>
                <c:pt idx="138">
                  <c:v>39.251043262544101</c:v>
                </c:pt>
                <c:pt idx="139">
                  <c:v>39.177600297824341</c:v>
                </c:pt>
                <c:pt idx="140">
                  <c:v>39.498506298708506</c:v>
                </c:pt>
                <c:pt idx="141">
                  <c:v>39.576439005598864</c:v>
                </c:pt>
                <c:pt idx="142">
                  <c:v>39.52021828652282</c:v>
                </c:pt>
                <c:pt idx="143">
                  <c:v>39.574770849147711</c:v>
                </c:pt>
                <c:pt idx="144">
                  <c:v>39.529762009462651</c:v>
                </c:pt>
                <c:pt idx="145">
                  <c:v>39.470228991598333</c:v>
                </c:pt>
                <c:pt idx="146">
                  <c:v>39.419988424250761</c:v>
                </c:pt>
                <c:pt idx="147">
                  <c:v>39.432785510555355</c:v>
                </c:pt>
                <c:pt idx="148">
                  <c:v>39.393982544657618</c:v>
                </c:pt>
                <c:pt idx="149">
                  <c:v>39.325109054776348</c:v>
                </c:pt>
                <c:pt idx="150">
                  <c:v>39.522826845135775</c:v>
                </c:pt>
                <c:pt idx="151">
                  <c:v>39.465478709288988</c:v>
                </c:pt>
                <c:pt idx="152">
                  <c:v>39.431702571416771</c:v>
                </c:pt>
                <c:pt idx="153">
                  <c:v>39.420725103970156</c:v>
                </c:pt>
                <c:pt idx="154">
                  <c:v>39.387163002325494</c:v>
                </c:pt>
                <c:pt idx="155">
                  <c:v>39.313327626196319</c:v>
                </c:pt>
                <c:pt idx="156">
                  <c:v>39.243978647198375</c:v>
                </c:pt>
                <c:pt idx="157">
                  <c:v>39.202285368887622</c:v>
                </c:pt>
                <c:pt idx="158">
                  <c:v>39.133747084351043</c:v>
                </c:pt>
                <c:pt idx="159">
                  <c:v>39.131057062377636</c:v>
                </c:pt>
                <c:pt idx="160">
                  <c:v>39.105587044433094</c:v>
                </c:pt>
                <c:pt idx="161">
                  <c:v>39.036127345821015</c:v>
                </c:pt>
                <c:pt idx="162">
                  <c:v>38.964487111303164</c:v>
                </c:pt>
                <c:pt idx="163">
                  <c:v>38.908386592381298</c:v>
                </c:pt>
                <c:pt idx="164">
                  <c:v>38.868124398956169</c:v>
                </c:pt>
                <c:pt idx="165">
                  <c:v>38.805698595880955</c:v>
                </c:pt>
                <c:pt idx="166">
                  <c:v>38.749432401137263</c:v>
                </c:pt>
                <c:pt idx="167">
                  <c:v>38.702374831099263</c:v>
                </c:pt>
                <c:pt idx="168">
                  <c:v>38.675589224880255</c:v>
                </c:pt>
                <c:pt idx="169">
                  <c:v>38.626416008045645</c:v>
                </c:pt>
                <c:pt idx="170">
                  <c:v>38.58322295864405</c:v>
                </c:pt>
                <c:pt idx="171">
                  <c:v>38.755356537620138</c:v>
                </c:pt>
                <c:pt idx="172">
                  <c:v>38.750363492689104</c:v>
                </c:pt>
                <c:pt idx="173">
                  <c:v>38.694333835999863</c:v>
                </c:pt>
                <c:pt idx="174">
                  <c:v>38.640783866312184</c:v>
                </c:pt>
                <c:pt idx="175">
                  <c:v>38.601603741142945</c:v>
                </c:pt>
                <c:pt idx="176">
                  <c:v>38.567578237096114</c:v>
                </c:pt>
                <c:pt idx="177">
                  <c:v>38.517151931948987</c:v>
                </c:pt>
                <c:pt idx="178">
                  <c:v>38.496065973720903</c:v>
                </c:pt>
                <c:pt idx="179">
                  <c:v>38.445547146086732</c:v>
                </c:pt>
                <c:pt idx="180">
                  <c:v>38.381066505096356</c:v>
                </c:pt>
                <c:pt idx="181">
                  <c:v>38.334716013491246</c:v>
                </c:pt>
                <c:pt idx="182">
                  <c:v>38.511189891402083</c:v>
                </c:pt>
                <c:pt idx="183">
                  <c:v>38.464830433563016</c:v>
                </c:pt>
                <c:pt idx="184">
                  <c:v>38.412971122052952</c:v>
                </c:pt>
                <c:pt idx="185">
                  <c:v>38.382877012761625</c:v>
                </c:pt>
                <c:pt idx="186">
                  <c:v>38.376700274848879</c:v>
                </c:pt>
                <c:pt idx="187">
                  <c:v>38.371610486533221</c:v>
                </c:pt>
                <c:pt idx="188">
                  <c:v>38.355153295416798</c:v>
                </c:pt>
                <c:pt idx="189">
                  <c:v>38.419254217671693</c:v>
                </c:pt>
                <c:pt idx="190">
                  <c:v>38.405226144367489</c:v>
                </c:pt>
                <c:pt idx="191">
                  <c:v>38.392379394222687</c:v>
                </c:pt>
                <c:pt idx="192">
                  <c:v>38.384492808243529</c:v>
                </c:pt>
                <c:pt idx="193">
                  <c:v>38.37049714116295</c:v>
                </c:pt>
                <c:pt idx="194">
                  <c:v>38.397599344378108</c:v>
                </c:pt>
                <c:pt idx="195">
                  <c:v>38.420506447756146</c:v>
                </c:pt>
                <c:pt idx="196">
                  <c:v>38.422958983184152</c:v>
                </c:pt>
                <c:pt idx="197">
                  <c:v>38.42729761965095</c:v>
                </c:pt>
                <c:pt idx="198">
                  <c:v>38.426718412226137</c:v>
                </c:pt>
                <c:pt idx="199">
                  <c:v>38.430725501484893</c:v>
                </c:pt>
                <c:pt idx="200">
                  <c:v>38.456596055675369</c:v>
                </c:pt>
                <c:pt idx="201">
                  <c:v>38.488987231187942</c:v>
                </c:pt>
                <c:pt idx="202">
                  <c:v>38.521655098402711</c:v>
                </c:pt>
                <c:pt idx="203">
                  <c:v>38.54669034316651</c:v>
                </c:pt>
                <c:pt idx="204">
                  <c:v>38.581478926610892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33A-AB4F-C91C4DA0931F}"/>
            </c:ext>
          </c:extLst>
        </c:ser>
        <c:ser>
          <c:idx val="1"/>
          <c:order val="1"/>
          <c:tx>
            <c:v>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ferry!$Q$30:$Q$234</c:f>
              <c:numCache>
                <c:formatCode>0.000</c:formatCode>
                <c:ptCount val="205"/>
                <c:pt idx="0">
                  <c:v>51.866094417517445</c:v>
                </c:pt>
                <c:pt idx="1">
                  <c:v>51.866094417517445</c:v>
                </c:pt>
                <c:pt idx="2">
                  <c:v>51.866094417517445</c:v>
                </c:pt>
                <c:pt idx="3">
                  <c:v>51.866094417517445</c:v>
                </c:pt>
                <c:pt idx="4">
                  <c:v>51.866094417517445</c:v>
                </c:pt>
                <c:pt idx="5">
                  <c:v>51.866094417517445</c:v>
                </c:pt>
                <c:pt idx="6">
                  <c:v>51.866094417517445</c:v>
                </c:pt>
                <c:pt idx="7">
                  <c:v>51.866094417517445</c:v>
                </c:pt>
                <c:pt idx="8">
                  <c:v>51.866094417517445</c:v>
                </c:pt>
                <c:pt idx="9">
                  <c:v>51.866094417517445</c:v>
                </c:pt>
                <c:pt idx="10">
                  <c:v>51.866094417517445</c:v>
                </c:pt>
                <c:pt idx="11">
                  <c:v>51.866094417517445</c:v>
                </c:pt>
                <c:pt idx="12">
                  <c:v>51.866094417517445</c:v>
                </c:pt>
                <c:pt idx="13">
                  <c:v>51.866094417517445</c:v>
                </c:pt>
                <c:pt idx="14">
                  <c:v>51.866094417517445</c:v>
                </c:pt>
                <c:pt idx="15">
                  <c:v>51.866094417517445</c:v>
                </c:pt>
                <c:pt idx="16">
                  <c:v>51.866094417517445</c:v>
                </c:pt>
                <c:pt idx="17">
                  <c:v>51.866094417517445</c:v>
                </c:pt>
                <c:pt idx="18">
                  <c:v>51.866094417517445</c:v>
                </c:pt>
                <c:pt idx="19">
                  <c:v>51.866094417517445</c:v>
                </c:pt>
                <c:pt idx="20">
                  <c:v>51.866094417517445</c:v>
                </c:pt>
                <c:pt idx="21">
                  <c:v>51.866094417517445</c:v>
                </c:pt>
                <c:pt idx="22">
                  <c:v>51.866094417517445</c:v>
                </c:pt>
                <c:pt idx="23">
                  <c:v>51.866094417517445</c:v>
                </c:pt>
                <c:pt idx="24">
                  <c:v>51.866094417517445</c:v>
                </c:pt>
                <c:pt idx="25">
                  <c:v>51.866094417517445</c:v>
                </c:pt>
                <c:pt idx="26">
                  <c:v>51.866094417517445</c:v>
                </c:pt>
                <c:pt idx="27">
                  <c:v>51.866094417517445</c:v>
                </c:pt>
                <c:pt idx="28">
                  <c:v>51.866094417517445</c:v>
                </c:pt>
                <c:pt idx="29">
                  <c:v>51.866094417517445</c:v>
                </c:pt>
                <c:pt idx="30">
                  <c:v>51.866094417517445</c:v>
                </c:pt>
                <c:pt idx="31">
                  <c:v>51.866094417517445</c:v>
                </c:pt>
                <c:pt idx="32">
                  <c:v>51.866094417517445</c:v>
                </c:pt>
                <c:pt idx="33">
                  <c:v>51.866094417517445</c:v>
                </c:pt>
                <c:pt idx="34">
                  <c:v>51.866094417517445</c:v>
                </c:pt>
                <c:pt idx="35">
                  <c:v>51.866094417517445</c:v>
                </c:pt>
                <c:pt idx="36">
                  <c:v>51.866094417517445</c:v>
                </c:pt>
                <c:pt idx="37">
                  <c:v>51.866094417517445</c:v>
                </c:pt>
                <c:pt idx="38">
                  <c:v>51.866094417517445</c:v>
                </c:pt>
                <c:pt idx="39">
                  <c:v>51.866094417517445</c:v>
                </c:pt>
                <c:pt idx="40">
                  <c:v>51.866094417517445</c:v>
                </c:pt>
                <c:pt idx="41">
                  <c:v>51.866094417517445</c:v>
                </c:pt>
                <c:pt idx="42">
                  <c:v>51.866094417517445</c:v>
                </c:pt>
                <c:pt idx="43">
                  <c:v>51.866094417517445</c:v>
                </c:pt>
                <c:pt idx="44">
                  <c:v>51.866094417517445</c:v>
                </c:pt>
                <c:pt idx="45">
                  <c:v>51.866094417517445</c:v>
                </c:pt>
                <c:pt idx="46">
                  <c:v>51.866094417517445</c:v>
                </c:pt>
                <c:pt idx="47">
                  <c:v>51.866094417517445</c:v>
                </c:pt>
                <c:pt idx="48">
                  <c:v>51.866094417517445</c:v>
                </c:pt>
                <c:pt idx="49">
                  <c:v>51.866094417517445</c:v>
                </c:pt>
                <c:pt idx="50">
                  <c:v>51.866094417517445</c:v>
                </c:pt>
                <c:pt idx="51">
                  <c:v>51.866094417517445</c:v>
                </c:pt>
                <c:pt idx="52">
                  <c:v>51.866094417517445</c:v>
                </c:pt>
                <c:pt idx="53">
                  <c:v>51.866094417517445</c:v>
                </c:pt>
                <c:pt idx="54">
                  <c:v>51.866094417517445</c:v>
                </c:pt>
                <c:pt idx="55">
                  <c:v>51.866094417517445</c:v>
                </c:pt>
                <c:pt idx="56">
                  <c:v>51.866094417517445</c:v>
                </c:pt>
                <c:pt idx="57">
                  <c:v>51.866094417517445</c:v>
                </c:pt>
                <c:pt idx="58">
                  <c:v>51.866094417517445</c:v>
                </c:pt>
                <c:pt idx="59">
                  <c:v>51.866094417517445</c:v>
                </c:pt>
                <c:pt idx="60">
                  <c:v>51.866094417517445</c:v>
                </c:pt>
                <c:pt idx="61">
                  <c:v>51.866094417517445</c:v>
                </c:pt>
                <c:pt idx="62">
                  <c:v>51.866094417517445</c:v>
                </c:pt>
                <c:pt idx="63">
                  <c:v>51.866094417517445</c:v>
                </c:pt>
                <c:pt idx="64">
                  <c:v>51.866094417517445</c:v>
                </c:pt>
                <c:pt idx="65">
                  <c:v>51.866094417517445</c:v>
                </c:pt>
                <c:pt idx="66">
                  <c:v>51.866094417517445</c:v>
                </c:pt>
                <c:pt idx="67">
                  <c:v>51.866094417517445</c:v>
                </c:pt>
                <c:pt idx="68">
                  <c:v>51.866094417517445</c:v>
                </c:pt>
                <c:pt idx="69">
                  <c:v>51.866094417517445</c:v>
                </c:pt>
                <c:pt idx="70">
                  <c:v>51.866094417517445</c:v>
                </c:pt>
                <c:pt idx="71">
                  <c:v>51.866094417517445</c:v>
                </c:pt>
                <c:pt idx="72">
                  <c:v>51.866094417517445</c:v>
                </c:pt>
                <c:pt idx="73">
                  <c:v>51.866094417517445</c:v>
                </c:pt>
                <c:pt idx="74">
                  <c:v>51.866094417517445</c:v>
                </c:pt>
                <c:pt idx="75">
                  <c:v>51.866094417517445</c:v>
                </c:pt>
                <c:pt idx="76">
                  <c:v>51.866094417517445</c:v>
                </c:pt>
                <c:pt idx="77">
                  <c:v>51.866094417517445</c:v>
                </c:pt>
                <c:pt idx="78">
                  <c:v>51.866094417517445</c:v>
                </c:pt>
                <c:pt idx="79">
                  <c:v>51.866094417517445</c:v>
                </c:pt>
                <c:pt idx="80">
                  <c:v>51.866094417517445</c:v>
                </c:pt>
                <c:pt idx="81">
                  <c:v>51.866094417517445</c:v>
                </c:pt>
                <c:pt idx="82">
                  <c:v>51.866094417517445</c:v>
                </c:pt>
                <c:pt idx="83">
                  <c:v>51.866094417517445</c:v>
                </c:pt>
                <c:pt idx="84">
                  <c:v>51.866094417517445</c:v>
                </c:pt>
                <c:pt idx="85">
                  <c:v>51.866094417517445</c:v>
                </c:pt>
                <c:pt idx="86">
                  <c:v>51.866094417517445</c:v>
                </c:pt>
                <c:pt idx="87">
                  <c:v>51.866094417517445</c:v>
                </c:pt>
                <c:pt idx="88">
                  <c:v>51.866094417517445</c:v>
                </c:pt>
                <c:pt idx="89">
                  <c:v>51.866094417517445</c:v>
                </c:pt>
                <c:pt idx="90">
                  <c:v>51.866094417517445</c:v>
                </c:pt>
                <c:pt idx="91">
                  <c:v>51.866094417517445</c:v>
                </c:pt>
                <c:pt idx="92">
                  <c:v>51.866094417517445</c:v>
                </c:pt>
                <c:pt idx="93">
                  <c:v>51.866094417517445</c:v>
                </c:pt>
                <c:pt idx="94">
                  <c:v>51.866094417517445</c:v>
                </c:pt>
                <c:pt idx="95">
                  <c:v>51.866094417517445</c:v>
                </c:pt>
                <c:pt idx="96">
                  <c:v>51.866094417517445</c:v>
                </c:pt>
                <c:pt idx="97">
                  <c:v>51.866094417517445</c:v>
                </c:pt>
                <c:pt idx="98">
                  <c:v>51.866094417517445</c:v>
                </c:pt>
                <c:pt idx="99">
                  <c:v>51.866094417517445</c:v>
                </c:pt>
                <c:pt idx="100">
                  <c:v>51.866094417517445</c:v>
                </c:pt>
                <c:pt idx="101">
                  <c:v>51.866094417517445</c:v>
                </c:pt>
                <c:pt idx="102">
                  <c:v>51.866094417517445</c:v>
                </c:pt>
                <c:pt idx="103">
                  <c:v>51.866094417517445</c:v>
                </c:pt>
                <c:pt idx="104">
                  <c:v>51.866094417517445</c:v>
                </c:pt>
                <c:pt idx="105">
                  <c:v>51.866094417517445</c:v>
                </c:pt>
                <c:pt idx="106">
                  <c:v>51.866094417517445</c:v>
                </c:pt>
                <c:pt idx="107">
                  <c:v>51.866094417517445</c:v>
                </c:pt>
                <c:pt idx="108">
                  <c:v>51.866094417517445</c:v>
                </c:pt>
                <c:pt idx="109">
                  <c:v>51.866094417517445</c:v>
                </c:pt>
                <c:pt idx="110">
                  <c:v>51.866094417517445</c:v>
                </c:pt>
                <c:pt idx="111">
                  <c:v>51.866094417517445</c:v>
                </c:pt>
                <c:pt idx="112">
                  <c:v>51.866094417517445</c:v>
                </c:pt>
                <c:pt idx="113">
                  <c:v>51.866094417517445</c:v>
                </c:pt>
                <c:pt idx="114">
                  <c:v>51.866094417517445</c:v>
                </c:pt>
                <c:pt idx="115">
                  <c:v>51.866094417517445</c:v>
                </c:pt>
                <c:pt idx="116">
                  <c:v>51.866094417517445</c:v>
                </c:pt>
                <c:pt idx="117">
                  <c:v>51.866094417517445</c:v>
                </c:pt>
                <c:pt idx="118">
                  <c:v>51.866094417517445</c:v>
                </c:pt>
                <c:pt idx="119">
                  <c:v>51.866094417517445</c:v>
                </c:pt>
                <c:pt idx="120">
                  <c:v>51.866094417517445</c:v>
                </c:pt>
                <c:pt idx="121">
                  <c:v>51.866094417517445</c:v>
                </c:pt>
                <c:pt idx="122">
                  <c:v>51.866094417517445</c:v>
                </c:pt>
                <c:pt idx="123">
                  <c:v>51.866094417517445</c:v>
                </c:pt>
                <c:pt idx="124">
                  <c:v>51.866094417517445</c:v>
                </c:pt>
                <c:pt idx="125">
                  <c:v>51.866094417517445</c:v>
                </c:pt>
                <c:pt idx="126">
                  <c:v>51.866094417517445</c:v>
                </c:pt>
                <c:pt idx="127">
                  <c:v>51.866094417517445</c:v>
                </c:pt>
                <c:pt idx="128">
                  <c:v>51.866094417517445</c:v>
                </c:pt>
                <c:pt idx="129">
                  <c:v>51.866094417517445</c:v>
                </c:pt>
                <c:pt idx="130">
                  <c:v>51.866094417517445</c:v>
                </c:pt>
                <c:pt idx="131">
                  <c:v>51.866094417517445</c:v>
                </c:pt>
                <c:pt idx="132">
                  <c:v>51.866094417517445</c:v>
                </c:pt>
                <c:pt idx="133">
                  <c:v>51.866094417517445</c:v>
                </c:pt>
                <c:pt idx="134">
                  <c:v>51.866094417517445</c:v>
                </c:pt>
                <c:pt idx="135">
                  <c:v>51.866094417517445</c:v>
                </c:pt>
                <c:pt idx="136">
                  <c:v>51.866094417517445</c:v>
                </c:pt>
                <c:pt idx="137">
                  <c:v>51.866094417517445</c:v>
                </c:pt>
                <c:pt idx="138">
                  <c:v>51.866094417517445</c:v>
                </c:pt>
                <c:pt idx="139">
                  <c:v>51.866094417517445</c:v>
                </c:pt>
                <c:pt idx="140">
                  <c:v>51.866094417517445</c:v>
                </c:pt>
                <c:pt idx="141">
                  <c:v>51.866094417517445</c:v>
                </c:pt>
                <c:pt idx="142">
                  <c:v>51.866094417517445</c:v>
                </c:pt>
                <c:pt idx="143">
                  <c:v>51.866094417517445</c:v>
                </c:pt>
                <c:pt idx="144">
                  <c:v>51.866094417517445</c:v>
                </c:pt>
                <c:pt idx="145">
                  <c:v>51.866094417517445</c:v>
                </c:pt>
                <c:pt idx="146">
                  <c:v>51.866094417517445</c:v>
                </c:pt>
                <c:pt idx="147">
                  <c:v>51.866094417517445</c:v>
                </c:pt>
                <c:pt idx="148">
                  <c:v>51.866094417517445</c:v>
                </c:pt>
                <c:pt idx="149">
                  <c:v>51.866094417517445</c:v>
                </c:pt>
                <c:pt idx="150">
                  <c:v>51.866094417517445</c:v>
                </c:pt>
                <c:pt idx="151">
                  <c:v>51.866094417517445</c:v>
                </c:pt>
                <c:pt idx="152">
                  <c:v>51.866094417517445</c:v>
                </c:pt>
                <c:pt idx="153">
                  <c:v>51.866094417517445</c:v>
                </c:pt>
                <c:pt idx="154">
                  <c:v>51.866094417517445</c:v>
                </c:pt>
                <c:pt idx="155">
                  <c:v>51.866094417517445</c:v>
                </c:pt>
                <c:pt idx="156">
                  <c:v>51.866094417517445</c:v>
                </c:pt>
                <c:pt idx="157">
                  <c:v>51.866094417517445</c:v>
                </c:pt>
                <c:pt idx="158">
                  <c:v>51.866094417517445</c:v>
                </c:pt>
                <c:pt idx="159">
                  <c:v>51.866094417517445</c:v>
                </c:pt>
                <c:pt idx="160">
                  <c:v>51.866094417517445</c:v>
                </c:pt>
                <c:pt idx="161">
                  <c:v>51.866094417517445</c:v>
                </c:pt>
                <c:pt idx="162">
                  <c:v>51.866094417517445</c:v>
                </c:pt>
                <c:pt idx="163">
                  <c:v>51.866094417517445</c:v>
                </c:pt>
                <c:pt idx="164">
                  <c:v>51.866094417517445</c:v>
                </c:pt>
                <c:pt idx="165">
                  <c:v>51.866094417517445</c:v>
                </c:pt>
                <c:pt idx="166">
                  <c:v>51.866094417517445</c:v>
                </c:pt>
                <c:pt idx="167">
                  <c:v>51.866094417517445</c:v>
                </c:pt>
                <c:pt idx="168">
                  <c:v>51.866094417517445</c:v>
                </c:pt>
                <c:pt idx="169">
                  <c:v>51.866094417517445</c:v>
                </c:pt>
                <c:pt idx="170">
                  <c:v>51.866094417517445</c:v>
                </c:pt>
                <c:pt idx="171">
                  <c:v>51.866094417517445</c:v>
                </c:pt>
                <c:pt idx="172">
                  <c:v>51.866094417517445</c:v>
                </c:pt>
                <c:pt idx="173">
                  <c:v>51.866094417517445</c:v>
                </c:pt>
                <c:pt idx="174">
                  <c:v>51.866094417517445</c:v>
                </c:pt>
                <c:pt idx="175">
                  <c:v>51.866094417517445</c:v>
                </c:pt>
                <c:pt idx="176">
                  <c:v>51.866094417517445</c:v>
                </c:pt>
                <c:pt idx="177">
                  <c:v>51.866094417517445</c:v>
                </c:pt>
                <c:pt idx="178">
                  <c:v>51.866094417517445</c:v>
                </c:pt>
                <c:pt idx="179">
                  <c:v>51.866094417517445</c:v>
                </c:pt>
                <c:pt idx="180">
                  <c:v>51.866094417517445</c:v>
                </c:pt>
                <c:pt idx="181">
                  <c:v>51.866094417517445</c:v>
                </c:pt>
                <c:pt idx="182">
                  <c:v>51.866094417517445</c:v>
                </c:pt>
                <c:pt idx="183">
                  <c:v>51.866094417517445</c:v>
                </c:pt>
                <c:pt idx="184">
                  <c:v>51.866094417517445</c:v>
                </c:pt>
                <c:pt idx="185">
                  <c:v>51.866094417517445</c:v>
                </c:pt>
                <c:pt idx="186">
                  <c:v>51.866094417517445</c:v>
                </c:pt>
                <c:pt idx="187">
                  <c:v>51.866094417517445</c:v>
                </c:pt>
                <c:pt idx="188">
                  <c:v>51.866094417517445</c:v>
                </c:pt>
                <c:pt idx="189">
                  <c:v>51.866094417517445</c:v>
                </c:pt>
                <c:pt idx="190">
                  <c:v>51.866094417517445</c:v>
                </c:pt>
                <c:pt idx="191">
                  <c:v>51.866094417517445</c:v>
                </c:pt>
                <c:pt idx="192">
                  <c:v>51.866094417517445</c:v>
                </c:pt>
                <c:pt idx="193">
                  <c:v>51.866094417517445</c:v>
                </c:pt>
                <c:pt idx="194">
                  <c:v>51.866094417517445</c:v>
                </c:pt>
                <c:pt idx="195">
                  <c:v>51.866094417517445</c:v>
                </c:pt>
                <c:pt idx="196">
                  <c:v>51.866094417517445</c:v>
                </c:pt>
                <c:pt idx="197">
                  <c:v>51.866094417517445</c:v>
                </c:pt>
                <c:pt idx="198">
                  <c:v>51.866094417517445</c:v>
                </c:pt>
                <c:pt idx="199">
                  <c:v>51.866094417517445</c:v>
                </c:pt>
                <c:pt idx="200">
                  <c:v>51.866094417517445</c:v>
                </c:pt>
                <c:pt idx="201">
                  <c:v>51.866094417517445</c:v>
                </c:pt>
                <c:pt idx="202">
                  <c:v>51.866094417517445</c:v>
                </c:pt>
                <c:pt idx="203">
                  <c:v>51.866094417517445</c:v>
                </c:pt>
                <c:pt idx="204">
                  <c:v>51.866094417517445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1-433A-AB4F-C91C4DA0931F}"/>
            </c:ext>
          </c:extLst>
        </c:ser>
        <c:ser>
          <c:idx val="2"/>
          <c:order val="2"/>
          <c:tx>
            <c:v>A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ferry!$O$30:$O$234</c:f>
              <c:numCache>
                <c:formatCode>0.000</c:formatCode>
                <c:ptCount val="205"/>
                <c:pt idx="0">
                  <c:v>39.418231757313258</c:v>
                </c:pt>
                <c:pt idx="1">
                  <c:v>39.418231757313258</c:v>
                </c:pt>
                <c:pt idx="2">
                  <c:v>39.418231757313258</c:v>
                </c:pt>
                <c:pt idx="3">
                  <c:v>39.418231757313258</c:v>
                </c:pt>
                <c:pt idx="4">
                  <c:v>39.418231757313258</c:v>
                </c:pt>
                <c:pt idx="5">
                  <c:v>39.418231757313258</c:v>
                </c:pt>
                <c:pt idx="6">
                  <c:v>39.418231757313258</c:v>
                </c:pt>
                <c:pt idx="7">
                  <c:v>39.418231757313258</c:v>
                </c:pt>
                <c:pt idx="8">
                  <c:v>39.418231757313258</c:v>
                </c:pt>
                <c:pt idx="9">
                  <c:v>39.418231757313258</c:v>
                </c:pt>
                <c:pt idx="10">
                  <c:v>39.418231757313258</c:v>
                </c:pt>
                <c:pt idx="11">
                  <c:v>39.418231757313258</c:v>
                </c:pt>
                <c:pt idx="12">
                  <c:v>39.418231757313258</c:v>
                </c:pt>
                <c:pt idx="13">
                  <c:v>39.418231757313258</c:v>
                </c:pt>
                <c:pt idx="14">
                  <c:v>39.418231757313258</c:v>
                </c:pt>
                <c:pt idx="15">
                  <c:v>39.418231757313258</c:v>
                </c:pt>
                <c:pt idx="16">
                  <c:v>39.418231757313258</c:v>
                </c:pt>
                <c:pt idx="17">
                  <c:v>39.418231757313258</c:v>
                </c:pt>
                <c:pt idx="18">
                  <c:v>39.418231757313258</c:v>
                </c:pt>
                <c:pt idx="19">
                  <c:v>39.418231757313258</c:v>
                </c:pt>
                <c:pt idx="20">
                  <c:v>39.418231757313258</c:v>
                </c:pt>
                <c:pt idx="21">
                  <c:v>39.418231757313258</c:v>
                </c:pt>
                <c:pt idx="22">
                  <c:v>39.418231757313258</c:v>
                </c:pt>
                <c:pt idx="23">
                  <c:v>39.418231757313258</c:v>
                </c:pt>
                <c:pt idx="24">
                  <c:v>39.418231757313258</c:v>
                </c:pt>
                <c:pt idx="25">
                  <c:v>39.418231757313258</c:v>
                </c:pt>
                <c:pt idx="26">
                  <c:v>39.418231757313258</c:v>
                </c:pt>
                <c:pt idx="27">
                  <c:v>39.418231757313258</c:v>
                </c:pt>
                <c:pt idx="28">
                  <c:v>39.418231757313258</c:v>
                </c:pt>
                <c:pt idx="29">
                  <c:v>39.418231757313258</c:v>
                </c:pt>
                <c:pt idx="30">
                  <c:v>39.418231757313258</c:v>
                </c:pt>
                <c:pt idx="31">
                  <c:v>39.418231757313258</c:v>
                </c:pt>
                <c:pt idx="32">
                  <c:v>39.418231757313258</c:v>
                </c:pt>
                <c:pt idx="33">
                  <c:v>39.418231757313258</c:v>
                </c:pt>
                <c:pt idx="34">
                  <c:v>39.418231757313258</c:v>
                </c:pt>
                <c:pt idx="35">
                  <c:v>39.418231757313258</c:v>
                </c:pt>
                <c:pt idx="36">
                  <c:v>39.418231757313258</c:v>
                </c:pt>
                <c:pt idx="37">
                  <c:v>39.418231757313258</c:v>
                </c:pt>
                <c:pt idx="38">
                  <c:v>39.418231757313258</c:v>
                </c:pt>
                <c:pt idx="39">
                  <c:v>39.418231757313258</c:v>
                </c:pt>
                <c:pt idx="40">
                  <c:v>39.418231757313258</c:v>
                </c:pt>
                <c:pt idx="41">
                  <c:v>39.418231757313258</c:v>
                </c:pt>
                <c:pt idx="42">
                  <c:v>39.418231757313258</c:v>
                </c:pt>
                <c:pt idx="43">
                  <c:v>39.418231757313258</c:v>
                </c:pt>
                <c:pt idx="44">
                  <c:v>39.418231757313258</c:v>
                </c:pt>
                <c:pt idx="45">
                  <c:v>39.418231757313258</c:v>
                </c:pt>
                <c:pt idx="46">
                  <c:v>39.418231757313258</c:v>
                </c:pt>
                <c:pt idx="47">
                  <c:v>39.418231757313258</c:v>
                </c:pt>
                <c:pt idx="48">
                  <c:v>39.418231757313258</c:v>
                </c:pt>
                <c:pt idx="49">
                  <c:v>39.418231757313258</c:v>
                </c:pt>
                <c:pt idx="50">
                  <c:v>39.418231757313258</c:v>
                </c:pt>
                <c:pt idx="51">
                  <c:v>39.418231757313258</c:v>
                </c:pt>
                <c:pt idx="52">
                  <c:v>39.418231757313258</c:v>
                </c:pt>
                <c:pt idx="53">
                  <c:v>39.418231757313258</c:v>
                </c:pt>
                <c:pt idx="54">
                  <c:v>39.418231757313258</c:v>
                </c:pt>
                <c:pt idx="55">
                  <c:v>39.418231757313258</c:v>
                </c:pt>
                <c:pt idx="56">
                  <c:v>39.418231757313258</c:v>
                </c:pt>
                <c:pt idx="57">
                  <c:v>39.418231757313258</c:v>
                </c:pt>
                <c:pt idx="58">
                  <c:v>39.418231757313258</c:v>
                </c:pt>
                <c:pt idx="59">
                  <c:v>39.418231757313258</c:v>
                </c:pt>
                <c:pt idx="60">
                  <c:v>39.418231757313258</c:v>
                </c:pt>
                <c:pt idx="61">
                  <c:v>39.418231757313258</c:v>
                </c:pt>
                <c:pt idx="62">
                  <c:v>39.418231757313258</c:v>
                </c:pt>
                <c:pt idx="63">
                  <c:v>39.418231757313258</c:v>
                </c:pt>
                <c:pt idx="64">
                  <c:v>39.418231757313258</c:v>
                </c:pt>
                <c:pt idx="65">
                  <c:v>39.418231757313258</c:v>
                </c:pt>
                <c:pt idx="66">
                  <c:v>39.418231757313258</c:v>
                </c:pt>
                <c:pt idx="67">
                  <c:v>39.418231757313258</c:v>
                </c:pt>
                <c:pt idx="68">
                  <c:v>39.418231757313258</c:v>
                </c:pt>
                <c:pt idx="69">
                  <c:v>39.418231757313258</c:v>
                </c:pt>
                <c:pt idx="70">
                  <c:v>39.418231757313258</c:v>
                </c:pt>
                <c:pt idx="71">
                  <c:v>39.418231757313258</c:v>
                </c:pt>
                <c:pt idx="72">
                  <c:v>39.418231757313258</c:v>
                </c:pt>
                <c:pt idx="73">
                  <c:v>39.418231757313258</c:v>
                </c:pt>
                <c:pt idx="74">
                  <c:v>39.418231757313258</c:v>
                </c:pt>
                <c:pt idx="75">
                  <c:v>39.418231757313258</c:v>
                </c:pt>
                <c:pt idx="76">
                  <c:v>39.418231757313258</c:v>
                </c:pt>
                <c:pt idx="77">
                  <c:v>39.418231757313258</c:v>
                </c:pt>
                <c:pt idx="78">
                  <c:v>39.418231757313258</c:v>
                </c:pt>
                <c:pt idx="79">
                  <c:v>39.418231757313258</c:v>
                </c:pt>
                <c:pt idx="80">
                  <c:v>39.418231757313258</c:v>
                </c:pt>
                <c:pt idx="81">
                  <c:v>39.418231757313258</c:v>
                </c:pt>
                <c:pt idx="82">
                  <c:v>39.418231757313258</c:v>
                </c:pt>
                <c:pt idx="83">
                  <c:v>39.418231757313258</c:v>
                </c:pt>
                <c:pt idx="84">
                  <c:v>39.418231757313258</c:v>
                </c:pt>
                <c:pt idx="85">
                  <c:v>39.418231757313258</c:v>
                </c:pt>
                <c:pt idx="86">
                  <c:v>39.418231757313258</c:v>
                </c:pt>
                <c:pt idx="87">
                  <c:v>39.418231757313258</c:v>
                </c:pt>
                <c:pt idx="88">
                  <c:v>39.418231757313258</c:v>
                </c:pt>
                <c:pt idx="89">
                  <c:v>39.418231757313258</c:v>
                </c:pt>
                <c:pt idx="90">
                  <c:v>39.418231757313258</c:v>
                </c:pt>
                <c:pt idx="91">
                  <c:v>39.418231757313258</c:v>
                </c:pt>
                <c:pt idx="92">
                  <c:v>39.418231757313258</c:v>
                </c:pt>
                <c:pt idx="93">
                  <c:v>39.418231757313258</c:v>
                </c:pt>
                <c:pt idx="94">
                  <c:v>39.418231757313258</c:v>
                </c:pt>
                <c:pt idx="95">
                  <c:v>39.418231757313258</c:v>
                </c:pt>
                <c:pt idx="96">
                  <c:v>39.418231757313258</c:v>
                </c:pt>
                <c:pt idx="97">
                  <c:v>39.418231757313258</c:v>
                </c:pt>
                <c:pt idx="98">
                  <c:v>39.418231757313258</c:v>
                </c:pt>
                <c:pt idx="99">
                  <c:v>39.418231757313258</c:v>
                </c:pt>
                <c:pt idx="100">
                  <c:v>39.418231757313258</c:v>
                </c:pt>
                <c:pt idx="101">
                  <c:v>39.418231757313258</c:v>
                </c:pt>
                <c:pt idx="102">
                  <c:v>39.418231757313258</c:v>
                </c:pt>
                <c:pt idx="103">
                  <c:v>39.418231757313258</c:v>
                </c:pt>
                <c:pt idx="104">
                  <c:v>39.418231757313258</c:v>
                </c:pt>
                <c:pt idx="105">
                  <c:v>39.418231757313258</c:v>
                </c:pt>
                <c:pt idx="106">
                  <c:v>39.418231757313258</c:v>
                </c:pt>
                <c:pt idx="107">
                  <c:v>39.418231757313258</c:v>
                </c:pt>
                <c:pt idx="108">
                  <c:v>39.418231757313258</c:v>
                </c:pt>
                <c:pt idx="109">
                  <c:v>39.418231757313258</c:v>
                </c:pt>
                <c:pt idx="110">
                  <c:v>39.418231757313258</c:v>
                </c:pt>
                <c:pt idx="111">
                  <c:v>39.418231757313258</c:v>
                </c:pt>
                <c:pt idx="112">
                  <c:v>39.418231757313258</c:v>
                </c:pt>
                <c:pt idx="113">
                  <c:v>39.418231757313258</c:v>
                </c:pt>
                <c:pt idx="114">
                  <c:v>39.418231757313258</c:v>
                </c:pt>
                <c:pt idx="115">
                  <c:v>39.418231757313258</c:v>
                </c:pt>
                <c:pt idx="116">
                  <c:v>39.418231757313258</c:v>
                </c:pt>
                <c:pt idx="117">
                  <c:v>39.418231757313258</c:v>
                </c:pt>
                <c:pt idx="118">
                  <c:v>39.418231757313258</c:v>
                </c:pt>
                <c:pt idx="119">
                  <c:v>39.418231757313258</c:v>
                </c:pt>
                <c:pt idx="120">
                  <c:v>39.418231757313258</c:v>
                </c:pt>
                <c:pt idx="121">
                  <c:v>39.418231757313258</c:v>
                </c:pt>
                <c:pt idx="122">
                  <c:v>39.418231757313258</c:v>
                </c:pt>
                <c:pt idx="123">
                  <c:v>39.418231757313258</c:v>
                </c:pt>
                <c:pt idx="124">
                  <c:v>39.418231757313258</c:v>
                </c:pt>
                <c:pt idx="125">
                  <c:v>39.418231757313258</c:v>
                </c:pt>
                <c:pt idx="126">
                  <c:v>39.418231757313258</c:v>
                </c:pt>
                <c:pt idx="127">
                  <c:v>39.418231757313258</c:v>
                </c:pt>
                <c:pt idx="128">
                  <c:v>39.418231757313258</c:v>
                </c:pt>
                <c:pt idx="129">
                  <c:v>39.418231757313258</c:v>
                </c:pt>
                <c:pt idx="130">
                  <c:v>39.418231757313258</c:v>
                </c:pt>
                <c:pt idx="131">
                  <c:v>39.418231757313258</c:v>
                </c:pt>
                <c:pt idx="132">
                  <c:v>39.418231757313258</c:v>
                </c:pt>
                <c:pt idx="133">
                  <c:v>39.418231757313258</c:v>
                </c:pt>
                <c:pt idx="134">
                  <c:v>39.418231757313258</c:v>
                </c:pt>
                <c:pt idx="135">
                  <c:v>39.418231757313258</c:v>
                </c:pt>
                <c:pt idx="136">
                  <c:v>39.418231757313258</c:v>
                </c:pt>
                <c:pt idx="137">
                  <c:v>39.418231757313258</c:v>
                </c:pt>
                <c:pt idx="138">
                  <c:v>39.418231757313258</c:v>
                </c:pt>
                <c:pt idx="139">
                  <c:v>39.418231757313258</c:v>
                </c:pt>
                <c:pt idx="140">
                  <c:v>39.418231757313258</c:v>
                </c:pt>
                <c:pt idx="141">
                  <c:v>39.418231757313258</c:v>
                </c:pt>
                <c:pt idx="142">
                  <c:v>39.418231757313258</c:v>
                </c:pt>
                <c:pt idx="143">
                  <c:v>39.418231757313258</c:v>
                </c:pt>
                <c:pt idx="144">
                  <c:v>39.418231757313258</c:v>
                </c:pt>
                <c:pt idx="145">
                  <c:v>39.418231757313258</c:v>
                </c:pt>
                <c:pt idx="146">
                  <c:v>39.418231757313258</c:v>
                </c:pt>
                <c:pt idx="147">
                  <c:v>39.418231757313258</c:v>
                </c:pt>
                <c:pt idx="148">
                  <c:v>39.418231757313258</c:v>
                </c:pt>
                <c:pt idx="149">
                  <c:v>39.418231757313258</c:v>
                </c:pt>
                <c:pt idx="150">
                  <c:v>39.418231757313258</c:v>
                </c:pt>
                <c:pt idx="151">
                  <c:v>39.418231757313258</c:v>
                </c:pt>
                <c:pt idx="152">
                  <c:v>39.418231757313258</c:v>
                </c:pt>
                <c:pt idx="153">
                  <c:v>39.418231757313258</c:v>
                </c:pt>
                <c:pt idx="154">
                  <c:v>39.418231757313258</c:v>
                </c:pt>
                <c:pt idx="155">
                  <c:v>39.418231757313258</c:v>
                </c:pt>
                <c:pt idx="156">
                  <c:v>39.418231757313258</c:v>
                </c:pt>
                <c:pt idx="157">
                  <c:v>39.418231757313258</c:v>
                </c:pt>
                <c:pt idx="158">
                  <c:v>39.418231757313258</c:v>
                </c:pt>
                <c:pt idx="159">
                  <c:v>39.418231757313258</c:v>
                </c:pt>
                <c:pt idx="160">
                  <c:v>39.418231757313258</c:v>
                </c:pt>
                <c:pt idx="161">
                  <c:v>39.418231757313258</c:v>
                </c:pt>
                <c:pt idx="162">
                  <c:v>39.418231757313258</c:v>
                </c:pt>
                <c:pt idx="163">
                  <c:v>39.418231757313258</c:v>
                </c:pt>
                <c:pt idx="164">
                  <c:v>39.418231757313258</c:v>
                </c:pt>
                <c:pt idx="165">
                  <c:v>39.418231757313258</c:v>
                </c:pt>
                <c:pt idx="166">
                  <c:v>39.418231757313258</c:v>
                </c:pt>
                <c:pt idx="167">
                  <c:v>39.418231757313258</c:v>
                </c:pt>
                <c:pt idx="168">
                  <c:v>39.418231757313258</c:v>
                </c:pt>
                <c:pt idx="169">
                  <c:v>39.418231757313258</c:v>
                </c:pt>
                <c:pt idx="170">
                  <c:v>39.418231757313258</c:v>
                </c:pt>
                <c:pt idx="171">
                  <c:v>39.418231757313258</c:v>
                </c:pt>
                <c:pt idx="172">
                  <c:v>39.418231757313258</c:v>
                </c:pt>
                <c:pt idx="173">
                  <c:v>39.418231757313258</c:v>
                </c:pt>
                <c:pt idx="174">
                  <c:v>39.418231757313258</c:v>
                </c:pt>
                <c:pt idx="175">
                  <c:v>39.418231757313258</c:v>
                </c:pt>
                <c:pt idx="176">
                  <c:v>39.418231757313258</c:v>
                </c:pt>
                <c:pt idx="177">
                  <c:v>39.418231757313258</c:v>
                </c:pt>
                <c:pt idx="178">
                  <c:v>39.418231757313258</c:v>
                </c:pt>
                <c:pt idx="179">
                  <c:v>39.418231757313258</c:v>
                </c:pt>
                <c:pt idx="180">
                  <c:v>39.418231757313258</c:v>
                </c:pt>
                <c:pt idx="181">
                  <c:v>39.418231757313258</c:v>
                </c:pt>
                <c:pt idx="182">
                  <c:v>39.418231757313258</c:v>
                </c:pt>
                <c:pt idx="183">
                  <c:v>39.418231757313258</c:v>
                </c:pt>
                <c:pt idx="184">
                  <c:v>39.418231757313258</c:v>
                </c:pt>
                <c:pt idx="185">
                  <c:v>39.418231757313258</c:v>
                </c:pt>
                <c:pt idx="186">
                  <c:v>39.418231757313258</c:v>
                </c:pt>
                <c:pt idx="187">
                  <c:v>39.418231757313258</c:v>
                </c:pt>
                <c:pt idx="188">
                  <c:v>39.418231757313258</c:v>
                </c:pt>
                <c:pt idx="189">
                  <c:v>39.418231757313258</c:v>
                </c:pt>
                <c:pt idx="190">
                  <c:v>39.418231757313258</c:v>
                </c:pt>
                <c:pt idx="191">
                  <c:v>39.418231757313258</c:v>
                </c:pt>
                <c:pt idx="192">
                  <c:v>39.418231757313258</c:v>
                </c:pt>
                <c:pt idx="193">
                  <c:v>39.418231757313258</c:v>
                </c:pt>
                <c:pt idx="194">
                  <c:v>39.418231757313258</c:v>
                </c:pt>
                <c:pt idx="195">
                  <c:v>39.418231757313258</c:v>
                </c:pt>
                <c:pt idx="196">
                  <c:v>39.418231757313258</c:v>
                </c:pt>
                <c:pt idx="197">
                  <c:v>39.418231757313258</c:v>
                </c:pt>
                <c:pt idx="198">
                  <c:v>39.418231757313258</c:v>
                </c:pt>
                <c:pt idx="199">
                  <c:v>39.418231757313258</c:v>
                </c:pt>
                <c:pt idx="200">
                  <c:v>39.418231757313258</c:v>
                </c:pt>
                <c:pt idx="201">
                  <c:v>39.418231757313258</c:v>
                </c:pt>
                <c:pt idx="202">
                  <c:v>39.418231757313258</c:v>
                </c:pt>
                <c:pt idx="203">
                  <c:v>39.418231757313258</c:v>
                </c:pt>
                <c:pt idx="204">
                  <c:v>39.418231757313258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01-433A-AB4F-C91C4DA0931F}"/>
            </c:ext>
          </c:extLst>
        </c:ser>
        <c:ser>
          <c:idx val="3"/>
          <c:order val="3"/>
          <c:tx>
            <c:v>B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ferry!$P$30:$P$234</c:f>
              <c:numCache>
                <c:formatCode>0.000</c:formatCode>
                <c:ptCount val="205"/>
                <c:pt idx="0">
                  <c:v>47.716806864116052</c:v>
                </c:pt>
                <c:pt idx="1">
                  <c:v>47.716806864116052</c:v>
                </c:pt>
                <c:pt idx="2">
                  <c:v>47.716806864116052</c:v>
                </c:pt>
                <c:pt idx="3">
                  <c:v>47.716806864116052</c:v>
                </c:pt>
                <c:pt idx="4">
                  <c:v>47.716806864116052</c:v>
                </c:pt>
                <c:pt idx="5">
                  <c:v>47.716806864116052</c:v>
                </c:pt>
                <c:pt idx="6">
                  <c:v>47.716806864116052</c:v>
                </c:pt>
                <c:pt idx="7">
                  <c:v>47.716806864116052</c:v>
                </c:pt>
                <c:pt idx="8">
                  <c:v>47.716806864116052</c:v>
                </c:pt>
                <c:pt idx="9">
                  <c:v>47.716806864116052</c:v>
                </c:pt>
                <c:pt idx="10">
                  <c:v>47.716806864116052</c:v>
                </c:pt>
                <c:pt idx="11">
                  <c:v>47.716806864116052</c:v>
                </c:pt>
                <c:pt idx="12">
                  <c:v>47.716806864116052</c:v>
                </c:pt>
                <c:pt idx="13">
                  <c:v>47.716806864116052</c:v>
                </c:pt>
                <c:pt idx="14">
                  <c:v>47.716806864116052</c:v>
                </c:pt>
                <c:pt idx="15">
                  <c:v>47.716806864116052</c:v>
                </c:pt>
                <c:pt idx="16">
                  <c:v>47.716806864116052</c:v>
                </c:pt>
                <c:pt idx="17">
                  <c:v>47.716806864116052</c:v>
                </c:pt>
                <c:pt idx="18">
                  <c:v>47.716806864116052</c:v>
                </c:pt>
                <c:pt idx="19">
                  <c:v>47.716806864116052</c:v>
                </c:pt>
                <c:pt idx="20">
                  <c:v>47.716806864116052</c:v>
                </c:pt>
                <c:pt idx="21">
                  <c:v>47.716806864116052</c:v>
                </c:pt>
                <c:pt idx="22">
                  <c:v>47.716806864116052</c:v>
                </c:pt>
                <c:pt idx="23">
                  <c:v>47.716806864116052</c:v>
                </c:pt>
                <c:pt idx="24">
                  <c:v>47.716806864116052</c:v>
                </c:pt>
                <c:pt idx="25">
                  <c:v>47.716806864116052</c:v>
                </c:pt>
                <c:pt idx="26">
                  <c:v>47.716806864116052</c:v>
                </c:pt>
                <c:pt idx="27">
                  <c:v>47.716806864116052</c:v>
                </c:pt>
                <c:pt idx="28">
                  <c:v>47.716806864116052</c:v>
                </c:pt>
                <c:pt idx="29">
                  <c:v>47.716806864116052</c:v>
                </c:pt>
                <c:pt idx="30">
                  <c:v>47.716806864116052</c:v>
                </c:pt>
                <c:pt idx="31">
                  <c:v>47.716806864116052</c:v>
                </c:pt>
                <c:pt idx="32">
                  <c:v>47.716806864116052</c:v>
                </c:pt>
                <c:pt idx="33">
                  <c:v>47.716806864116052</c:v>
                </c:pt>
                <c:pt idx="34">
                  <c:v>47.716806864116052</c:v>
                </c:pt>
                <c:pt idx="35">
                  <c:v>47.716806864116052</c:v>
                </c:pt>
                <c:pt idx="36">
                  <c:v>47.716806864116052</c:v>
                </c:pt>
                <c:pt idx="37">
                  <c:v>47.716806864116052</c:v>
                </c:pt>
                <c:pt idx="38">
                  <c:v>47.716806864116052</c:v>
                </c:pt>
                <c:pt idx="39">
                  <c:v>47.716806864116052</c:v>
                </c:pt>
                <c:pt idx="40">
                  <c:v>47.716806864116052</c:v>
                </c:pt>
                <c:pt idx="41">
                  <c:v>47.716806864116052</c:v>
                </c:pt>
                <c:pt idx="42">
                  <c:v>47.716806864116052</c:v>
                </c:pt>
                <c:pt idx="43">
                  <c:v>47.716806864116052</c:v>
                </c:pt>
                <c:pt idx="44">
                  <c:v>47.716806864116052</c:v>
                </c:pt>
                <c:pt idx="45">
                  <c:v>47.716806864116052</c:v>
                </c:pt>
                <c:pt idx="46">
                  <c:v>47.716806864116052</c:v>
                </c:pt>
                <c:pt idx="47">
                  <c:v>47.716806864116052</c:v>
                </c:pt>
                <c:pt idx="48">
                  <c:v>47.716806864116052</c:v>
                </c:pt>
                <c:pt idx="49">
                  <c:v>47.716806864116052</c:v>
                </c:pt>
                <c:pt idx="50">
                  <c:v>47.716806864116052</c:v>
                </c:pt>
                <c:pt idx="51">
                  <c:v>47.716806864116052</c:v>
                </c:pt>
                <c:pt idx="52">
                  <c:v>47.716806864116052</c:v>
                </c:pt>
                <c:pt idx="53">
                  <c:v>47.716806864116052</c:v>
                </c:pt>
                <c:pt idx="54">
                  <c:v>47.716806864116052</c:v>
                </c:pt>
                <c:pt idx="55">
                  <c:v>47.716806864116052</c:v>
                </c:pt>
                <c:pt idx="56">
                  <c:v>47.716806864116052</c:v>
                </c:pt>
                <c:pt idx="57">
                  <c:v>47.716806864116052</c:v>
                </c:pt>
                <c:pt idx="58">
                  <c:v>47.716806864116052</c:v>
                </c:pt>
                <c:pt idx="59">
                  <c:v>47.716806864116052</c:v>
                </c:pt>
                <c:pt idx="60">
                  <c:v>47.716806864116052</c:v>
                </c:pt>
                <c:pt idx="61">
                  <c:v>47.716806864116052</c:v>
                </c:pt>
                <c:pt idx="62">
                  <c:v>47.716806864116052</c:v>
                </c:pt>
                <c:pt idx="63">
                  <c:v>47.716806864116052</c:v>
                </c:pt>
                <c:pt idx="64">
                  <c:v>47.716806864116052</c:v>
                </c:pt>
                <c:pt idx="65">
                  <c:v>47.716806864116052</c:v>
                </c:pt>
                <c:pt idx="66">
                  <c:v>47.716806864116052</c:v>
                </c:pt>
                <c:pt idx="67">
                  <c:v>47.716806864116052</c:v>
                </c:pt>
                <c:pt idx="68">
                  <c:v>47.716806864116052</c:v>
                </c:pt>
                <c:pt idx="69">
                  <c:v>47.716806864116052</c:v>
                </c:pt>
                <c:pt idx="70">
                  <c:v>47.716806864116052</c:v>
                </c:pt>
                <c:pt idx="71">
                  <c:v>47.716806864116052</c:v>
                </c:pt>
                <c:pt idx="72">
                  <c:v>47.716806864116052</c:v>
                </c:pt>
                <c:pt idx="73">
                  <c:v>47.716806864116052</c:v>
                </c:pt>
                <c:pt idx="74">
                  <c:v>47.716806864116052</c:v>
                </c:pt>
                <c:pt idx="75">
                  <c:v>47.716806864116052</c:v>
                </c:pt>
                <c:pt idx="76">
                  <c:v>47.716806864116052</c:v>
                </c:pt>
                <c:pt idx="77">
                  <c:v>47.716806864116052</c:v>
                </c:pt>
                <c:pt idx="78">
                  <c:v>47.716806864116052</c:v>
                </c:pt>
                <c:pt idx="79">
                  <c:v>47.716806864116052</c:v>
                </c:pt>
                <c:pt idx="80">
                  <c:v>47.716806864116052</c:v>
                </c:pt>
                <c:pt idx="81">
                  <c:v>47.716806864116052</c:v>
                </c:pt>
                <c:pt idx="82">
                  <c:v>47.716806864116052</c:v>
                </c:pt>
                <c:pt idx="83">
                  <c:v>47.716806864116052</c:v>
                </c:pt>
                <c:pt idx="84">
                  <c:v>47.716806864116052</c:v>
                </c:pt>
                <c:pt idx="85">
                  <c:v>47.716806864116052</c:v>
                </c:pt>
                <c:pt idx="86">
                  <c:v>47.716806864116052</c:v>
                </c:pt>
                <c:pt idx="87">
                  <c:v>47.716806864116052</c:v>
                </c:pt>
                <c:pt idx="88">
                  <c:v>47.716806864116052</c:v>
                </c:pt>
                <c:pt idx="89">
                  <c:v>47.716806864116052</c:v>
                </c:pt>
                <c:pt idx="90">
                  <c:v>47.716806864116052</c:v>
                </c:pt>
                <c:pt idx="91">
                  <c:v>47.716806864116052</c:v>
                </c:pt>
                <c:pt idx="92">
                  <c:v>47.716806864116052</c:v>
                </c:pt>
                <c:pt idx="93">
                  <c:v>47.716806864116052</c:v>
                </c:pt>
                <c:pt idx="94">
                  <c:v>47.716806864116052</c:v>
                </c:pt>
                <c:pt idx="95">
                  <c:v>47.716806864116052</c:v>
                </c:pt>
                <c:pt idx="96">
                  <c:v>47.716806864116052</c:v>
                </c:pt>
                <c:pt idx="97">
                  <c:v>47.716806864116052</c:v>
                </c:pt>
                <c:pt idx="98">
                  <c:v>47.716806864116052</c:v>
                </c:pt>
                <c:pt idx="99">
                  <c:v>47.716806864116052</c:v>
                </c:pt>
                <c:pt idx="100">
                  <c:v>47.716806864116052</c:v>
                </c:pt>
                <c:pt idx="101">
                  <c:v>47.716806864116052</c:v>
                </c:pt>
                <c:pt idx="102">
                  <c:v>47.716806864116052</c:v>
                </c:pt>
                <c:pt idx="103">
                  <c:v>47.716806864116052</c:v>
                </c:pt>
                <c:pt idx="104">
                  <c:v>47.716806864116052</c:v>
                </c:pt>
                <c:pt idx="105">
                  <c:v>47.716806864116052</c:v>
                </c:pt>
                <c:pt idx="106">
                  <c:v>47.716806864116052</c:v>
                </c:pt>
                <c:pt idx="107">
                  <c:v>47.716806864116052</c:v>
                </c:pt>
                <c:pt idx="108">
                  <c:v>47.716806864116052</c:v>
                </c:pt>
                <c:pt idx="109">
                  <c:v>47.716806864116052</c:v>
                </c:pt>
                <c:pt idx="110">
                  <c:v>47.716806864116052</c:v>
                </c:pt>
                <c:pt idx="111">
                  <c:v>47.716806864116052</c:v>
                </c:pt>
                <c:pt idx="112">
                  <c:v>47.716806864116052</c:v>
                </c:pt>
                <c:pt idx="113">
                  <c:v>47.716806864116052</c:v>
                </c:pt>
                <c:pt idx="114">
                  <c:v>47.716806864116052</c:v>
                </c:pt>
                <c:pt idx="115">
                  <c:v>47.716806864116052</c:v>
                </c:pt>
                <c:pt idx="116">
                  <c:v>47.716806864116052</c:v>
                </c:pt>
                <c:pt idx="117">
                  <c:v>47.716806864116052</c:v>
                </c:pt>
                <c:pt idx="118">
                  <c:v>47.716806864116052</c:v>
                </c:pt>
                <c:pt idx="119">
                  <c:v>47.716806864116052</c:v>
                </c:pt>
                <c:pt idx="120">
                  <c:v>47.716806864116052</c:v>
                </c:pt>
                <c:pt idx="121">
                  <c:v>47.716806864116052</c:v>
                </c:pt>
                <c:pt idx="122">
                  <c:v>47.716806864116052</c:v>
                </c:pt>
                <c:pt idx="123">
                  <c:v>47.716806864116052</c:v>
                </c:pt>
                <c:pt idx="124">
                  <c:v>47.716806864116052</c:v>
                </c:pt>
                <c:pt idx="125">
                  <c:v>47.716806864116052</c:v>
                </c:pt>
                <c:pt idx="126">
                  <c:v>47.716806864116052</c:v>
                </c:pt>
                <c:pt idx="127">
                  <c:v>47.716806864116052</c:v>
                </c:pt>
                <c:pt idx="128">
                  <c:v>47.716806864116052</c:v>
                </c:pt>
                <c:pt idx="129">
                  <c:v>47.716806864116052</c:v>
                </c:pt>
                <c:pt idx="130">
                  <c:v>47.716806864116052</c:v>
                </c:pt>
                <c:pt idx="131">
                  <c:v>47.716806864116052</c:v>
                </c:pt>
                <c:pt idx="132">
                  <c:v>47.716806864116052</c:v>
                </c:pt>
                <c:pt idx="133">
                  <c:v>47.716806864116052</c:v>
                </c:pt>
                <c:pt idx="134">
                  <c:v>47.716806864116052</c:v>
                </c:pt>
                <c:pt idx="135">
                  <c:v>47.716806864116052</c:v>
                </c:pt>
                <c:pt idx="136">
                  <c:v>47.716806864116052</c:v>
                </c:pt>
                <c:pt idx="137">
                  <c:v>47.716806864116052</c:v>
                </c:pt>
                <c:pt idx="138">
                  <c:v>47.716806864116052</c:v>
                </c:pt>
                <c:pt idx="139">
                  <c:v>47.716806864116052</c:v>
                </c:pt>
                <c:pt idx="140">
                  <c:v>47.716806864116052</c:v>
                </c:pt>
                <c:pt idx="141">
                  <c:v>47.716806864116052</c:v>
                </c:pt>
                <c:pt idx="142">
                  <c:v>47.716806864116052</c:v>
                </c:pt>
                <c:pt idx="143">
                  <c:v>47.716806864116052</c:v>
                </c:pt>
                <c:pt idx="144">
                  <c:v>47.716806864116052</c:v>
                </c:pt>
                <c:pt idx="145">
                  <c:v>47.716806864116052</c:v>
                </c:pt>
                <c:pt idx="146">
                  <c:v>47.716806864116052</c:v>
                </c:pt>
                <c:pt idx="147">
                  <c:v>47.716806864116052</c:v>
                </c:pt>
                <c:pt idx="148">
                  <c:v>47.716806864116052</c:v>
                </c:pt>
                <c:pt idx="149">
                  <c:v>47.716806864116052</c:v>
                </c:pt>
                <c:pt idx="150">
                  <c:v>47.716806864116052</c:v>
                </c:pt>
                <c:pt idx="151">
                  <c:v>47.716806864116052</c:v>
                </c:pt>
                <c:pt idx="152">
                  <c:v>47.716806864116052</c:v>
                </c:pt>
                <c:pt idx="153">
                  <c:v>47.716806864116052</c:v>
                </c:pt>
                <c:pt idx="154">
                  <c:v>47.716806864116052</c:v>
                </c:pt>
                <c:pt idx="155">
                  <c:v>47.716806864116052</c:v>
                </c:pt>
                <c:pt idx="156">
                  <c:v>47.716806864116052</c:v>
                </c:pt>
                <c:pt idx="157">
                  <c:v>47.716806864116052</c:v>
                </c:pt>
                <c:pt idx="158">
                  <c:v>47.716806864116052</c:v>
                </c:pt>
                <c:pt idx="159">
                  <c:v>47.716806864116052</c:v>
                </c:pt>
                <c:pt idx="160">
                  <c:v>47.716806864116052</c:v>
                </c:pt>
                <c:pt idx="161">
                  <c:v>47.716806864116052</c:v>
                </c:pt>
                <c:pt idx="162">
                  <c:v>47.716806864116052</c:v>
                </c:pt>
                <c:pt idx="163">
                  <c:v>47.716806864116052</c:v>
                </c:pt>
                <c:pt idx="164">
                  <c:v>47.716806864116052</c:v>
                </c:pt>
                <c:pt idx="165">
                  <c:v>47.716806864116052</c:v>
                </c:pt>
                <c:pt idx="166">
                  <c:v>47.716806864116052</c:v>
                </c:pt>
                <c:pt idx="167">
                  <c:v>47.716806864116052</c:v>
                </c:pt>
                <c:pt idx="168">
                  <c:v>47.716806864116052</c:v>
                </c:pt>
                <c:pt idx="169">
                  <c:v>47.716806864116052</c:v>
                </c:pt>
                <c:pt idx="170">
                  <c:v>47.716806864116052</c:v>
                </c:pt>
                <c:pt idx="171">
                  <c:v>47.716806864116052</c:v>
                </c:pt>
                <c:pt idx="172">
                  <c:v>47.716806864116052</c:v>
                </c:pt>
                <c:pt idx="173">
                  <c:v>47.716806864116052</c:v>
                </c:pt>
                <c:pt idx="174">
                  <c:v>47.716806864116052</c:v>
                </c:pt>
                <c:pt idx="175">
                  <c:v>47.716806864116052</c:v>
                </c:pt>
                <c:pt idx="176">
                  <c:v>47.716806864116052</c:v>
                </c:pt>
                <c:pt idx="177">
                  <c:v>47.716806864116052</c:v>
                </c:pt>
                <c:pt idx="178">
                  <c:v>47.716806864116052</c:v>
                </c:pt>
                <c:pt idx="179">
                  <c:v>47.716806864116052</c:v>
                </c:pt>
                <c:pt idx="180">
                  <c:v>47.716806864116052</c:v>
                </c:pt>
                <c:pt idx="181">
                  <c:v>47.716806864116052</c:v>
                </c:pt>
                <c:pt idx="182">
                  <c:v>47.716806864116052</c:v>
                </c:pt>
                <c:pt idx="183">
                  <c:v>47.716806864116052</c:v>
                </c:pt>
                <c:pt idx="184">
                  <c:v>47.716806864116052</c:v>
                </c:pt>
                <c:pt idx="185">
                  <c:v>47.716806864116052</c:v>
                </c:pt>
                <c:pt idx="186">
                  <c:v>47.716806864116052</c:v>
                </c:pt>
                <c:pt idx="187">
                  <c:v>47.716806864116052</c:v>
                </c:pt>
                <c:pt idx="188">
                  <c:v>47.716806864116052</c:v>
                </c:pt>
                <c:pt idx="189">
                  <c:v>47.716806864116052</c:v>
                </c:pt>
                <c:pt idx="190">
                  <c:v>47.716806864116052</c:v>
                </c:pt>
                <c:pt idx="191">
                  <c:v>47.716806864116052</c:v>
                </c:pt>
                <c:pt idx="192">
                  <c:v>47.716806864116052</c:v>
                </c:pt>
                <c:pt idx="193">
                  <c:v>47.716806864116052</c:v>
                </c:pt>
                <c:pt idx="194">
                  <c:v>47.716806864116052</c:v>
                </c:pt>
                <c:pt idx="195">
                  <c:v>47.716806864116052</c:v>
                </c:pt>
                <c:pt idx="196">
                  <c:v>47.716806864116052</c:v>
                </c:pt>
                <c:pt idx="197">
                  <c:v>47.716806864116052</c:v>
                </c:pt>
                <c:pt idx="198">
                  <c:v>47.716806864116052</c:v>
                </c:pt>
                <c:pt idx="199">
                  <c:v>47.716806864116052</c:v>
                </c:pt>
                <c:pt idx="200">
                  <c:v>47.716806864116052</c:v>
                </c:pt>
                <c:pt idx="201">
                  <c:v>47.716806864116052</c:v>
                </c:pt>
                <c:pt idx="202">
                  <c:v>47.716806864116052</c:v>
                </c:pt>
                <c:pt idx="203">
                  <c:v>47.716806864116052</c:v>
                </c:pt>
                <c:pt idx="204">
                  <c:v>47.716806864116052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01-433A-AB4F-C91C4DA0931F}"/>
            </c:ext>
          </c:extLst>
        </c:ser>
        <c:ser>
          <c:idx val="4"/>
          <c:order val="4"/>
          <c:tx>
            <c:v>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ferry!$R$30:$R$234</c:f>
              <c:numCache>
                <c:formatCode>0.000</c:formatCode>
                <c:ptCount val="205"/>
                <c:pt idx="0">
                  <c:v>59.127347635969883</c:v>
                </c:pt>
                <c:pt idx="1">
                  <c:v>59.127347635969883</c:v>
                </c:pt>
                <c:pt idx="2">
                  <c:v>59.127347635969883</c:v>
                </c:pt>
                <c:pt idx="3">
                  <c:v>59.127347635969883</c:v>
                </c:pt>
                <c:pt idx="4">
                  <c:v>59.127347635969883</c:v>
                </c:pt>
                <c:pt idx="5">
                  <c:v>59.127347635969883</c:v>
                </c:pt>
                <c:pt idx="6">
                  <c:v>59.127347635969883</c:v>
                </c:pt>
                <c:pt idx="7">
                  <c:v>59.127347635969883</c:v>
                </c:pt>
                <c:pt idx="8">
                  <c:v>59.127347635969883</c:v>
                </c:pt>
                <c:pt idx="9">
                  <c:v>59.127347635969883</c:v>
                </c:pt>
                <c:pt idx="10">
                  <c:v>59.127347635969883</c:v>
                </c:pt>
                <c:pt idx="11">
                  <c:v>59.127347635969883</c:v>
                </c:pt>
                <c:pt idx="12">
                  <c:v>59.127347635969883</c:v>
                </c:pt>
                <c:pt idx="13">
                  <c:v>59.127347635969883</c:v>
                </c:pt>
                <c:pt idx="14">
                  <c:v>59.127347635969883</c:v>
                </c:pt>
                <c:pt idx="15">
                  <c:v>59.127347635969883</c:v>
                </c:pt>
                <c:pt idx="16">
                  <c:v>59.127347635969883</c:v>
                </c:pt>
                <c:pt idx="17">
                  <c:v>59.127347635969883</c:v>
                </c:pt>
                <c:pt idx="18">
                  <c:v>59.127347635969883</c:v>
                </c:pt>
                <c:pt idx="19">
                  <c:v>59.127347635969883</c:v>
                </c:pt>
                <c:pt idx="20">
                  <c:v>59.127347635969883</c:v>
                </c:pt>
                <c:pt idx="21">
                  <c:v>59.127347635969883</c:v>
                </c:pt>
                <c:pt idx="22">
                  <c:v>59.127347635969883</c:v>
                </c:pt>
                <c:pt idx="23">
                  <c:v>59.127347635969883</c:v>
                </c:pt>
                <c:pt idx="24">
                  <c:v>59.127347635969883</c:v>
                </c:pt>
                <c:pt idx="25">
                  <c:v>59.127347635969883</c:v>
                </c:pt>
                <c:pt idx="26">
                  <c:v>59.127347635969883</c:v>
                </c:pt>
                <c:pt idx="27">
                  <c:v>59.127347635969883</c:v>
                </c:pt>
                <c:pt idx="28">
                  <c:v>59.127347635969883</c:v>
                </c:pt>
                <c:pt idx="29">
                  <c:v>59.127347635969883</c:v>
                </c:pt>
                <c:pt idx="30">
                  <c:v>59.127347635969883</c:v>
                </c:pt>
                <c:pt idx="31">
                  <c:v>59.127347635969883</c:v>
                </c:pt>
                <c:pt idx="32">
                  <c:v>59.127347635969883</c:v>
                </c:pt>
                <c:pt idx="33">
                  <c:v>59.127347635969883</c:v>
                </c:pt>
                <c:pt idx="34">
                  <c:v>59.127347635969883</c:v>
                </c:pt>
                <c:pt idx="35">
                  <c:v>59.127347635969883</c:v>
                </c:pt>
                <c:pt idx="36">
                  <c:v>59.127347635969883</c:v>
                </c:pt>
                <c:pt idx="37">
                  <c:v>59.127347635969883</c:v>
                </c:pt>
                <c:pt idx="38">
                  <c:v>59.127347635969883</c:v>
                </c:pt>
                <c:pt idx="39">
                  <c:v>59.127347635969883</c:v>
                </c:pt>
                <c:pt idx="40">
                  <c:v>59.127347635969883</c:v>
                </c:pt>
                <c:pt idx="41">
                  <c:v>59.127347635969883</c:v>
                </c:pt>
                <c:pt idx="42">
                  <c:v>59.127347635969883</c:v>
                </c:pt>
                <c:pt idx="43">
                  <c:v>59.127347635969883</c:v>
                </c:pt>
                <c:pt idx="44">
                  <c:v>59.127347635969883</c:v>
                </c:pt>
                <c:pt idx="45">
                  <c:v>59.127347635969883</c:v>
                </c:pt>
                <c:pt idx="46">
                  <c:v>59.127347635969883</c:v>
                </c:pt>
                <c:pt idx="47">
                  <c:v>59.127347635969883</c:v>
                </c:pt>
                <c:pt idx="48">
                  <c:v>59.127347635969883</c:v>
                </c:pt>
                <c:pt idx="49">
                  <c:v>59.127347635969883</c:v>
                </c:pt>
                <c:pt idx="50">
                  <c:v>59.127347635969883</c:v>
                </c:pt>
                <c:pt idx="51">
                  <c:v>59.127347635969883</c:v>
                </c:pt>
                <c:pt idx="52">
                  <c:v>59.127347635969883</c:v>
                </c:pt>
                <c:pt idx="53">
                  <c:v>59.127347635969883</c:v>
                </c:pt>
                <c:pt idx="54">
                  <c:v>59.127347635969883</c:v>
                </c:pt>
                <c:pt idx="55">
                  <c:v>59.127347635969883</c:v>
                </c:pt>
                <c:pt idx="56">
                  <c:v>59.127347635969883</c:v>
                </c:pt>
                <c:pt idx="57">
                  <c:v>59.127347635969883</c:v>
                </c:pt>
                <c:pt idx="58">
                  <c:v>59.127347635969883</c:v>
                </c:pt>
                <c:pt idx="59">
                  <c:v>59.127347635969883</c:v>
                </c:pt>
                <c:pt idx="60">
                  <c:v>59.127347635969883</c:v>
                </c:pt>
                <c:pt idx="61">
                  <c:v>59.127347635969883</c:v>
                </c:pt>
                <c:pt idx="62">
                  <c:v>59.127347635969883</c:v>
                </c:pt>
                <c:pt idx="63">
                  <c:v>59.127347635969883</c:v>
                </c:pt>
                <c:pt idx="64">
                  <c:v>59.127347635969883</c:v>
                </c:pt>
                <c:pt idx="65">
                  <c:v>59.127347635969883</c:v>
                </c:pt>
                <c:pt idx="66">
                  <c:v>59.127347635969883</c:v>
                </c:pt>
                <c:pt idx="67">
                  <c:v>59.127347635969883</c:v>
                </c:pt>
                <c:pt idx="68">
                  <c:v>59.127347635969883</c:v>
                </c:pt>
                <c:pt idx="69">
                  <c:v>59.127347635969883</c:v>
                </c:pt>
                <c:pt idx="70">
                  <c:v>59.127347635969883</c:v>
                </c:pt>
                <c:pt idx="71">
                  <c:v>59.127347635969883</c:v>
                </c:pt>
                <c:pt idx="72">
                  <c:v>59.127347635969883</c:v>
                </c:pt>
                <c:pt idx="73">
                  <c:v>59.127347635969883</c:v>
                </c:pt>
                <c:pt idx="74">
                  <c:v>59.127347635969883</c:v>
                </c:pt>
                <c:pt idx="75">
                  <c:v>59.127347635969883</c:v>
                </c:pt>
                <c:pt idx="76">
                  <c:v>59.127347635969883</c:v>
                </c:pt>
                <c:pt idx="77">
                  <c:v>59.127347635969883</c:v>
                </c:pt>
                <c:pt idx="78">
                  <c:v>59.127347635969883</c:v>
                </c:pt>
                <c:pt idx="79">
                  <c:v>59.127347635969883</c:v>
                </c:pt>
                <c:pt idx="80">
                  <c:v>59.127347635969883</c:v>
                </c:pt>
                <c:pt idx="81">
                  <c:v>59.127347635969883</c:v>
                </c:pt>
                <c:pt idx="82">
                  <c:v>59.127347635969883</c:v>
                </c:pt>
                <c:pt idx="83">
                  <c:v>59.127347635969883</c:v>
                </c:pt>
                <c:pt idx="84">
                  <c:v>59.127347635969883</c:v>
                </c:pt>
                <c:pt idx="85">
                  <c:v>59.127347635969883</c:v>
                </c:pt>
                <c:pt idx="86">
                  <c:v>59.127347635969883</c:v>
                </c:pt>
                <c:pt idx="87">
                  <c:v>59.127347635969883</c:v>
                </c:pt>
                <c:pt idx="88">
                  <c:v>59.127347635969883</c:v>
                </c:pt>
                <c:pt idx="89">
                  <c:v>59.127347635969883</c:v>
                </c:pt>
                <c:pt idx="90">
                  <c:v>59.127347635969883</c:v>
                </c:pt>
                <c:pt idx="91">
                  <c:v>59.127347635969883</c:v>
                </c:pt>
                <c:pt idx="92">
                  <c:v>59.127347635969883</c:v>
                </c:pt>
                <c:pt idx="93">
                  <c:v>59.127347635969883</c:v>
                </c:pt>
                <c:pt idx="94">
                  <c:v>59.127347635969883</c:v>
                </c:pt>
                <c:pt idx="95">
                  <c:v>59.127347635969883</c:v>
                </c:pt>
                <c:pt idx="96">
                  <c:v>59.127347635969883</c:v>
                </c:pt>
                <c:pt idx="97">
                  <c:v>59.127347635969883</c:v>
                </c:pt>
                <c:pt idx="98">
                  <c:v>59.127347635969883</c:v>
                </c:pt>
                <c:pt idx="99">
                  <c:v>59.127347635969883</c:v>
                </c:pt>
                <c:pt idx="100">
                  <c:v>59.127347635969883</c:v>
                </c:pt>
                <c:pt idx="101">
                  <c:v>59.127347635969883</c:v>
                </c:pt>
                <c:pt idx="102">
                  <c:v>59.127347635969883</c:v>
                </c:pt>
                <c:pt idx="103">
                  <c:v>59.127347635969883</c:v>
                </c:pt>
                <c:pt idx="104">
                  <c:v>59.127347635969883</c:v>
                </c:pt>
                <c:pt idx="105">
                  <c:v>59.127347635969883</c:v>
                </c:pt>
                <c:pt idx="106">
                  <c:v>59.127347635969883</c:v>
                </c:pt>
                <c:pt idx="107">
                  <c:v>59.127347635969883</c:v>
                </c:pt>
                <c:pt idx="108">
                  <c:v>59.127347635969883</c:v>
                </c:pt>
                <c:pt idx="109">
                  <c:v>59.127347635969883</c:v>
                </c:pt>
                <c:pt idx="110">
                  <c:v>59.127347635969883</c:v>
                </c:pt>
                <c:pt idx="111">
                  <c:v>59.127347635969883</c:v>
                </c:pt>
                <c:pt idx="112">
                  <c:v>59.127347635969883</c:v>
                </c:pt>
                <c:pt idx="113">
                  <c:v>59.127347635969883</c:v>
                </c:pt>
                <c:pt idx="114">
                  <c:v>59.127347635969883</c:v>
                </c:pt>
                <c:pt idx="115">
                  <c:v>59.127347635969883</c:v>
                </c:pt>
                <c:pt idx="116">
                  <c:v>59.127347635969883</c:v>
                </c:pt>
                <c:pt idx="117">
                  <c:v>59.127347635969883</c:v>
                </c:pt>
                <c:pt idx="118">
                  <c:v>59.127347635969883</c:v>
                </c:pt>
                <c:pt idx="119">
                  <c:v>59.127347635969883</c:v>
                </c:pt>
                <c:pt idx="120">
                  <c:v>59.127347635969883</c:v>
                </c:pt>
                <c:pt idx="121">
                  <c:v>59.127347635969883</c:v>
                </c:pt>
                <c:pt idx="122">
                  <c:v>59.127347635969883</c:v>
                </c:pt>
                <c:pt idx="123">
                  <c:v>59.127347635969883</c:v>
                </c:pt>
                <c:pt idx="124">
                  <c:v>59.127347635969883</c:v>
                </c:pt>
                <c:pt idx="125">
                  <c:v>59.127347635969883</c:v>
                </c:pt>
                <c:pt idx="126">
                  <c:v>59.127347635969883</c:v>
                </c:pt>
                <c:pt idx="127">
                  <c:v>59.127347635969883</c:v>
                </c:pt>
                <c:pt idx="128">
                  <c:v>59.127347635969883</c:v>
                </c:pt>
                <c:pt idx="129">
                  <c:v>59.127347635969883</c:v>
                </c:pt>
                <c:pt idx="130">
                  <c:v>59.127347635969883</c:v>
                </c:pt>
                <c:pt idx="131">
                  <c:v>59.127347635969883</c:v>
                </c:pt>
                <c:pt idx="132">
                  <c:v>59.127347635969883</c:v>
                </c:pt>
                <c:pt idx="133">
                  <c:v>59.127347635969883</c:v>
                </c:pt>
                <c:pt idx="134">
                  <c:v>59.127347635969883</c:v>
                </c:pt>
                <c:pt idx="135">
                  <c:v>59.127347635969883</c:v>
                </c:pt>
                <c:pt idx="136">
                  <c:v>59.127347635969883</c:v>
                </c:pt>
                <c:pt idx="137">
                  <c:v>59.127347635969883</c:v>
                </c:pt>
                <c:pt idx="138">
                  <c:v>59.127347635969883</c:v>
                </c:pt>
                <c:pt idx="139">
                  <c:v>59.127347635969883</c:v>
                </c:pt>
                <c:pt idx="140">
                  <c:v>59.127347635969883</c:v>
                </c:pt>
                <c:pt idx="141">
                  <c:v>59.127347635969883</c:v>
                </c:pt>
                <c:pt idx="142">
                  <c:v>59.127347635969883</c:v>
                </c:pt>
                <c:pt idx="143">
                  <c:v>59.127347635969883</c:v>
                </c:pt>
                <c:pt idx="144">
                  <c:v>59.127347635969883</c:v>
                </c:pt>
                <c:pt idx="145">
                  <c:v>59.127347635969883</c:v>
                </c:pt>
                <c:pt idx="146">
                  <c:v>59.127347635969883</c:v>
                </c:pt>
                <c:pt idx="147">
                  <c:v>59.127347635969883</c:v>
                </c:pt>
                <c:pt idx="148">
                  <c:v>59.127347635969883</c:v>
                </c:pt>
                <c:pt idx="149">
                  <c:v>59.127347635969883</c:v>
                </c:pt>
                <c:pt idx="150">
                  <c:v>59.127347635969883</c:v>
                </c:pt>
                <c:pt idx="151">
                  <c:v>59.127347635969883</c:v>
                </c:pt>
                <c:pt idx="152">
                  <c:v>59.127347635969883</c:v>
                </c:pt>
                <c:pt idx="153">
                  <c:v>59.127347635969883</c:v>
                </c:pt>
                <c:pt idx="154">
                  <c:v>59.127347635969883</c:v>
                </c:pt>
                <c:pt idx="155">
                  <c:v>59.127347635969883</c:v>
                </c:pt>
                <c:pt idx="156">
                  <c:v>59.127347635969883</c:v>
                </c:pt>
                <c:pt idx="157">
                  <c:v>59.127347635969883</c:v>
                </c:pt>
                <c:pt idx="158">
                  <c:v>59.127347635969883</c:v>
                </c:pt>
                <c:pt idx="159">
                  <c:v>59.127347635969883</c:v>
                </c:pt>
                <c:pt idx="160">
                  <c:v>59.127347635969883</c:v>
                </c:pt>
                <c:pt idx="161">
                  <c:v>59.127347635969883</c:v>
                </c:pt>
                <c:pt idx="162">
                  <c:v>59.127347635969883</c:v>
                </c:pt>
                <c:pt idx="163">
                  <c:v>59.127347635969883</c:v>
                </c:pt>
                <c:pt idx="164">
                  <c:v>59.127347635969883</c:v>
                </c:pt>
                <c:pt idx="165">
                  <c:v>59.127347635969883</c:v>
                </c:pt>
                <c:pt idx="166">
                  <c:v>59.127347635969883</c:v>
                </c:pt>
                <c:pt idx="167">
                  <c:v>59.127347635969883</c:v>
                </c:pt>
                <c:pt idx="168">
                  <c:v>59.127347635969883</c:v>
                </c:pt>
                <c:pt idx="169">
                  <c:v>59.127347635969883</c:v>
                </c:pt>
                <c:pt idx="170">
                  <c:v>59.127347635969883</c:v>
                </c:pt>
                <c:pt idx="171">
                  <c:v>59.127347635969883</c:v>
                </c:pt>
                <c:pt idx="172">
                  <c:v>59.127347635969883</c:v>
                </c:pt>
                <c:pt idx="173">
                  <c:v>59.127347635969883</c:v>
                </c:pt>
                <c:pt idx="174">
                  <c:v>59.127347635969883</c:v>
                </c:pt>
                <c:pt idx="175">
                  <c:v>59.127347635969883</c:v>
                </c:pt>
                <c:pt idx="176">
                  <c:v>59.127347635969883</c:v>
                </c:pt>
                <c:pt idx="177">
                  <c:v>59.127347635969883</c:v>
                </c:pt>
                <c:pt idx="178">
                  <c:v>59.127347635969883</c:v>
                </c:pt>
                <c:pt idx="179">
                  <c:v>59.127347635969883</c:v>
                </c:pt>
                <c:pt idx="180">
                  <c:v>59.127347635969883</c:v>
                </c:pt>
                <c:pt idx="181">
                  <c:v>59.127347635969883</c:v>
                </c:pt>
                <c:pt idx="182">
                  <c:v>59.127347635969883</c:v>
                </c:pt>
                <c:pt idx="183">
                  <c:v>59.127347635969883</c:v>
                </c:pt>
                <c:pt idx="184">
                  <c:v>59.127347635969883</c:v>
                </c:pt>
                <c:pt idx="185">
                  <c:v>59.127347635969883</c:v>
                </c:pt>
                <c:pt idx="186">
                  <c:v>59.127347635969883</c:v>
                </c:pt>
                <c:pt idx="187">
                  <c:v>59.127347635969883</c:v>
                </c:pt>
                <c:pt idx="188">
                  <c:v>59.127347635969883</c:v>
                </c:pt>
                <c:pt idx="189">
                  <c:v>59.127347635969883</c:v>
                </c:pt>
                <c:pt idx="190">
                  <c:v>59.127347635969883</c:v>
                </c:pt>
                <c:pt idx="191">
                  <c:v>59.127347635969883</c:v>
                </c:pt>
                <c:pt idx="192">
                  <c:v>59.127347635969883</c:v>
                </c:pt>
                <c:pt idx="193">
                  <c:v>59.127347635969883</c:v>
                </c:pt>
                <c:pt idx="194">
                  <c:v>59.127347635969883</c:v>
                </c:pt>
                <c:pt idx="195">
                  <c:v>59.127347635969883</c:v>
                </c:pt>
                <c:pt idx="196">
                  <c:v>59.127347635969883</c:v>
                </c:pt>
                <c:pt idx="197">
                  <c:v>59.127347635969883</c:v>
                </c:pt>
                <c:pt idx="198">
                  <c:v>59.127347635969883</c:v>
                </c:pt>
                <c:pt idx="199">
                  <c:v>59.127347635969883</c:v>
                </c:pt>
                <c:pt idx="200">
                  <c:v>59.127347635969883</c:v>
                </c:pt>
                <c:pt idx="201">
                  <c:v>59.127347635969883</c:v>
                </c:pt>
                <c:pt idx="202">
                  <c:v>59.127347635969883</c:v>
                </c:pt>
                <c:pt idx="203">
                  <c:v>59.127347635969883</c:v>
                </c:pt>
                <c:pt idx="204">
                  <c:v>59.127347635969883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01-433A-AB4F-C91C4DA0931F}"/>
            </c:ext>
          </c:extLst>
        </c:ser>
        <c:ser>
          <c:idx val="5"/>
          <c:order val="5"/>
          <c:tx>
            <c:v>E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ferry!$F$30:$F$234</c:f>
              <c:numCache>
                <c:formatCode>[$-F400]h:mm:ss\ AM/PM</c:formatCode>
                <c:ptCount val="205"/>
                <c:pt idx="0">
                  <c:v>0.82638888888888884</c:v>
                </c:pt>
                <c:pt idx="1">
                  <c:v>0.84027777777777779</c:v>
                </c:pt>
                <c:pt idx="2">
                  <c:v>0.84375</c:v>
                </c:pt>
                <c:pt idx="3">
                  <c:v>0.84583333333333333</c:v>
                </c:pt>
                <c:pt idx="4">
                  <c:v>0.84791666666666676</c:v>
                </c:pt>
                <c:pt idx="5">
                  <c:v>0.85</c:v>
                </c:pt>
                <c:pt idx="6">
                  <c:v>0.8520833333333333</c:v>
                </c:pt>
                <c:pt idx="7">
                  <c:v>0.85416666666666663</c:v>
                </c:pt>
                <c:pt idx="8">
                  <c:v>0.85624999999999996</c:v>
                </c:pt>
                <c:pt idx="9">
                  <c:v>0.85833333333333295</c:v>
                </c:pt>
                <c:pt idx="10">
                  <c:v>0.86041666666666705</c:v>
                </c:pt>
                <c:pt idx="11">
                  <c:v>0.86250000000000004</c:v>
                </c:pt>
                <c:pt idx="12">
                  <c:v>0.86458333333333504</c:v>
                </c:pt>
                <c:pt idx="13">
                  <c:v>0.86666666666666903</c:v>
                </c:pt>
                <c:pt idx="14">
                  <c:v>0.86875000000000302</c:v>
                </c:pt>
                <c:pt idx="15">
                  <c:v>0.87083333333333801</c:v>
                </c:pt>
                <c:pt idx="16">
                  <c:v>0.872916666666672</c:v>
                </c:pt>
                <c:pt idx="17">
                  <c:v>0.87500000000000799</c:v>
                </c:pt>
                <c:pt idx="18">
                  <c:v>0.87708333333334298</c:v>
                </c:pt>
                <c:pt idx="19">
                  <c:v>0.87916666666667798</c:v>
                </c:pt>
                <c:pt idx="20">
                  <c:v>0.88125000000001297</c:v>
                </c:pt>
                <c:pt idx="21">
                  <c:v>0.88333333333334796</c:v>
                </c:pt>
                <c:pt idx="22">
                  <c:v>0.88541666666668295</c:v>
                </c:pt>
                <c:pt idx="23">
                  <c:v>0.88750000000001805</c:v>
                </c:pt>
                <c:pt idx="24">
                  <c:v>0.88888888888888884</c:v>
                </c:pt>
                <c:pt idx="25">
                  <c:v>0.89097222222222217</c:v>
                </c:pt>
                <c:pt idx="26">
                  <c:v>0.8930555555555556</c:v>
                </c:pt>
                <c:pt idx="27">
                  <c:v>0.89513888888888893</c:v>
                </c:pt>
                <c:pt idx="28">
                  <c:v>0.89722222222222225</c:v>
                </c:pt>
                <c:pt idx="29">
                  <c:v>0.89930555555555602</c:v>
                </c:pt>
                <c:pt idx="30">
                  <c:v>0.90138888888888902</c:v>
                </c:pt>
                <c:pt idx="31">
                  <c:v>0.90347222222222201</c:v>
                </c:pt>
                <c:pt idx="32">
                  <c:v>0.905555555555556</c:v>
                </c:pt>
                <c:pt idx="33">
                  <c:v>0.90763888888888899</c:v>
                </c:pt>
                <c:pt idx="34">
                  <c:v>0.90972222222222199</c:v>
                </c:pt>
                <c:pt idx="35">
                  <c:v>0.91180555555555498</c:v>
                </c:pt>
                <c:pt idx="36">
                  <c:v>0.91388888888888797</c:v>
                </c:pt>
                <c:pt idx="37">
                  <c:v>0.91597222222222097</c:v>
                </c:pt>
                <c:pt idx="38">
                  <c:v>0.91805555555555396</c:v>
                </c:pt>
                <c:pt idx="39">
                  <c:v>0.92013888888888695</c:v>
                </c:pt>
                <c:pt idx="40">
                  <c:v>0.92222222222221995</c:v>
                </c:pt>
                <c:pt idx="41">
                  <c:v>0.92430555555555305</c:v>
                </c:pt>
                <c:pt idx="42">
                  <c:v>0.92638888888888604</c:v>
                </c:pt>
                <c:pt idx="43">
                  <c:v>0.92847222222221903</c:v>
                </c:pt>
                <c:pt idx="44">
                  <c:v>0.93055555555555203</c:v>
                </c:pt>
                <c:pt idx="45">
                  <c:v>0.93263888888888502</c:v>
                </c:pt>
                <c:pt idx="46">
                  <c:v>0.93472222222221801</c:v>
                </c:pt>
                <c:pt idx="47">
                  <c:v>0.93680555555555101</c:v>
                </c:pt>
                <c:pt idx="48">
                  <c:v>0.938888888888884</c:v>
                </c:pt>
                <c:pt idx="49">
                  <c:v>0.94097222222221699</c:v>
                </c:pt>
                <c:pt idx="50">
                  <c:v>0.94305555555554998</c:v>
                </c:pt>
                <c:pt idx="51">
                  <c:v>0.94513888888888298</c:v>
                </c:pt>
                <c:pt idx="52">
                  <c:v>0.94722222222221597</c:v>
                </c:pt>
                <c:pt idx="53">
                  <c:v>0.94930555555554896</c:v>
                </c:pt>
                <c:pt idx="54">
                  <c:v>0.95138888888888196</c:v>
                </c:pt>
                <c:pt idx="55">
                  <c:v>0.95347222222221495</c:v>
                </c:pt>
                <c:pt idx="56">
                  <c:v>0.95555555555554805</c:v>
                </c:pt>
                <c:pt idx="57">
                  <c:v>0.95763888888888105</c:v>
                </c:pt>
                <c:pt idx="58">
                  <c:v>0.95972222222221404</c:v>
                </c:pt>
                <c:pt idx="59">
                  <c:v>0.96180555555554703</c:v>
                </c:pt>
                <c:pt idx="60">
                  <c:v>0.96388888888888002</c:v>
                </c:pt>
                <c:pt idx="61">
                  <c:v>0.96597222222221302</c:v>
                </c:pt>
                <c:pt idx="62">
                  <c:v>0.96805555555554601</c:v>
                </c:pt>
                <c:pt idx="63">
                  <c:v>0.970138888888879</c:v>
                </c:pt>
                <c:pt idx="64">
                  <c:v>0.972222222222212</c:v>
                </c:pt>
                <c:pt idx="65">
                  <c:v>0.97430555555554499</c:v>
                </c:pt>
                <c:pt idx="66">
                  <c:v>0.97638888888887798</c:v>
                </c:pt>
                <c:pt idx="67">
                  <c:v>0.97847222222221097</c:v>
                </c:pt>
                <c:pt idx="68">
                  <c:v>0.98055555555554397</c:v>
                </c:pt>
                <c:pt idx="69">
                  <c:v>0.98263888888887696</c:v>
                </c:pt>
                <c:pt idx="70">
                  <c:v>0.98472222222220995</c:v>
                </c:pt>
                <c:pt idx="71">
                  <c:v>0.98680555555554295</c:v>
                </c:pt>
                <c:pt idx="72">
                  <c:v>0.98888888888887605</c:v>
                </c:pt>
                <c:pt idx="73">
                  <c:v>0.99097222222220904</c:v>
                </c:pt>
                <c:pt idx="74">
                  <c:v>0.99305555555554204</c:v>
                </c:pt>
                <c:pt idx="75">
                  <c:v>0.99513888888887503</c:v>
                </c:pt>
                <c:pt idx="76">
                  <c:v>0.99722222222220802</c:v>
                </c:pt>
                <c:pt idx="77">
                  <c:v>0.99930555555554201</c:v>
                </c:pt>
                <c:pt idx="78">
                  <c:v>1.00138888888887</c:v>
                </c:pt>
                <c:pt idx="79">
                  <c:v>1.0034722222221999</c:v>
                </c:pt>
                <c:pt idx="80">
                  <c:v>1.00555555555553</c:v>
                </c:pt>
                <c:pt idx="81">
                  <c:v>1.0076388888888499</c:v>
                </c:pt>
                <c:pt idx="82">
                  <c:v>1.00972222222218</c:v>
                </c:pt>
                <c:pt idx="83">
                  <c:v>1.0118055555555101</c:v>
                </c:pt>
                <c:pt idx="84">
                  <c:v>1.01388888888884</c:v>
                </c:pt>
                <c:pt idx="85">
                  <c:v>1.0159722222221701</c:v>
                </c:pt>
                <c:pt idx="86">
                  <c:v>1.0180555555555</c:v>
                </c:pt>
                <c:pt idx="87">
                  <c:v>1.0201388888888301</c:v>
                </c:pt>
                <c:pt idx="88">
                  <c:v>1.02222222222216</c:v>
                </c:pt>
                <c:pt idx="89">
                  <c:v>1.0243055555554901</c:v>
                </c:pt>
                <c:pt idx="90">
                  <c:v>1.02638888888882</c:v>
                </c:pt>
                <c:pt idx="91">
                  <c:v>1.0284722222221501</c:v>
                </c:pt>
                <c:pt idx="92">
                  <c:v>1.03055555555548</c:v>
                </c:pt>
                <c:pt idx="93">
                  <c:v>1.0326388888888101</c:v>
                </c:pt>
                <c:pt idx="94">
                  <c:v>1.0347222222221399</c:v>
                </c:pt>
                <c:pt idx="95">
                  <c:v>1.03680555555547</c:v>
                </c:pt>
                <c:pt idx="96">
                  <c:v>1.0388888888887999</c:v>
                </c:pt>
                <c:pt idx="97">
                  <c:v>1.04097222222213</c:v>
                </c:pt>
                <c:pt idx="98">
                  <c:v>1.0430555555554599</c:v>
                </c:pt>
                <c:pt idx="99">
                  <c:v>1.04513888888879</c:v>
                </c:pt>
                <c:pt idx="100">
                  <c:v>1.0472222222221199</c:v>
                </c:pt>
                <c:pt idx="101">
                  <c:v>1.04930555555545</c:v>
                </c:pt>
                <c:pt idx="102">
                  <c:v>1.0513888888887799</c:v>
                </c:pt>
                <c:pt idx="103">
                  <c:v>1.05347222222211</c:v>
                </c:pt>
                <c:pt idx="104">
                  <c:v>9.0277777777777776E-2</c:v>
                </c:pt>
                <c:pt idx="105">
                  <c:v>9.2361111111111116E-2</c:v>
                </c:pt>
                <c:pt idx="106">
                  <c:v>9.4444444444444442E-2</c:v>
                </c:pt>
                <c:pt idx="107">
                  <c:v>9.6527777777777796E-2</c:v>
                </c:pt>
                <c:pt idx="108">
                  <c:v>9.8611111111111094E-2</c:v>
                </c:pt>
                <c:pt idx="109">
                  <c:v>0.100694444444444</c:v>
                </c:pt>
                <c:pt idx="110">
                  <c:v>0.102777777777778</c:v>
                </c:pt>
                <c:pt idx="111">
                  <c:v>0.104861111111111</c:v>
                </c:pt>
                <c:pt idx="112">
                  <c:v>0.106944444444444</c:v>
                </c:pt>
                <c:pt idx="113">
                  <c:v>0.109027777777778</c:v>
                </c:pt>
                <c:pt idx="114">
                  <c:v>0.11111111111111099</c:v>
                </c:pt>
                <c:pt idx="115">
                  <c:v>0.113194444444444</c:v>
                </c:pt>
                <c:pt idx="116">
                  <c:v>0.11527777777777801</c:v>
                </c:pt>
                <c:pt idx="117">
                  <c:v>0.117361111111111</c:v>
                </c:pt>
                <c:pt idx="118">
                  <c:v>0.11944444444444501</c:v>
                </c:pt>
                <c:pt idx="119">
                  <c:v>0.121527777777778</c:v>
                </c:pt>
                <c:pt idx="120">
                  <c:v>0.12361111111111101</c:v>
                </c:pt>
                <c:pt idx="121">
                  <c:v>0.125694444444445</c:v>
                </c:pt>
                <c:pt idx="122">
                  <c:v>0.12777777777777799</c:v>
                </c:pt>
                <c:pt idx="123">
                  <c:v>0.12986111111111101</c:v>
                </c:pt>
                <c:pt idx="124">
                  <c:v>0.131944444444445</c:v>
                </c:pt>
                <c:pt idx="125">
                  <c:v>0.134027777777778</c:v>
                </c:pt>
                <c:pt idx="126">
                  <c:v>0.13611111111111099</c:v>
                </c:pt>
                <c:pt idx="127">
                  <c:v>0.13819444444444501</c:v>
                </c:pt>
                <c:pt idx="128">
                  <c:v>0.140277777777778</c:v>
                </c:pt>
                <c:pt idx="129">
                  <c:v>0.14236111111111099</c:v>
                </c:pt>
                <c:pt idx="130">
                  <c:v>0.14444444444444501</c:v>
                </c:pt>
                <c:pt idx="131">
                  <c:v>0.14652777777777801</c:v>
                </c:pt>
                <c:pt idx="132">
                  <c:v>0.148611111111111</c:v>
                </c:pt>
                <c:pt idx="133">
                  <c:v>0.15069444444444499</c:v>
                </c:pt>
                <c:pt idx="134">
                  <c:v>0.15277777777777801</c:v>
                </c:pt>
                <c:pt idx="135">
                  <c:v>0.15486111111111101</c:v>
                </c:pt>
                <c:pt idx="136">
                  <c:v>0.156944444444445</c:v>
                </c:pt>
                <c:pt idx="137">
                  <c:v>0.15902777777777799</c:v>
                </c:pt>
                <c:pt idx="138">
                  <c:v>0.16111111111111101</c:v>
                </c:pt>
                <c:pt idx="139">
                  <c:v>0.163194444444445</c:v>
                </c:pt>
                <c:pt idx="140">
                  <c:v>0.165277777777778</c:v>
                </c:pt>
                <c:pt idx="141">
                  <c:v>0.16736111111111099</c:v>
                </c:pt>
                <c:pt idx="142">
                  <c:v>0.16944444444444501</c:v>
                </c:pt>
                <c:pt idx="143">
                  <c:v>0.171527777777778</c:v>
                </c:pt>
                <c:pt idx="144">
                  <c:v>0.17361111111111099</c:v>
                </c:pt>
                <c:pt idx="145">
                  <c:v>0.17569444444444501</c:v>
                </c:pt>
                <c:pt idx="146">
                  <c:v>0.17777777777777801</c:v>
                </c:pt>
                <c:pt idx="147">
                  <c:v>0.179861111111111</c:v>
                </c:pt>
                <c:pt idx="148">
                  <c:v>0.18194444444444499</c:v>
                </c:pt>
                <c:pt idx="149">
                  <c:v>0.18402777777777801</c:v>
                </c:pt>
                <c:pt idx="150">
                  <c:v>0.18611111111111101</c:v>
                </c:pt>
                <c:pt idx="151">
                  <c:v>0.188194444444445</c:v>
                </c:pt>
                <c:pt idx="152">
                  <c:v>0.19027777777777799</c:v>
                </c:pt>
                <c:pt idx="153">
                  <c:v>0.19236111111111201</c:v>
                </c:pt>
                <c:pt idx="154">
                  <c:v>0.194444444444445</c:v>
                </c:pt>
                <c:pt idx="155">
                  <c:v>0.196527777777778</c:v>
                </c:pt>
                <c:pt idx="156">
                  <c:v>0.19861111111111199</c:v>
                </c:pt>
                <c:pt idx="157">
                  <c:v>0.20069444444444501</c:v>
                </c:pt>
                <c:pt idx="158">
                  <c:v>0.202777777777778</c:v>
                </c:pt>
                <c:pt idx="159">
                  <c:v>0.20486111111111199</c:v>
                </c:pt>
                <c:pt idx="160">
                  <c:v>0.20694444444444501</c:v>
                </c:pt>
                <c:pt idx="161">
                  <c:v>0.20902777777777801</c:v>
                </c:pt>
                <c:pt idx="162">
                  <c:v>0.211111111111112</c:v>
                </c:pt>
                <c:pt idx="163">
                  <c:v>0.21319444444444499</c:v>
                </c:pt>
                <c:pt idx="164">
                  <c:v>0.21527777777777801</c:v>
                </c:pt>
                <c:pt idx="165">
                  <c:v>0.217361111111112</c:v>
                </c:pt>
                <c:pt idx="166">
                  <c:v>0.219444444444445</c:v>
                </c:pt>
                <c:pt idx="167">
                  <c:v>0.22152777777777799</c:v>
                </c:pt>
                <c:pt idx="168">
                  <c:v>0.22361111111111201</c:v>
                </c:pt>
                <c:pt idx="169">
                  <c:v>0.225694444444445</c:v>
                </c:pt>
                <c:pt idx="170">
                  <c:v>0.227777777777778</c:v>
                </c:pt>
                <c:pt idx="171">
                  <c:v>0.22986111111111199</c:v>
                </c:pt>
                <c:pt idx="172">
                  <c:v>0.23194444444444501</c:v>
                </c:pt>
                <c:pt idx="173">
                  <c:v>0.234027777777778</c:v>
                </c:pt>
                <c:pt idx="174">
                  <c:v>0.23611111111111199</c:v>
                </c:pt>
                <c:pt idx="175">
                  <c:v>0.23819444444444501</c:v>
                </c:pt>
                <c:pt idx="176">
                  <c:v>0.24027777777777801</c:v>
                </c:pt>
                <c:pt idx="177">
                  <c:v>0.242361111111112</c:v>
                </c:pt>
                <c:pt idx="178">
                  <c:v>0.24444444444444499</c:v>
                </c:pt>
                <c:pt idx="179">
                  <c:v>0.24652777777777801</c:v>
                </c:pt>
                <c:pt idx="180">
                  <c:v>0.248611111111112</c:v>
                </c:pt>
                <c:pt idx="181">
                  <c:v>0.250694444444445</c:v>
                </c:pt>
                <c:pt idx="182">
                  <c:v>0.25277777777777899</c:v>
                </c:pt>
                <c:pt idx="183">
                  <c:v>0.25486111111111198</c:v>
                </c:pt>
                <c:pt idx="184">
                  <c:v>0.25694444444444497</c:v>
                </c:pt>
                <c:pt idx="185">
                  <c:v>0.25902777777777902</c:v>
                </c:pt>
                <c:pt idx="186">
                  <c:v>0.26111111111111202</c:v>
                </c:pt>
                <c:pt idx="187">
                  <c:v>0.26319444444444501</c:v>
                </c:pt>
                <c:pt idx="188">
                  <c:v>0.265277777777779</c:v>
                </c:pt>
                <c:pt idx="189">
                  <c:v>0.26736111111111199</c:v>
                </c:pt>
                <c:pt idx="190">
                  <c:v>0.26944444444444499</c:v>
                </c:pt>
                <c:pt idx="191">
                  <c:v>0.27152777777777898</c:v>
                </c:pt>
                <c:pt idx="192">
                  <c:v>0.27361111111111203</c:v>
                </c:pt>
                <c:pt idx="193">
                  <c:v>0.27569444444444502</c:v>
                </c:pt>
                <c:pt idx="194">
                  <c:v>0.27777777777777901</c:v>
                </c:pt>
                <c:pt idx="195">
                  <c:v>0.279861111111112</c:v>
                </c:pt>
                <c:pt idx="196">
                  <c:v>0.281944444444445</c:v>
                </c:pt>
                <c:pt idx="197">
                  <c:v>0.28402777777777899</c:v>
                </c:pt>
                <c:pt idx="198">
                  <c:v>0.28611111111111198</c:v>
                </c:pt>
                <c:pt idx="199">
                  <c:v>0.28819444444444497</c:v>
                </c:pt>
                <c:pt idx="200">
                  <c:v>0.29027777777777902</c:v>
                </c:pt>
                <c:pt idx="201">
                  <c:v>0.29236111111111202</c:v>
                </c:pt>
                <c:pt idx="202">
                  <c:v>0.29444444444444501</c:v>
                </c:pt>
                <c:pt idx="203">
                  <c:v>0.296527777777779</c:v>
                </c:pt>
                <c:pt idx="204">
                  <c:v>0.29861111111111199</c:v>
                </c:pt>
              </c:numCache>
            </c:numRef>
          </c:cat>
          <c:val>
            <c:numRef>
              <c:f>ferry!$S$30:$S$234</c:f>
              <c:numCache>
                <c:formatCode>0.000</c:formatCode>
                <c:ptCount val="205"/>
                <c:pt idx="0">
                  <c:v>67.425922742772684</c:v>
                </c:pt>
                <c:pt idx="1">
                  <c:v>67.425922742772684</c:v>
                </c:pt>
                <c:pt idx="2">
                  <c:v>67.425922742772684</c:v>
                </c:pt>
                <c:pt idx="3">
                  <c:v>67.425922742772684</c:v>
                </c:pt>
                <c:pt idx="4">
                  <c:v>67.425922742772684</c:v>
                </c:pt>
                <c:pt idx="5">
                  <c:v>67.425922742772684</c:v>
                </c:pt>
                <c:pt idx="6">
                  <c:v>67.425922742772684</c:v>
                </c:pt>
                <c:pt idx="7">
                  <c:v>67.425922742772684</c:v>
                </c:pt>
                <c:pt idx="8">
                  <c:v>67.425922742772684</c:v>
                </c:pt>
                <c:pt idx="9">
                  <c:v>67.425922742772684</c:v>
                </c:pt>
                <c:pt idx="10">
                  <c:v>67.425922742772684</c:v>
                </c:pt>
                <c:pt idx="11">
                  <c:v>67.425922742772684</c:v>
                </c:pt>
                <c:pt idx="12">
                  <c:v>67.425922742772684</c:v>
                </c:pt>
                <c:pt idx="13">
                  <c:v>67.425922742772684</c:v>
                </c:pt>
                <c:pt idx="14">
                  <c:v>67.425922742772684</c:v>
                </c:pt>
                <c:pt idx="15">
                  <c:v>67.425922742772684</c:v>
                </c:pt>
                <c:pt idx="16">
                  <c:v>67.425922742772684</c:v>
                </c:pt>
                <c:pt idx="17">
                  <c:v>67.425922742772684</c:v>
                </c:pt>
                <c:pt idx="18">
                  <c:v>67.425922742772684</c:v>
                </c:pt>
                <c:pt idx="19">
                  <c:v>67.425922742772684</c:v>
                </c:pt>
                <c:pt idx="20">
                  <c:v>67.425922742772684</c:v>
                </c:pt>
                <c:pt idx="21">
                  <c:v>67.425922742772684</c:v>
                </c:pt>
                <c:pt idx="22">
                  <c:v>67.425922742772684</c:v>
                </c:pt>
                <c:pt idx="23">
                  <c:v>67.425922742772684</c:v>
                </c:pt>
                <c:pt idx="24">
                  <c:v>67.425922742772684</c:v>
                </c:pt>
                <c:pt idx="25">
                  <c:v>67.425922742772684</c:v>
                </c:pt>
                <c:pt idx="26">
                  <c:v>67.425922742772684</c:v>
                </c:pt>
                <c:pt idx="27">
                  <c:v>67.425922742772684</c:v>
                </c:pt>
                <c:pt idx="28">
                  <c:v>67.425922742772684</c:v>
                </c:pt>
                <c:pt idx="29">
                  <c:v>67.425922742772684</c:v>
                </c:pt>
                <c:pt idx="30">
                  <c:v>67.425922742772684</c:v>
                </c:pt>
                <c:pt idx="31">
                  <c:v>67.425922742772684</c:v>
                </c:pt>
                <c:pt idx="32">
                  <c:v>67.425922742772684</c:v>
                </c:pt>
                <c:pt idx="33">
                  <c:v>67.425922742772684</c:v>
                </c:pt>
                <c:pt idx="34">
                  <c:v>67.425922742772684</c:v>
                </c:pt>
                <c:pt idx="35">
                  <c:v>67.425922742772684</c:v>
                </c:pt>
                <c:pt idx="36">
                  <c:v>67.425922742772684</c:v>
                </c:pt>
                <c:pt idx="37">
                  <c:v>67.425922742772684</c:v>
                </c:pt>
                <c:pt idx="38">
                  <c:v>67.425922742772684</c:v>
                </c:pt>
                <c:pt idx="39">
                  <c:v>67.425922742772684</c:v>
                </c:pt>
                <c:pt idx="40">
                  <c:v>67.425922742772684</c:v>
                </c:pt>
                <c:pt idx="41">
                  <c:v>67.425922742772684</c:v>
                </c:pt>
                <c:pt idx="42">
                  <c:v>67.425922742772684</c:v>
                </c:pt>
                <c:pt idx="43">
                  <c:v>67.425922742772684</c:v>
                </c:pt>
                <c:pt idx="44">
                  <c:v>67.425922742772684</c:v>
                </c:pt>
                <c:pt idx="45">
                  <c:v>67.425922742772684</c:v>
                </c:pt>
                <c:pt idx="46">
                  <c:v>67.425922742772684</c:v>
                </c:pt>
                <c:pt idx="47">
                  <c:v>67.425922742772684</c:v>
                </c:pt>
                <c:pt idx="48">
                  <c:v>67.425922742772684</c:v>
                </c:pt>
                <c:pt idx="49">
                  <c:v>67.425922742772684</c:v>
                </c:pt>
                <c:pt idx="50">
                  <c:v>67.425922742772684</c:v>
                </c:pt>
                <c:pt idx="51">
                  <c:v>67.425922742772684</c:v>
                </c:pt>
                <c:pt idx="52">
                  <c:v>67.425922742772684</c:v>
                </c:pt>
                <c:pt idx="53">
                  <c:v>67.425922742772684</c:v>
                </c:pt>
                <c:pt idx="54">
                  <c:v>67.425922742772684</c:v>
                </c:pt>
                <c:pt idx="55">
                  <c:v>67.425922742772684</c:v>
                </c:pt>
                <c:pt idx="56">
                  <c:v>67.425922742772684</c:v>
                </c:pt>
                <c:pt idx="57">
                  <c:v>67.425922742772684</c:v>
                </c:pt>
                <c:pt idx="58">
                  <c:v>67.425922742772684</c:v>
                </c:pt>
                <c:pt idx="59">
                  <c:v>67.425922742772684</c:v>
                </c:pt>
                <c:pt idx="60">
                  <c:v>67.425922742772684</c:v>
                </c:pt>
                <c:pt idx="61">
                  <c:v>67.425922742772684</c:v>
                </c:pt>
                <c:pt idx="62">
                  <c:v>67.425922742772684</c:v>
                </c:pt>
                <c:pt idx="63">
                  <c:v>67.425922742772684</c:v>
                </c:pt>
                <c:pt idx="64">
                  <c:v>67.425922742772684</c:v>
                </c:pt>
                <c:pt idx="65">
                  <c:v>67.425922742772684</c:v>
                </c:pt>
                <c:pt idx="66">
                  <c:v>67.425922742772684</c:v>
                </c:pt>
                <c:pt idx="67">
                  <c:v>67.425922742772684</c:v>
                </c:pt>
                <c:pt idx="68">
                  <c:v>67.425922742772684</c:v>
                </c:pt>
                <c:pt idx="69">
                  <c:v>67.425922742772684</c:v>
                </c:pt>
                <c:pt idx="70">
                  <c:v>67.425922742772684</c:v>
                </c:pt>
                <c:pt idx="71">
                  <c:v>67.425922742772684</c:v>
                </c:pt>
                <c:pt idx="72">
                  <c:v>67.425922742772684</c:v>
                </c:pt>
                <c:pt idx="73">
                  <c:v>67.425922742772684</c:v>
                </c:pt>
                <c:pt idx="74">
                  <c:v>67.425922742772684</c:v>
                </c:pt>
                <c:pt idx="75">
                  <c:v>67.425922742772684</c:v>
                </c:pt>
                <c:pt idx="76">
                  <c:v>67.425922742772684</c:v>
                </c:pt>
                <c:pt idx="77">
                  <c:v>67.425922742772684</c:v>
                </c:pt>
                <c:pt idx="78">
                  <c:v>67.425922742772684</c:v>
                </c:pt>
                <c:pt idx="79">
                  <c:v>67.425922742772684</c:v>
                </c:pt>
                <c:pt idx="80">
                  <c:v>67.425922742772684</c:v>
                </c:pt>
                <c:pt idx="81">
                  <c:v>67.425922742772684</c:v>
                </c:pt>
                <c:pt idx="82">
                  <c:v>67.425922742772684</c:v>
                </c:pt>
                <c:pt idx="83">
                  <c:v>67.425922742772684</c:v>
                </c:pt>
                <c:pt idx="84">
                  <c:v>67.425922742772684</c:v>
                </c:pt>
                <c:pt idx="85">
                  <c:v>67.425922742772684</c:v>
                </c:pt>
                <c:pt idx="86">
                  <c:v>67.425922742772684</c:v>
                </c:pt>
                <c:pt idx="87">
                  <c:v>67.425922742772684</c:v>
                </c:pt>
                <c:pt idx="88">
                  <c:v>67.425922742772684</c:v>
                </c:pt>
                <c:pt idx="89">
                  <c:v>67.425922742772684</c:v>
                </c:pt>
                <c:pt idx="90">
                  <c:v>67.425922742772684</c:v>
                </c:pt>
                <c:pt idx="91">
                  <c:v>67.425922742772684</c:v>
                </c:pt>
                <c:pt idx="92">
                  <c:v>67.425922742772684</c:v>
                </c:pt>
                <c:pt idx="93">
                  <c:v>67.425922742772684</c:v>
                </c:pt>
                <c:pt idx="94">
                  <c:v>67.425922742772684</c:v>
                </c:pt>
                <c:pt idx="95">
                  <c:v>67.425922742772684</c:v>
                </c:pt>
                <c:pt idx="96">
                  <c:v>67.425922742772684</c:v>
                </c:pt>
                <c:pt idx="97">
                  <c:v>67.425922742772684</c:v>
                </c:pt>
                <c:pt idx="98">
                  <c:v>67.425922742772684</c:v>
                </c:pt>
                <c:pt idx="99">
                  <c:v>67.425922742772684</c:v>
                </c:pt>
                <c:pt idx="100">
                  <c:v>67.425922742772684</c:v>
                </c:pt>
                <c:pt idx="101">
                  <c:v>67.425922742772684</c:v>
                </c:pt>
                <c:pt idx="102">
                  <c:v>67.425922742772684</c:v>
                </c:pt>
                <c:pt idx="103">
                  <c:v>67.425922742772684</c:v>
                </c:pt>
                <c:pt idx="104">
                  <c:v>67.425922742772684</c:v>
                </c:pt>
                <c:pt idx="105">
                  <c:v>67.425922742772684</c:v>
                </c:pt>
                <c:pt idx="106">
                  <c:v>67.425922742772684</c:v>
                </c:pt>
                <c:pt idx="107">
                  <c:v>67.425922742772684</c:v>
                </c:pt>
                <c:pt idx="108">
                  <c:v>67.425922742772684</c:v>
                </c:pt>
                <c:pt idx="109">
                  <c:v>67.425922742772684</c:v>
                </c:pt>
                <c:pt idx="110">
                  <c:v>67.425922742772684</c:v>
                </c:pt>
                <c:pt idx="111">
                  <c:v>67.425922742772684</c:v>
                </c:pt>
                <c:pt idx="112">
                  <c:v>67.425922742772684</c:v>
                </c:pt>
                <c:pt idx="113">
                  <c:v>67.425922742772684</c:v>
                </c:pt>
                <c:pt idx="114">
                  <c:v>67.425922742772684</c:v>
                </c:pt>
                <c:pt idx="115">
                  <c:v>67.425922742772684</c:v>
                </c:pt>
                <c:pt idx="116">
                  <c:v>67.425922742772684</c:v>
                </c:pt>
                <c:pt idx="117">
                  <c:v>67.425922742772684</c:v>
                </c:pt>
                <c:pt idx="118">
                  <c:v>67.425922742772684</c:v>
                </c:pt>
                <c:pt idx="119">
                  <c:v>67.425922742772684</c:v>
                </c:pt>
                <c:pt idx="120">
                  <c:v>67.425922742772684</c:v>
                </c:pt>
                <c:pt idx="121">
                  <c:v>67.425922742772684</c:v>
                </c:pt>
                <c:pt idx="122">
                  <c:v>67.425922742772684</c:v>
                </c:pt>
                <c:pt idx="123">
                  <c:v>67.425922742772684</c:v>
                </c:pt>
                <c:pt idx="124">
                  <c:v>67.425922742772684</c:v>
                </c:pt>
                <c:pt idx="125">
                  <c:v>67.425922742772684</c:v>
                </c:pt>
                <c:pt idx="126">
                  <c:v>67.425922742772684</c:v>
                </c:pt>
                <c:pt idx="127">
                  <c:v>67.425922742772684</c:v>
                </c:pt>
                <c:pt idx="128">
                  <c:v>67.425922742772684</c:v>
                </c:pt>
                <c:pt idx="129">
                  <c:v>67.425922742772684</c:v>
                </c:pt>
                <c:pt idx="130">
                  <c:v>67.425922742772684</c:v>
                </c:pt>
                <c:pt idx="131">
                  <c:v>67.425922742772684</c:v>
                </c:pt>
                <c:pt idx="132">
                  <c:v>67.425922742772684</c:v>
                </c:pt>
                <c:pt idx="133">
                  <c:v>67.425922742772684</c:v>
                </c:pt>
                <c:pt idx="134">
                  <c:v>67.425922742772684</c:v>
                </c:pt>
                <c:pt idx="135">
                  <c:v>67.425922742772684</c:v>
                </c:pt>
                <c:pt idx="136">
                  <c:v>67.425922742772684</c:v>
                </c:pt>
                <c:pt idx="137">
                  <c:v>67.425922742772684</c:v>
                </c:pt>
                <c:pt idx="138">
                  <c:v>67.425922742772684</c:v>
                </c:pt>
                <c:pt idx="139">
                  <c:v>67.425922742772684</c:v>
                </c:pt>
                <c:pt idx="140">
                  <c:v>67.425922742772684</c:v>
                </c:pt>
                <c:pt idx="141">
                  <c:v>67.425922742772684</c:v>
                </c:pt>
                <c:pt idx="142">
                  <c:v>67.425922742772684</c:v>
                </c:pt>
                <c:pt idx="143">
                  <c:v>67.425922742772684</c:v>
                </c:pt>
                <c:pt idx="144">
                  <c:v>67.425922742772684</c:v>
                </c:pt>
                <c:pt idx="145">
                  <c:v>67.425922742772684</c:v>
                </c:pt>
                <c:pt idx="146">
                  <c:v>67.425922742772684</c:v>
                </c:pt>
                <c:pt idx="147">
                  <c:v>67.425922742772684</c:v>
                </c:pt>
                <c:pt idx="148">
                  <c:v>67.425922742772684</c:v>
                </c:pt>
                <c:pt idx="149">
                  <c:v>67.425922742772684</c:v>
                </c:pt>
                <c:pt idx="150">
                  <c:v>67.425922742772684</c:v>
                </c:pt>
                <c:pt idx="151">
                  <c:v>67.425922742772684</c:v>
                </c:pt>
                <c:pt idx="152">
                  <c:v>67.425922742772684</c:v>
                </c:pt>
                <c:pt idx="153">
                  <c:v>67.425922742772684</c:v>
                </c:pt>
                <c:pt idx="154">
                  <c:v>67.425922742772684</c:v>
                </c:pt>
                <c:pt idx="155">
                  <c:v>67.425922742772684</c:v>
                </c:pt>
                <c:pt idx="156">
                  <c:v>67.425922742772684</c:v>
                </c:pt>
                <c:pt idx="157">
                  <c:v>67.425922742772684</c:v>
                </c:pt>
                <c:pt idx="158">
                  <c:v>67.425922742772684</c:v>
                </c:pt>
                <c:pt idx="159">
                  <c:v>67.425922742772684</c:v>
                </c:pt>
                <c:pt idx="160">
                  <c:v>67.425922742772684</c:v>
                </c:pt>
                <c:pt idx="161">
                  <c:v>67.425922742772684</c:v>
                </c:pt>
                <c:pt idx="162">
                  <c:v>67.425922742772684</c:v>
                </c:pt>
                <c:pt idx="163">
                  <c:v>67.425922742772684</c:v>
                </c:pt>
                <c:pt idx="164">
                  <c:v>67.425922742772684</c:v>
                </c:pt>
                <c:pt idx="165">
                  <c:v>67.425922742772684</c:v>
                </c:pt>
                <c:pt idx="166">
                  <c:v>67.425922742772684</c:v>
                </c:pt>
                <c:pt idx="167">
                  <c:v>67.425922742772684</c:v>
                </c:pt>
                <c:pt idx="168">
                  <c:v>67.425922742772684</c:v>
                </c:pt>
                <c:pt idx="169">
                  <c:v>67.425922742772684</c:v>
                </c:pt>
                <c:pt idx="170">
                  <c:v>67.425922742772684</c:v>
                </c:pt>
                <c:pt idx="171">
                  <c:v>67.425922742772684</c:v>
                </c:pt>
                <c:pt idx="172">
                  <c:v>67.425922742772684</c:v>
                </c:pt>
                <c:pt idx="173">
                  <c:v>67.425922742772684</c:v>
                </c:pt>
                <c:pt idx="174">
                  <c:v>67.425922742772684</c:v>
                </c:pt>
                <c:pt idx="175">
                  <c:v>67.425922742772684</c:v>
                </c:pt>
                <c:pt idx="176">
                  <c:v>67.425922742772684</c:v>
                </c:pt>
                <c:pt idx="177">
                  <c:v>67.425922742772684</c:v>
                </c:pt>
                <c:pt idx="178">
                  <c:v>67.425922742772684</c:v>
                </c:pt>
                <c:pt idx="179">
                  <c:v>67.425922742772684</c:v>
                </c:pt>
                <c:pt idx="180">
                  <c:v>67.425922742772684</c:v>
                </c:pt>
                <c:pt idx="181">
                  <c:v>67.425922742772684</c:v>
                </c:pt>
                <c:pt idx="182">
                  <c:v>67.425922742772684</c:v>
                </c:pt>
                <c:pt idx="183">
                  <c:v>67.425922742772684</c:v>
                </c:pt>
                <c:pt idx="184">
                  <c:v>67.425922742772684</c:v>
                </c:pt>
                <c:pt idx="185">
                  <c:v>67.425922742772684</c:v>
                </c:pt>
                <c:pt idx="186">
                  <c:v>67.425922742772684</c:v>
                </c:pt>
                <c:pt idx="187">
                  <c:v>67.425922742772684</c:v>
                </c:pt>
                <c:pt idx="188">
                  <c:v>67.425922742772684</c:v>
                </c:pt>
                <c:pt idx="189">
                  <c:v>67.425922742772684</c:v>
                </c:pt>
                <c:pt idx="190">
                  <c:v>67.425922742772684</c:v>
                </c:pt>
                <c:pt idx="191">
                  <c:v>67.425922742772684</c:v>
                </c:pt>
                <c:pt idx="192">
                  <c:v>67.425922742772684</c:v>
                </c:pt>
                <c:pt idx="193">
                  <c:v>67.425922742772684</c:v>
                </c:pt>
                <c:pt idx="194">
                  <c:v>67.425922742772684</c:v>
                </c:pt>
                <c:pt idx="195">
                  <c:v>67.425922742772684</c:v>
                </c:pt>
                <c:pt idx="196">
                  <c:v>67.425922742772684</c:v>
                </c:pt>
                <c:pt idx="197">
                  <c:v>67.425922742772684</c:v>
                </c:pt>
                <c:pt idx="198">
                  <c:v>67.425922742772684</c:v>
                </c:pt>
                <c:pt idx="199">
                  <c:v>67.425922742772684</c:v>
                </c:pt>
                <c:pt idx="200">
                  <c:v>67.425922742772684</c:v>
                </c:pt>
                <c:pt idx="201">
                  <c:v>67.425922742772684</c:v>
                </c:pt>
                <c:pt idx="202">
                  <c:v>67.425922742772684</c:v>
                </c:pt>
                <c:pt idx="203">
                  <c:v>67.425922742772684</c:v>
                </c:pt>
                <c:pt idx="204">
                  <c:v>67.425922742772684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01-433A-AB4F-C91C4DA0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482216"/>
        <c:axId val="633485168"/>
      </c:lineChart>
      <c:catAx>
        <c:axId val="633482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3485168"/>
        <c:crosses val="autoZero"/>
        <c:auto val="1"/>
        <c:lblAlgn val="ctr"/>
        <c:lblOffset val="100"/>
        <c:noMultiLvlLbl val="0"/>
      </c:catAx>
      <c:valAx>
        <c:axId val="633485168"/>
        <c:scaling>
          <c:orientation val="minMax"/>
          <c:max val="7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CII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348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chart" Target="../charts/chart11.xml"/><Relationship Id="rId2" Type="http://schemas.openxmlformats.org/officeDocument/2006/relationships/image" Target="../media/image9.png"/><Relationship Id="rId16" Type="http://schemas.openxmlformats.org/officeDocument/2006/relationships/chart" Target="../charts/chart10.xml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chart" Target="../charts/chart9.xml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9.png"/><Relationship Id="rId16" Type="http://schemas.openxmlformats.org/officeDocument/2006/relationships/chart" Target="../charts/chart13.xml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chart" Target="../charts/chart12.xml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14</xdr:col>
      <xdr:colOff>171899</xdr:colOff>
      <xdr:row>7</xdr:row>
      <xdr:rowOff>162104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8591E4-659A-4634-A23A-84E2FBD59D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888" b="1"/>
        <a:stretch/>
      </xdr:blipFill>
      <xdr:spPr>
        <a:xfrm>
          <a:off x="5486400" y="365760"/>
          <a:ext cx="3219899" cy="111460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8</xdr:row>
      <xdr:rowOff>160020</xdr:rowOff>
    </xdr:from>
    <xdr:to>
      <xdr:col>11</xdr:col>
      <xdr:colOff>533639</xdr:colOff>
      <xdr:row>11</xdr:row>
      <xdr:rowOff>156293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912F96-C387-48F8-8620-3EFF30292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1668780"/>
          <a:ext cx="1714739" cy="5525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572175</xdr:colOff>
      <xdr:row>17</xdr:row>
      <xdr:rowOff>152327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072BBC-F32D-4299-8E55-30174194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365760"/>
          <a:ext cx="4839375" cy="2993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587186</xdr:colOff>
      <xdr:row>68</xdr:row>
      <xdr:rowOff>152399</xdr:rowOff>
    </xdr:from>
    <xdr:to>
      <xdr:col>24</xdr:col>
      <xdr:colOff>318654</xdr:colOff>
      <xdr:row>93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BC168-FA7C-4DAB-A172-6688C40B4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415635</xdr:colOff>
      <xdr:row>71</xdr:row>
      <xdr:rowOff>41562</xdr:rowOff>
    </xdr:from>
    <xdr:to>
      <xdr:col>50</xdr:col>
      <xdr:colOff>429490</xdr:colOff>
      <xdr:row>93</xdr:row>
      <xdr:rowOff>41564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CE8E7B-9161-42E4-AD9B-47FC4A55A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587186</xdr:colOff>
      <xdr:row>68</xdr:row>
      <xdr:rowOff>152399</xdr:rowOff>
    </xdr:from>
    <xdr:to>
      <xdr:col>24</xdr:col>
      <xdr:colOff>318654</xdr:colOff>
      <xdr:row>93</xdr:row>
      <xdr:rowOff>13855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1B6B2-3925-42AF-B569-4D0A3FE3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429490</xdr:colOff>
      <xdr:row>74</xdr:row>
      <xdr:rowOff>69271</xdr:rowOff>
    </xdr:from>
    <xdr:to>
      <xdr:col>49</xdr:col>
      <xdr:colOff>180109</xdr:colOff>
      <xdr:row>96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81D2E-0412-452B-9EF6-1CF2CC2F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279919</xdr:colOff>
      <xdr:row>15</xdr:row>
      <xdr:rowOff>198906</xdr:rowOff>
    </xdr:from>
    <xdr:to>
      <xdr:col>11</xdr:col>
      <xdr:colOff>508166</xdr:colOff>
      <xdr:row>19</xdr:row>
      <xdr:rowOff>190620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38A3E4-6BC6-4390-AAA9-38737D94F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939" y="3355763"/>
          <a:ext cx="3027431" cy="862571"/>
        </a:xfrm>
        <a:prstGeom prst="rect">
          <a:avLst/>
        </a:prstGeom>
      </xdr:spPr>
    </xdr:pic>
    <xdr:clientData/>
  </xdr:twoCellAnchor>
  <xdr:twoCellAnchor editAs="oneCell">
    <xdr:from>
      <xdr:col>11</xdr:col>
      <xdr:colOff>680038</xdr:colOff>
      <xdr:row>13</xdr:row>
      <xdr:rowOff>60923</xdr:rowOff>
    </xdr:from>
    <xdr:to>
      <xdr:col>13</xdr:col>
      <xdr:colOff>324928</xdr:colOff>
      <xdr:row>19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2DC11B-B615-4C0F-8B28-B02BBD9FF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410242" y="2611290"/>
          <a:ext cx="1650972" cy="1549773"/>
        </a:xfrm>
        <a:prstGeom prst="rect">
          <a:avLst/>
        </a:prstGeom>
      </xdr:spPr>
    </xdr:pic>
    <xdr:clientData/>
  </xdr:twoCellAnchor>
  <xdr:twoCellAnchor editAs="oneCell">
    <xdr:from>
      <xdr:col>8</xdr:col>
      <xdr:colOff>318655</xdr:colOff>
      <xdr:row>19</xdr:row>
      <xdr:rowOff>96982</xdr:rowOff>
    </xdr:from>
    <xdr:to>
      <xdr:col>13</xdr:col>
      <xdr:colOff>744340</xdr:colOff>
      <xdr:row>23</xdr:row>
      <xdr:rowOff>158865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6572C3-E974-4476-9CC7-EDF05CE0F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9175" y="4280362"/>
          <a:ext cx="5250559" cy="9591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435429</xdr:colOff>
      <xdr:row>75</xdr:row>
      <xdr:rowOff>119743</xdr:rowOff>
    </xdr:from>
    <xdr:to>
      <xdr:col>26</xdr:col>
      <xdr:colOff>130629</xdr:colOff>
      <xdr:row>90</xdr:row>
      <xdr:rowOff>87086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F6185-53C8-6DD1-899B-4E68D2C3A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587830</xdr:colOff>
      <xdr:row>180</xdr:row>
      <xdr:rowOff>21771</xdr:rowOff>
    </xdr:from>
    <xdr:to>
      <xdr:col>24</xdr:col>
      <xdr:colOff>283030</xdr:colOff>
      <xdr:row>194</xdr:row>
      <xdr:rowOff>174171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850089-7F24-C982-39BC-B77AD490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8D70FA-EE63-6820-A9B4-283378623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25</xdr:row>
      <xdr:rowOff>179070</xdr:rowOff>
    </xdr:from>
    <xdr:to>
      <xdr:col>15</xdr:col>
      <xdr:colOff>228600</xdr:colOff>
      <xdr:row>40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05A718-9CA6-F785-64DB-BE2F5D4F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379764</xdr:colOff>
      <xdr:row>16</xdr:row>
      <xdr:rowOff>98602</xdr:rowOff>
    </xdr:from>
    <xdr:to>
      <xdr:col>11</xdr:col>
      <xdr:colOff>608013</xdr:colOff>
      <xdr:row>20</xdr:row>
      <xdr:rowOff>55927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449D07-EE8D-476D-98D7-E62C6B787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3614" y="3489502"/>
          <a:ext cx="3028599" cy="873457"/>
        </a:xfrm>
        <a:prstGeom prst="rect">
          <a:avLst/>
        </a:prstGeom>
      </xdr:spPr>
    </xdr:pic>
    <xdr:clientData/>
  </xdr:twoCellAnchor>
  <xdr:twoCellAnchor editAs="oneCell">
    <xdr:from>
      <xdr:col>12</xdr:col>
      <xdr:colOff>26895</xdr:colOff>
      <xdr:row>16</xdr:row>
      <xdr:rowOff>31376</xdr:rowOff>
    </xdr:from>
    <xdr:to>
      <xdr:col>13</xdr:col>
      <xdr:colOff>573744</xdr:colOff>
      <xdr:row>22</xdr:row>
      <xdr:rowOff>214885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D15A05-23BA-42EE-934B-BC88384E4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704545" y="3422276"/>
          <a:ext cx="1651749" cy="1563769"/>
        </a:xfrm>
        <a:prstGeom prst="rect">
          <a:avLst/>
        </a:prstGeom>
      </xdr:spPr>
    </xdr:pic>
    <xdr:clientData/>
  </xdr:twoCellAnchor>
  <xdr:twoCellAnchor editAs="oneCell">
    <xdr:from>
      <xdr:col>43</xdr:col>
      <xdr:colOff>387929</xdr:colOff>
      <xdr:row>10</xdr:row>
      <xdr:rowOff>152400</xdr:rowOff>
    </xdr:from>
    <xdr:to>
      <xdr:col>46</xdr:col>
      <xdr:colOff>147341</xdr:colOff>
      <xdr:row>14</xdr:row>
      <xdr:rowOff>96983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C5369D-160B-4CCD-965B-44C5243CF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23456" y="2064327"/>
          <a:ext cx="2585740" cy="886692"/>
        </a:xfrm>
        <a:prstGeom prst="rect">
          <a:avLst/>
        </a:prstGeom>
      </xdr:spPr>
    </xdr:pic>
    <xdr:clientData/>
  </xdr:twoCellAnchor>
  <xdr:twoCellAnchor editAs="oneCell">
    <xdr:from>
      <xdr:col>8</xdr:col>
      <xdr:colOff>55418</xdr:colOff>
      <xdr:row>11</xdr:row>
      <xdr:rowOff>55419</xdr:rowOff>
    </xdr:from>
    <xdr:to>
      <xdr:col>13</xdr:col>
      <xdr:colOff>454808</xdr:colOff>
      <xdr:row>15</xdr:row>
      <xdr:rowOff>47506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82D406-55B1-48C7-875C-67760692F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25938" y="2242359"/>
          <a:ext cx="5253330" cy="9598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26876</xdr:colOff>
      <xdr:row>3</xdr:row>
      <xdr:rowOff>96553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F279E-7CB2-4C86-8C11-6D1EE097F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5057"/>
          <a:ext cx="2704762" cy="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598714</xdr:colOff>
      <xdr:row>4</xdr:row>
      <xdr:rowOff>21771</xdr:rowOff>
    </xdr:from>
    <xdr:to>
      <xdr:col>5</xdr:col>
      <xdr:colOff>2560</xdr:colOff>
      <xdr:row>7</xdr:row>
      <xdr:rowOff>9457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56E806-7EAE-477A-8B9F-77DB4F69B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714" y="762000"/>
          <a:ext cx="2688771" cy="5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402771</xdr:colOff>
      <xdr:row>0</xdr:row>
      <xdr:rowOff>43542</xdr:rowOff>
    </xdr:from>
    <xdr:to>
      <xdr:col>9</xdr:col>
      <xdr:colOff>1015657</xdr:colOff>
      <xdr:row>13</xdr:row>
      <xdr:rowOff>152085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1E76BD-3502-429C-821E-35087F14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31571" y="43542"/>
          <a:ext cx="6371429" cy="25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206828</xdr:colOff>
      <xdr:row>4</xdr:row>
      <xdr:rowOff>-1</xdr:rowOff>
    </xdr:from>
    <xdr:to>
      <xdr:col>6</xdr:col>
      <xdr:colOff>533399</xdr:colOff>
      <xdr:row>6</xdr:row>
      <xdr:rowOff>87028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D1D6E2-90EE-4FF8-B308-0F1B010EF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5628" y="740228"/>
          <a:ext cx="2623457" cy="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598714</xdr:colOff>
      <xdr:row>14</xdr:row>
      <xdr:rowOff>32657</xdr:rowOff>
    </xdr:from>
    <xdr:to>
      <xdr:col>9</xdr:col>
      <xdr:colOff>373504</xdr:colOff>
      <xdr:row>21</xdr:row>
      <xdr:rowOff>99162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86C80B-FABD-4D40-A32A-84876A1B6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27514" y="2623457"/>
          <a:ext cx="5533333" cy="13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21</xdr:row>
      <xdr:rowOff>10887</xdr:rowOff>
    </xdr:from>
    <xdr:to>
      <xdr:col>9</xdr:col>
      <xdr:colOff>372153</xdr:colOff>
      <xdr:row>24</xdr:row>
      <xdr:rowOff>27145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654F7B-5222-4BE3-9D29-120A46A77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92829" y="3897087"/>
          <a:ext cx="5466667" cy="5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341299</xdr:colOff>
      <xdr:row>16</xdr:row>
      <xdr:rowOff>67874</xdr:rowOff>
    </xdr:from>
    <xdr:to>
      <xdr:col>14</xdr:col>
      <xdr:colOff>1175247</xdr:colOff>
      <xdr:row>19</xdr:row>
      <xdr:rowOff>15706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1514C4-D0A0-44DD-979E-9DFA5EA99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22413" y="3028788"/>
          <a:ext cx="1998720" cy="503004"/>
        </a:xfrm>
        <a:prstGeom prst="rect">
          <a:avLst/>
        </a:prstGeom>
      </xdr:spPr>
    </xdr:pic>
    <xdr:clientData/>
  </xdr:twoCellAnchor>
  <xdr:twoCellAnchor editAs="oneCell">
    <xdr:from>
      <xdr:col>12</xdr:col>
      <xdr:colOff>1041186</xdr:colOff>
      <xdr:row>22</xdr:row>
      <xdr:rowOff>170330</xdr:rowOff>
    </xdr:from>
    <xdr:to>
      <xdr:col>17</xdr:col>
      <xdr:colOff>1018023</xdr:colOff>
      <xdr:row>26</xdr:row>
      <xdr:rowOff>167440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7D0F0A-C363-4D21-83A3-709144934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057529" y="4241587"/>
          <a:ext cx="5996637" cy="737339"/>
        </a:xfrm>
        <a:prstGeom prst="rect">
          <a:avLst/>
        </a:prstGeom>
      </xdr:spPr>
    </xdr:pic>
    <xdr:clientData/>
  </xdr:twoCellAnchor>
  <xdr:twoCellAnchor editAs="oneCell">
    <xdr:from>
      <xdr:col>12</xdr:col>
      <xdr:colOff>1139158</xdr:colOff>
      <xdr:row>21</xdr:row>
      <xdr:rowOff>89007</xdr:rowOff>
    </xdr:from>
    <xdr:to>
      <xdr:col>17</xdr:col>
      <xdr:colOff>1115995</xdr:colOff>
      <xdr:row>23</xdr:row>
      <xdr:rowOff>120894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B5C831-CF79-4122-8F3E-268C103D9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55501" y="3975207"/>
          <a:ext cx="5996637" cy="402001"/>
        </a:xfrm>
        <a:prstGeom prst="rect">
          <a:avLst/>
        </a:prstGeom>
      </xdr:spPr>
    </xdr:pic>
    <xdr:clientData/>
  </xdr:twoCellAnchor>
  <xdr:twoCellAnchor editAs="oneCell">
    <xdr:from>
      <xdr:col>13</xdr:col>
      <xdr:colOff>478972</xdr:colOff>
      <xdr:row>0</xdr:row>
      <xdr:rowOff>97971</xdr:rowOff>
    </xdr:from>
    <xdr:to>
      <xdr:col>17</xdr:col>
      <xdr:colOff>100133</xdr:colOff>
      <xdr:row>14</xdr:row>
      <xdr:rowOff>2409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77E818-578D-4B44-9459-610F87052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660086" y="97971"/>
          <a:ext cx="4476190" cy="24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</xdr:colOff>
      <xdr:row>1</xdr:row>
      <xdr:rowOff>10885</xdr:rowOff>
    </xdr:from>
    <xdr:to>
      <xdr:col>20</xdr:col>
      <xdr:colOff>108390</xdr:colOff>
      <xdr:row>12</xdr:row>
      <xdr:rowOff>89542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895DE7A-910E-4EC9-BEBD-4CD95ECBF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090571" y="195942"/>
          <a:ext cx="3733333" cy="21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65314</xdr:rowOff>
    </xdr:from>
    <xdr:to>
      <xdr:col>16</xdr:col>
      <xdr:colOff>396972</xdr:colOff>
      <xdr:row>20</xdr:row>
      <xdr:rowOff>135923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4171D4D-1546-4920-AF7E-3EA1459CE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781313" y="2656114"/>
          <a:ext cx="2857143" cy="11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685800</xdr:colOff>
      <xdr:row>15</xdr:row>
      <xdr:rowOff>76201</xdr:rowOff>
    </xdr:from>
    <xdr:to>
      <xdr:col>23</xdr:col>
      <xdr:colOff>365228</xdr:colOff>
      <xdr:row>18</xdr:row>
      <xdr:rowOff>159124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93CE930-EE0B-46A1-A49C-FA56B1C0A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721943" y="2852058"/>
          <a:ext cx="6428571" cy="6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674914</xdr:colOff>
      <xdr:row>18</xdr:row>
      <xdr:rowOff>174171</xdr:rowOff>
    </xdr:from>
    <xdr:to>
      <xdr:col>23</xdr:col>
      <xdr:colOff>335295</xdr:colOff>
      <xdr:row>20</xdr:row>
      <xdr:rowOff>61200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7077EDB-E5B1-481B-A443-ECC489458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711057" y="3505200"/>
          <a:ext cx="6409524" cy="257143"/>
        </a:xfrm>
        <a:prstGeom prst="rect">
          <a:avLst/>
        </a:prstGeom>
      </xdr:spPr>
    </xdr:pic>
    <xdr:clientData/>
  </xdr:twoCellAnchor>
  <xdr:twoCellAnchor>
    <xdr:from>
      <xdr:col>23</xdr:col>
      <xdr:colOff>588217</xdr:colOff>
      <xdr:row>93</xdr:row>
      <xdr:rowOff>118317</xdr:rowOff>
    </xdr:from>
    <xdr:to>
      <xdr:col>35</xdr:col>
      <xdr:colOff>322385</xdr:colOff>
      <xdr:row>119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E06C20D-F961-4F7D-9983-4074B2527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414642</xdr:colOff>
      <xdr:row>133</xdr:row>
      <xdr:rowOff>95250</xdr:rowOff>
    </xdr:from>
    <xdr:to>
      <xdr:col>38</xdr:col>
      <xdr:colOff>187663</xdr:colOff>
      <xdr:row>159</xdr:row>
      <xdr:rowOff>143888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DED5DDC-EE68-4A15-AD1D-FEBDE1E7F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1152525</xdr:colOff>
      <xdr:row>42</xdr:row>
      <xdr:rowOff>148590</xdr:rowOff>
    </xdr:from>
    <xdr:to>
      <xdr:col>29</xdr:col>
      <xdr:colOff>230505</xdr:colOff>
      <xdr:row>57</xdr:row>
      <xdr:rowOff>34290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ECCE980-BD69-2B7C-828B-C659F9A4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26876</xdr:colOff>
      <xdr:row>3</xdr:row>
      <xdr:rowOff>96553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616B9B-7FEC-414F-B321-5F38DAFD4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2709116" cy="462313"/>
        </a:xfrm>
        <a:prstGeom prst="rect">
          <a:avLst/>
        </a:prstGeom>
      </xdr:spPr>
    </xdr:pic>
    <xdr:clientData/>
  </xdr:twoCellAnchor>
  <xdr:twoCellAnchor editAs="oneCell">
    <xdr:from>
      <xdr:col>0</xdr:col>
      <xdr:colOff>598714</xdr:colOff>
      <xdr:row>4</xdr:row>
      <xdr:rowOff>21771</xdr:rowOff>
    </xdr:from>
    <xdr:to>
      <xdr:col>5</xdr:col>
      <xdr:colOff>2560</xdr:colOff>
      <xdr:row>7</xdr:row>
      <xdr:rowOff>9457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C44E40-FF61-42EF-888D-EBB3BB232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714" y="753291"/>
          <a:ext cx="2695686" cy="536326"/>
        </a:xfrm>
        <a:prstGeom prst="rect">
          <a:avLst/>
        </a:prstGeom>
      </xdr:spPr>
    </xdr:pic>
    <xdr:clientData/>
  </xdr:twoCellAnchor>
  <xdr:twoCellAnchor editAs="oneCell">
    <xdr:from>
      <xdr:col>4</xdr:col>
      <xdr:colOff>386937</xdr:colOff>
      <xdr:row>0</xdr:row>
      <xdr:rowOff>105887</xdr:rowOff>
    </xdr:from>
    <xdr:to>
      <xdr:col>10</xdr:col>
      <xdr:colOff>374390</xdr:colOff>
      <xdr:row>14</xdr:row>
      <xdr:rowOff>29373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95E143-1507-402B-A4C4-24F7F0956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25337" y="105887"/>
          <a:ext cx="6374398" cy="24450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119743</xdr:rowOff>
    </xdr:from>
    <xdr:to>
      <xdr:col>4</xdr:col>
      <xdr:colOff>794657</xdr:colOff>
      <xdr:row>11</xdr:row>
      <xdr:rowOff>21714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8A6E81-F272-4125-9D51-95B3C4535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82783"/>
          <a:ext cx="2623457" cy="450611"/>
        </a:xfrm>
        <a:prstGeom prst="rect">
          <a:avLst/>
        </a:prstGeom>
      </xdr:spPr>
    </xdr:pic>
    <xdr:clientData/>
  </xdr:twoCellAnchor>
  <xdr:twoCellAnchor editAs="oneCell">
    <xdr:from>
      <xdr:col>5</xdr:col>
      <xdr:colOff>413657</xdr:colOff>
      <xdr:row>14</xdr:row>
      <xdr:rowOff>119743</xdr:rowOff>
    </xdr:from>
    <xdr:to>
      <xdr:col>10</xdr:col>
      <xdr:colOff>427933</xdr:colOff>
      <xdr:row>22</xdr:row>
      <xdr:rowOff>1191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B8A538-E8CF-45A0-9876-ABB9EE21F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5497" y="2680063"/>
          <a:ext cx="5531156" cy="1344488"/>
        </a:xfrm>
        <a:prstGeom prst="rect">
          <a:avLst/>
        </a:prstGeom>
      </xdr:spPr>
    </xdr:pic>
    <xdr:clientData/>
  </xdr:twoCellAnchor>
  <xdr:twoCellAnchor editAs="oneCell">
    <xdr:from>
      <xdr:col>5</xdr:col>
      <xdr:colOff>674915</xdr:colOff>
      <xdr:row>22</xdr:row>
      <xdr:rowOff>32659</xdr:rowOff>
    </xdr:from>
    <xdr:to>
      <xdr:col>10</xdr:col>
      <xdr:colOff>622525</xdr:colOff>
      <xdr:row>25</xdr:row>
      <xdr:rowOff>48916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8AFD59-0202-439A-BAC6-75F833B91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66755" y="4056019"/>
          <a:ext cx="5464490" cy="564897"/>
        </a:xfrm>
        <a:prstGeom prst="rect">
          <a:avLst/>
        </a:prstGeom>
      </xdr:spPr>
    </xdr:pic>
    <xdr:clientData/>
  </xdr:twoCellAnchor>
  <xdr:twoCellAnchor editAs="oneCell">
    <xdr:from>
      <xdr:col>13</xdr:col>
      <xdr:colOff>1021161</xdr:colOff>
      <xdr:row>16</xdr:row>
      <xdr:rowOff>20374</xdr:rowOff>
    </xdr:from>
    <xdr:to>
      <xdr:col>15</xdr:col>
      <xdr:colOff>621066</xdr:colOff>
      <xdr:row>18</xdr:row>
      <xdr:rowOff>148315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E692BC-50E1-4B62-B239-4DF5FBEB0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13161" y="2902119"/>
          <a:ext cx="1996741" cy="488160"/>
        </a:xfrm>
        <a:prstGeom prst="rect">
          <a:avLst/>
        </a:prstGeom>
      </xdr:spPr>
    </xdr:pic>
    <xdr:clientData/>
  </xdr:twoCellAnchor>
  <xdr:twoCellAnchor editAs="oneCell">
    <xdr:from>
      <xdr:col>12</xdr:col>
      <xdr:colOff>475128</xdr:colOff>
      <xdr:row>22</xdr:row>
      <xdr:rowOff>170330</xdr:rowOff>
    </xdr:from>
    <xdr:to>
      <xdr:col>17</xdr:col>
      <xdr:colOff>451965</xdr:colOff>
      <xdr:row>26</xdr:row>
      <xdr:rowOff>167440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1365F7-62E2-482E-B8DB-D07C644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93648" y="4193690"/>
          <a:ext cx="6011877" cy="728630"/>
        </a:xfrm>
        <a:prstGeom prst="rect">
          <a:avLst/>
        </a:prstGeom>
      </xdr:spPr>
    </xdr:pic>
    <xdr:clientData/>
  </xdr:twoCellAnchor>
  <xdr:twoCellAnchor editAs="oneCell">
    <xdr:from>
      <xdr:col>12</xdr:col>
      <xdr:colOff>475129</xdr:colOff>
      <xdr:row>20</xdr:row>
      <xdr:rowOff>143435</xdr:rowOff>
    </xdr:from>
    <xdr:to>
      <xdr:col>17</xdr:col>
      <xdr:colOff>451966</xdr:colOff>
      <xdr:row>22</xdr:row>
      <xdr:rowOff>175322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A523559-3829-45C5-9FAA-9F629B558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93649" y="3801035"/>
          <a:ext cx="6011877" cy="397647"/>
        </a:xfrm>
        <a:prstGeom prst="rect">
          <a:avLst/>
        </a:prstGeom>
      </xdr:spPr>
    </xdr:pic>
    <xdr:clientData/>
  </xdr:twoCellAnchor>
  <xdr:twoCellAnchor editAs="oneCell">
    <xdr:from>
      <xdr:col>13</xdr:col>
      <xdr:colOff>478972</xdr:colOff>
      <xdr:row>0</xdr:row>
      <xdr:rowOff>97971</xdr:rowOff>
    </xdr:from>
    <xdr:to>
      <xdr:col>17</xdr:col>
      <xdr:colOff>100133</xdr:colOff>
      <xdr:row>14</xdr:row>
      <xdr:rowOff>2409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CB0046D-4AB8-45E9-A4C5-E725E2A62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663352" y="97971"/>
          <a:ext cx="4490341" cy="24647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</xdr:colOff>
      <xdr:row>1</xdr:row>
      <xdr:rowOff>10885</xdr:rowOff>
    </xdr:from>
    <xdr:to>
      <xdr:col>20</xdr:col>
      <xdr:colOff>108390</xdr:colOff>
      <xdr:row>12</xdr:row>
      <xdr:rowOff>89542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EC3D5D-5C61-490C-A4D4-73CB539D2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107988" y="193765"/>
          <a:ext cx="3734422" cy="2090337"/>
        </a:xfrm>
        <a:prstGeom prst="rect">
          <a:avLst/>
        </a:prstGeom>
      </xdr:spPr>
    </xdr:pic>
    <xdr:clientData/>
  </xdr:twoCellAnchor>
  <xdr:twoCellAnchor editAs="oneCell">
    <xdr:from>
      <xdr:col>14</xdr:col>
      <xdr:colOff>435427</xdr:colOff>
      <xdr:row>14</xdr:row>
      <xdr:rowOff>65314</xdr:rowOff>
    </xdr:from>
    <xdr:to>
      <xdr:col>16</xdr:col>
      <xdr:colOff>832399</xdr:colOff>
      <xdr:row>20</xdr:row>
      <xdr:rowOff>135923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5FBE7B0-BB11-4C14-A02F-F00A0D1D8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785667" y="2625634"/>
          <a:ext cx="2865852" cy="1167889"/>
        </a:xfrm>
        <a:prstGeom prst="rect">
          <a:avLst/>
        </a:prstGeom>
      </xdr:spPr>
    </xdr:pic>
    <xdr:clientData/>
  </xdr:twoCellAnchor>
  <xdr:twoCellAnchor editAs="oneCell">
    <xdr:from>
      <xdr:col>17</xdr:col>
      <xdr:colOff>685800</xdr:colOff>
      <xdr:row>15</xdr:row>
      <xdr:rowOff>76201</xdr:rowOff>
    </xdr:from>
    <xdr:to>
      <xdr:col>23</xdr:col>
      <xdr:colOff>365228</xdr:colOff>
      <xdr:row>18</xdr:row>
      <xdr:rowOff>159124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EA9A258-EF47-4495-87B5-7B9470B2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739360" y="2819401"/>
          <a:ext cx="6423128" cy="631563"/>
        </a:xfrm>
        <a:prstGeom prst="rect">
          <a:avLst/>
        </a:prstGeom>
      </xdr:spPr>
    </xdr:pic>
    <xdr:clientData/>
  </xdr:twoCellAnchor>
  <xdr:twoCellAnchor editAs="oneCell">
    <xdr:from>
      <xdr:col>17</xdr:col>
      <xdr:colOff>674914</xdr:colOff>
      <xdr:row>18</xdr:row>
      <xdr:rowOff>174171</xdr:rowOff>
    </xdr:from>
    <xdr:to>
      <xdr:col>23</xdr:col>
      <xdr:colOff>335295</xdr:colOff>
      <xdr:row>20</xdr:row>
      <xdr:rowOff>61200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B50D7F4-64B3-434C-A804-246A48854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728474" y="3466011"/>
          <a:ext cx="6404081" cy="252789"/>
        </a:xfrm>
        <a:prstGeom prst="rect">
          <a:avLst/>
        </a:prstGeom>
      </xdr:spPr>
    </xdr:pic>
    <xdr:clientData/>
  </xdr:twoCellAnchor>
  <xdr:twoCellAnchor>
    <xdr:from>
      <xdr:col>25</xdr:col>
      <xdr:colOff>111967</xdr:colOff>
      <xdr:row>102</xdr:row>
      <xdr:rowOff>61167</xdr:rowOff>
    </xdr:from>
    <xdr:to>
      <xdr:col>40</xdr:col>
      <xdr:colOff>489165</xdr:colOff>
      <xdr:row>128</xdr:row>
      <xdr:rowOff>123018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F670FED-07CF-40CD-AA33-7F76AAEB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281292</xdr:colOff>
      <xdr:row>149</xdr:row>
      <xdr:rowOff>0</xdr:rowOff>
    </xdr:from>
    <xdr:to>
      <xdr:col>40</xdr:col>
      <xdr:colOff>0</xdr:colOff>
      <xdr:row>174</xdr:row>
      <xdr:rowOff>105788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B8BC2B-7F4E-40FC-88E4-CAE92B393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LYEAH/raffi/00.%20Tugas%20Akhir/Itungan%20Fix%20TAku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"/>
      <sheetName val="DATA RRE"/>
      <sheetName val="Perhitungan EEOI Predicted"/>
      <sheetName val="EEOI Actual vs EEOI Predicted"/>
      <sheetName val="Perhitungan EEOI Optimized 1"/>
      <sheetName val="Sheet3"/>
      <sheetName val="Plotingan Jarak "/>
      <sheetName val="VOYAGE 1-7"/>
      <sheetName val="Plotingan Skenario 1"/>
      <sheetName val="Perhitungan EEOI Optimized  2"/>
      <sheetName val="VOYAGE 8-16"/>
      <sheetName val="Plotingan Skenario 3"/>
      <sheetName val="Plotingan Skenario 2"/>
      <sheetName val="Perhitungan EEOI Optimized 3"/>
      <sheetName val="Perhitungan EEOI Optimized 4"/>
      <sheetName val="heading &amp; distance"/>
      <sheetName val="Plotingan Skenario 1 (2)"/>
      <sheetName val="Plotingan Skenario 4"/>
      <sheetName val="EEOI Predict vs EEOI Optimize"/>
      <sheetName val="Sheet2"/>
      <sheetName val="Kebutuhan BBM"/>
      <sheetName val="Sheet1"/>
      <sheetName val="V1(2)"/>
      <sheetName val="V2(1)"/>
      <sheetName val="V2(2)"/>
      <sheetName val="V3(1)"/>
      <sheetName val="V3(2)"/>
      <sheetName val="V4(1)"/>
      <sheetName val="V4(2)"/>
      <sheetName val="V5(1)"/>
      <sheetName val="V5(2)"/>
      <sheetName val="V6(1)"/>
      <sheetName val="V6(2)"/>
      <sheetName val="V7(1)"/>
      <sheetName val="V7(2)"/>
      <sheetName val="V8(1)"/>
      <sheetName val="V8(2)"/>
      <sheetName val="V9(1)"/>
      <sheetName val="V9(2)"/>
      <sheetName val="V10(1)"/>
      <sheetName val="V10(2)"/>
      <sheetName val="V11(1)"/>
      <sheetName val="V11(2)"/>
      <sheetName val="V12(1)"/>
      <sheetName val="V12(2)"/>
      <sheetName val="V13(1)"/>
      <sheetName val="V13(2)"/>
      <sheetName val="BHP"/>
      <sheetName val="Perhitungan Bulbous Bow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1A74-3C7B-491F-86AE-9E17B7C14004}">
  <dimension ref="A2:H14"/>
  <sheetViews>
    <sheetView zoomScale="55" zoomScaleNormal="55" workbookViewId="0">
      <selection activeCell="I26" sqref="I26"/>
    </sheetView>
  </sheetViews>
  <sheetFormatPr defaultRowHeight="15" x14ac:dyDescent="0.25"/>
  <sheetData>
    <row r="2" spans="1:8" ht="15.75" x14ac:dyDescent="0.25">
      <c r="A2" t="s">
        <v>142</v>
      </c>
      <c r="B2" s="251" t="s">
        <v>0</v>
      </c>
      <c r="C2" s="251"/>
      <c r="D2" s="251"/>
      <c r="E2" s="251"/>
      <c r="F2" s="251"/>
      <c r="G2" s="251"/>
      <c r="H2" s="251"/>
    </row>
    <row r="3" spans="1:8" ht="15" customHeight="1" x14ac:dyDescent="0.3">
      <c r="B3" s="4" t="s">
        <v>1</v>
      </c>
      <c r="C3" s="2">
        <f>1.05*G4</f>
        <v>0</v>
      </c>
      <c r="D3" s="3" t="s">
        <v>2</v>
      </c>
      <c r="E3" s="3"/>
      <c r="F3" s="4" t="s">
        <v>3</v>
      </c>
      <c r="G3" s="2"/>
      <c r="H3" s="3" t="s">
        <v>2</v>
      </c>
    </row>
    <row r="4" spans="1:8" ht="15" customHeight="1" x14ac:dyDescent="0.3">
      <c r="B4" s="4" t="s">
        <v>4</v>
      </c>
      <c r="C4" s="2">
        <v>14.7</v>
      </c>
      <c r="D4" s="3" t="s">
        <v>2</v>
      </c>
      <c r="E4" s="3"/>
      <c r="F4" s="4" t="s">
        <v>5</v>
      </c>
      <c r="G4" s="2"/>
      <c r="H4" s="3" t="s">
        <v>2</v>
      </c>
    </row>
    <row r="5" spans="1:8" ht="15" customHeight="1" x14ac:dyDescent="0.3">
      <c r="B5" s="4" t="s">
        <v>6</v>
      </c>
      <c r="C5" s="2">
        <v>4.0999999999999996</v>
      </c>
      <c r="D5" s="3" t="s">
        <v>2</v>
      </c>
      <c r="E5" s="3"/>
      <c r="F5" s="4" t="s">
        <v>7</v>
      </c>
      <c r="G5" s="2"/>
      <c r="H5" s="3" t="s">
        <v>8</v>
      </c>
    </row>
    <row r="6" spans="1:8" ht="15" customHeight="1" x14ac:dyDescent="0.3">
      <c r="B6" s="4" t="s">
        <v>9</v>
      </c>
      <c r="C6" s="6" t="e">
        <f>(G5*1.025)/(G3*C4*C5)</f>
        <v>#DIV/0!</v>
      </c>
      <c r="D6" s="3"/>
      <c r="E6" s="3"/>
      <c r="F6" s="4" t="s">
        <v>10</v>
      </c>
      <c r="G6" s="6"/>
      <c r="H6" s="3"/>
    </row>
    <row r="7" spans="1:8" ht="15" customHeight="1" x14ac:dyDescent="0.3">
      <c r="B7" s="4" t="s">
        <v>11</v>
      </c>
      <c r="C7" s="2"/>
      <c r="D7" s="3" t="s">
        <v>8</v>
      </c>
      <c r="E7" s="3"/>
      <c r="F7" s="4" t="s">
        <v>12</v>
      </c>
      <c r="G7" s="2">
        <v>0.98080000000000001</v>
      </c>
      <c r="H7" s="3"/>
    </row>
    <row r="8" spans="1:8" ht="15" customHeight="1" x14ac:dyDescent="0.3">
      <c r="B8" s="4" t="s">
        <v>13</v>
      </c>
      <c r="C8" s="6"/>
      <c r="D8" s="3"/>
      <c r="E8" s="3"/>
      <c r="F8" s="4" t="s">
        <v>14</v>
      </c>
      <c r="G8" s="2"/>
      <c r="H8" s="3" t="s">
        <v>2</v>
      </c>
    </row>
    <row r="9" spans="1:8" ht="15" customHeight="1" x14ac:dyDescent="0.3">
      <c r="B9" s="4" t="s">
        <v>146</v>
      </c>
      <c r="C9" s="41">
        <f>(C3+G4)/2</f>
        <v>0</v>
      </c>
      <c r="D9" s="16" t="s">
        <v>2</v>
      </c>
      <c r="E9" s="16"/>
      <c r="F9" s="4" t="s">
        <v>147</v>
      </c>
      <c r="G9" s="16" t="e">
        <f>C4*C5*C6*C9</f>
        <v>#DIV/0!</v>
      </c>
      <c r="H9" s="16" t="s">
        <v>148</v>
      </c>
    </row>
    <row r="12" spans="1:8" ht="18" x14ac:dyDescent="0.35">
      <c r="C12" t="s">
        <v>144</v>
      </c>
      <c r="D12">
        <f>0.031*G4</f>
        <v>0</v>
      </c>
      <c r="E12" t="s">
        <v>2</v>
      </c>
    </row>
    <row r="13" spans="1:8" ht="18" x14ac:dyDescent="0.35">
      <c r="C13" t="s">
        <v>145</v>
      </c>
      <c r="D13">
        <f>0.122*C4</f>
        <v>1.7933999999999999</v>
      </c>
      <c r="E13" t="s">
        <v>2</v>
      </c>
    </row>
    <row r="14" spans="1:8" ht="18" x14ac:dyDescent="0.35">
      <c r="C14" t="s">
        <v>143</v>
      </c>
      <c r="D14">
        <f>0.112*C4*C5*G7</f>
        <v>6.6206353919999987</v>
      </c>
      <c r="E14" t="s">
        <v>2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F70A-7F3E-4F70-9C1B-2FD2C8E5E527}">
  <dimension ref="A2:CF278"/>
  <sheetViews>
    <sheetView topLeftCell="BF219" zoomScale="60" zoomScaleNormal="55" workbookViewId="0">
      <selection activeCell="CC230" sqref="CC230:CC231"/>
    </sheetView>
  </sheetViews>
  <sheetFormatPr defaultRowHeight="15" x14ac:dyDescent="0.25"/>
  <cols>
    <col min="1" max="2" width="13.7109375" customWidth="1"/>
    <col min="3" max="3" width="17.28515625" customWidth="1"/>
    <col min="4" max="4" width="16.85546875" customWidth="1"/>
    <col min="5" max="12" width="13.7109375" customWidth="1"/>
    <col min="13" max="13" width="16.140625" customWidth="1"/>
    <col min="14" max="14" width="17.28515625" customWidth="1"/>
    <col min="15" max="16" width="17.28515625" hidden="1" customWidth="1"/>
    <col min="17" max="17" width="13.7109375" hidden="1" customWidth="1"/>
    <col min="18" max="18" width="13.7109375" customWidth="1"/>
    <col min="19" max="19" width="13.7109375" hidden="1" customWidth="1"/>
    <col min="20" max="35" width="13.7109375" customWidth="1"/>
    <col min="36" max="36" width="17.140625" customWidth="1"/>
    <col min="37" max="37" width="18.42578125" customWidth="1"/>
    <col min="38" max="38" width="16" customWidth="1"/>
    <col min="39" max="87" width="13.7109375" customWidth="1"/>
  </cols>
  <sheetData>
    <row r="2" spans="1:67" ht="15.75" x14ac:dyDescent="0.3">
      <c r="C2" s="251" t="s">
        <v>0</v>
      </c>
      <c r="D2" s="251"/>
      <c r="E2" s="251"/>
      <c r="F2" s="251"/>
      <c r="G2" s="251"/>
      <c r="H2" s="251"/>
      <c r="I2" s="251"/>
      <c r="J2" s="251"/>
      <c r="K2" s="50"/>
      <c r="L2" s="50"/>
      <c r="M2" s="50"/>
      <c r="N2" s="50"/>
      <c r="O2" s="50"/>
      <c r="P2" s="50"/>
      <c r="Q2" s="50"/>
      <c r="R2" s="50"/>
      <c r="S2" s="50"/>
      <c r="T2" s="33"/>
      <c r="W2" s="33"/>
      <c r="X2" s="33"/>
      <c r="Y2" s="33"/>
      <c r="Z2" s="33"/>
      <c r="AA2" s="112"/>
      <c r="AB2" s="43"/>
      <c r="AC2" s="43"/>
      <c r="AK2" s="43"/>
    </row>
    <row r="3" spans="1:67" ht="16.5" thickBot="1" x14ac:dyDescent="0.35">
      <c r="C3" s="4" t="s">
        <v>1</v>
      </c>
      <c r="D3" s="2">
        <f>1.05*G4</f>
        <v>70.707000000000008</v>
      </c>
      <c r="E3" s="3" t="s">
        <v>2</v>
      </c>
      <c r="F3" s="4" t="s">
        <v>3</v>
      </c>
      <c r="G3" s="2">
        <v>71.819999999999993</v>
      </c>
      <c r="H3" s="3" t="s">
        <v>2</v>
      </c>
      <c r="I3" s="14" t="s">
        <v>15</v>
      </c>
      <c r="J3" s="13">
        <f>0.5*(D3+G4)</f>
        <v>69.023500000000013</v>
      </c>
      <c r="M3" s="51"/>
      <c r="N3" s="51"/>
      <c r="O3" s="51"/>
      <c r="P3" s="51"/>
      <c r="Q3" s="51"/>
      <c r="R3" s="51"/>
      <c r="S3" s="51"/>
      <c r="T3" s="14" t="s">
        <v>21</v>
      </c>
      <c r="U3" s="13">
        <f>1.188*(10^-6)</f>
        <v>1.1879999999999999E-6</v>
      </c>
      <c r="V3" s="14" t="s">
        <v>17</v>
      </c>
      <c r="W3" s="13">
        <f>0.006*((D3+100)^(-0.16))-0.00205+0.003*(((D3/7.5)^0.5)*(D6^4)*1*(0.04-Y3))</f>
        <v>5.8627698101046876E-4</v>
      </c>
      <c r="X3" s="14" t="s">
        <v>20</v>
      </c>
      <c r="Y3" s="13">
        <f>IF(Y11&lt;=0.04,Y11,IF(Y11&gt;0.04,0.04,0))</f>
        <v>0.04</v>
      </c>
      <c r="Z3" s="34"/>
      <c r="AH3" s="43"/>
      <c r="AI3" s="112"/>
      <c r="AJ3" s="43"/>
      <c r="AK3" s="43"/>
    </row>
    <row r="4" spans="1:67" ht="14.45" customHeight="1" thickBot="1" x14ac:dyDescent="0.35">
      <c r="A4">
        <v>3.2808398950000002</v>
      </c>
      <c r="C4" s="4" t="s">
        <v>4</v>
      </c>
      <c r="D4" s="2">
        <v>14.7</v>
      </c>
      <c r="E4" s="3" t="s">
        <v>2</v>
      </c>
      <c r="F4" s="4" t="s">
        <v>5</v>
      </c>
      <c r="G4" s="2">
        <v>67.34</v>
      </c>
      <c r="H4" s="3" t="s">
        <v>2</v>
      </c>
      <c r="I4" s="13" t="s">
        <v>16</v>
      </c>
      <c r="J4" s="13">
        <f>(D6*J3)/D3</f>
        <v>0.65448839925624247</v>
      </c>
      <c r="M4" s="51"/>
      <c r="N4" s="51"/>
      <c r="O4" s="51"/>
      <c r="P4" s="51"/>
      <c r="Q4" s="51"/>
      <c r="R4" s="51"/>
      <c r="S4" s="51"/>
      <c r="T4" s="14" t="s">
        <v>46</v>
      </c>
      <c r="U4" s="15">
        <f>1-G6</f>
        <v>0.32350000000000001</v>
      </c>
      <c r="V4" s="14" t="s">
        <v>23</v>
      </c>
      <c r="W4" s="13">
        <f>1.5+2.8</f>
        <v>4.3</v>
      </c>
      <c r="X4" s="14" t="s">
        <v>44</v>
      </c>
      <c r="Y4" s="13">
        <v>1.5</v>
      </c>
      <c r="Z4" s="34"/>
      <c r="AH4" s="43"/>
      <c r="AI4" s="427" t="s">
        <v>163</v>
      </c>
      <c r="AJ4" s="428"/>
      <c r="AK4" s="428"/>
      <c r="AL4" s="428"/>
      <c r="AM4" s="428"/>
      <c r="AN4" s="428"/>
      <c r="AO4" s="428"/>
      <c r="AP4" s="429"/>
    </row>
    <row r="5" spans="1:67" ht="13.9" customHeight="1" x14ac:dyDescent="0.3">
      <c r="C5" s="4" t="s">
        <v>6</v>
      </c>
      <c r="D5" s="2">
        <v>4.0999999999999996</v>
      </c>
      <c r="E5" s="3" t="s">
        <v>2</v>
      </c>
      <c r="F5" s="4" t="s">
        <v>7</v>
      </c>
      <c r="G5" s="2">
        <f>D9*D4*D5*G8*1.025</f>
        <v>2831.3275424069993</v>
      </c>
      <c r="H5" s="3" t="s">
        <v>8</v>
      </c>
      <c r="I5" s="14" t="s">
        <v>39</v>
      </c>
      <c r="J5" s="15">
        <f>D4/D3</f>
        <v>0.20790020790020786</v>
      </c>
      <c r="M5" s="51"/>
      <c r="N5" s="51"/>
      <c r="O5" s="51"/>
      <c r="P5" s="51"/>
      <c r="Q5" s="51"/>
      <c r="R5" s="51"/>
      <c r="S5" s="51"/>
      <c r="T5" s="14" t="s">
        <v>141</v>
      </c>
      <c r="U5" s="13">
        <f>D3/J9</f>
        <v>3.0539817594138596</v>
      </c>
      <c r="V5" s="14" t="s">
        <v>28</v>
      </c>
      <c r="W5" s="13">
        <f>W8*W9*W10*Y4*((1.75*D3*D5)/100)</f>
        <v>7.6098408750000006</v>
      </c>
      <c r="X5" s="14" t="s">
        <v>49</v>
      </c>
      <c r="Y5" s="13"/>
      <c r="Z5" s="34"/>
      <c r="AH5" s="43"/>
      <c r="AI5" s="57" t="s">
        <v>164</v>
      </c>
      <c r="AJ5" s="58">
        <f>(0.5*D6)-0.05</f>
        <v>0.28522576547270956</v>
      </c>
      <c r="AK5" s="59"/>
      <c r="AL5" s="59"/>
      <c r="AM5" s="59"/>
      <c r="AN5" s="60" t="s">
        <v>165</v>
      </c>
      <c r="AO5" s="61">
        <v>0.98</v>
      </c>
      <c r="AP5" s="136"/>
    </row>
    <row r="6" spans="1:67" ht="13.9" customHeight="1" x14ac:dyDescent="0.3">
      <c r="C6" s="4" t="s">
        <v>9</v>
      </c>
      <c r="D6" s="6">
        <f>(G5*1.025)/(G3*D4*D5)</f>
        <v>0.67045153094541909</v>
      </c>
      <c r="E6" s="3"/>
      <c r="F6" s="4" t="s">
        <v>10</v>
      </c>
      <c r="G6" s="6">
        <v>0.67649999999999999</v>
      </c>
      <c r="H6" s="3"/>
      <c r="I6" s="14" t="s">
        <v>43</v>
      </c>
      <c r="J6" s="15">
        <f>D4/D5</f>
        <v>3.5853658536585367</v>
      </c>
      <c r="M6" s="51"/>
      <c r="N6" s="51"/>
      <c r="O6" s="51"/>
      <c r="P6" s="51"/>
      <c r="Q6" s="51"/>
      <c r="R6" s="51"/>
      <c r="S6" s="51"/>
      <c r="T6" s="14" t="s">
        <v>27</v>
      </c>
      <c r="U6" s="13">
        <v>8</v>
      </c>
      <c r="V6" s="14" t="s">
        <v>34</v>
      </c>
      <c r="W6" s="13">
        <f>(W4*W5)/W5</f>
        <v>4.3</v>
      </c>
      <c r="X6" s="14" t="s">
        <v>18</v>
      </c>
      <c r="Y6" s="17" t="s">
        <v>19</v>
      </c>
      <c r="Z6" s="35"/>
      <c r="AH6" s="43"/>
      <c r="AI6" s="62" t="s">
        <v>166</v>
      </c>
      <c r="AJ6" s="2">
        <f>$AJ$5*0.9</f>
        <v>0.25670318892543859</v>
      </c>
      <c r="AK6" s="281" t="s">
        <v>203</v>
      </c>
      <c r="AL6" s="282"/>
      <c r="AM6" s="282"/>
      <c r="AN6" s="3" t="s">
        <v>168</v>
      </c>
      <c r="AO6" s="63">
        <v>0.98</v>
      </c>
      <c r="AP6" s="137"/>
    </row>
    <row r="7" spans="1:67" ht="15.75" x14ac:dyDescent="0.3">
      <c r="C7" s="49" t="s">
        <v>11</v>
      </c>
      <c r="D7" s="2">
        <v>2624</v>
      </c>
      <c r="E7" s="3" t="s">
        <v>8</v>
      </c>
      <c r="F7" s="4" t="s">
        <v>12</v>
      </c>
      <c r="G7" s="2">
        <v>0.98080000000000001</v>
      </c>
      <c r="H7" s="3"/>
      <c r="I7" s="14" t="s">
        <v>41</v>
      </c>
      <c r="J7" s="13">
        <f>D3/D4</f>
        <v>4.8100000000000005</v>
      </c>
      <c r="M7" s="51"/>
      <c r="N7" s="51"/>
      <c r="O7" s="51"/>
      <c r="P7" s="51"/>
      <c r="Q7" s="51"/>
      <c r="R7" s="51"/>
      <c r="S7" s="51"/>
      <c r="T7" s="14" t="s">
        <v>140</v>
      </c>
      <c r="U7" s="13">
        <f>1+(0.011*U6)</f>
        <v>1.0880000000000001</v>
      </c>
      <c r="V7" s="14" t="s">
        <v>48</v>
      </c>
      <c r="W7" s="15">
        <f>D3/(G10)^(1/3)</f>
        <v>5.023123922931422</v>
      </c>
      <c r="X7" s="14" t="s">
        <v>18</v>
      </c>
      <c r="Y7" s="15">
        <f>IF(J11&lt;=512,-1.69385,IF(J11&gt;=1727,J11,IF(AND(J11&gt;512,J11&lt;1727),Y6+((W7-8)/2.36),0)))</f>
        <v>-1.6938500000000001</v>
      </c>
      <c r="Z7" s="34"/>
      <c r="AH7" s="43"/>
      <c r="AI7" s="62" t="s">
        <v>169</v>
      </c>
      <c r="AJ7" s="2">
        <v>0.95</v>
      </c>
      <c r="AK7" s="281"/>
      <c r="AL7" s="282"/>
      <c r="AM7" s="282"/>
      <c r="AN7" s="51"/>
      <c r="AO7" s="51"/>
      <c r="AP7" s="137"/>
    </row>
    <row r="8" spans="1:67" ht="15.75" x14ac:dyDescent="0.3">
      <c r="C8" s="4" t="s">
        <v>13</v>
      </c>
      <c r="D8" s="6">
        <f>(1+(2*J4))/3</f>
        <v>0.76965893283749498</v>
      </c>
      <c r="E8" s="3"/>
      <c r="F8" s="4" t="s">
        <v>160</v>
      </c>
      <c r="G8" s="2">
        <v>0.66400000000000003</v>
      </c>
      <c r="H8" s="3"/>
      <c r="I8" s="14" t="s">
        <v>25</v>
      </c>
      <c r="J8" s="13">
        <f>D5/D3</f>
        <v>5.7985772271486546E-2</v>
      </c>
      <c r="M8" s="51"/>
      <c r="N8" s="51"/>
      <c r="O8" s="51"/>
      <c r="P8" s="51"/>
      <c r="Q8" s="51"/>
      <c r="R8" s="51"/>
      <c r="S8" s="51"/>
      <c r="T8" s="14" t="s">
        <v>38</v>
      </c>
      <c r="U8" s="13">
        <f>0.93+(0.487118*U7*(J10^1.06806)*(J8^0.46106)*(U5^0.121563)*(J11^0.36486)*(U4^(-0.604247)))</f>
        <v>2.0832594828507767</v>
      </c>
      <c r="V8" s="14" t="s">
        <v>30</v>
      </c>
      <c r="W8" s="13">
        <v>1</v>
      </c>
      <c r="X8" s="14" t="s">
        <v>31</v>
      </c>
      <c r="Y8" s="15">
        <f>IF(E6&lt;0.8,(8.07981*(E6))-(13.8673*(E6^2))+(6.984388*(E6^3)),IF(E6&gt;0.8,1.73014-(0.7067*E6),0))</f>
        <v>0</v>
      </c>
      <c r="Z8" s="34"/>
      <c r="AH8" s="43"/>
      <c r="AI8" s="62" t="s">
        <v>171</v>
      </c>
      <c r="AJ8" s="2">
        <v>1.1000000000000001</v>
      </c>
      <c r="AK8" s="51"/>
      <c r="AL8" s="51"/>
      <c r="AM8" s="51"/>
      <c r="AN8" s="51"/>
      <c r="AO8" s="51"/>
      <c r="AP8" s="137"/>
      <c r="BO8" t="s">
        <v>210</v>
      </c>
    </row>
    <row r="9" spans="1:67" ht="17.25" x14ac:dyDescent="0.3">
      <c r="C9" s="4" t="s">
        <v>146</v>
      </c>
      <c r="D9" s="41">
        <f>(D3+G4)/2</f>
        <v>69.023500000000013</v>
      </c>
      <c r="E9" s="16" t="s">
        <v>2</v>
      </c>
      <c r="F9" s="4" t="s">
        <v>14</v>
      </c>
      <c r="G9" s="2">
        <f>0.24%*D9</f>
        <v>0.16565640000000001</v>
      </c>
      <c r="H9" s="3" t="s">
        <v>2</v>
      </c>
      <c r="I9" s="14" t="s">
        <v>32</v>
      </c>
      <c r="J9" s="13">
        <f>D3*((1-G6)+(0.06*G6*G9)/((4*G6)-1))</f>
        <v>23.152397614048148</v>
      </c>
      <c r="M9" s="51"/>
      <c r="N9" s="51"/>
      <c r="O9" s="51"/>
      <c r="P9" s="51"/>
      <c r="Q9" s="51"/>
      <c r="R9" s="51"/>
      <c r="S9" s="51"/>
      <c r="T9" s="14" t="s">
        <v>43</v>
      </c>
      <c r="U9" s="13">
        <f>D4/D5</f>
        <v>3.5853658536585367</v>
      </c>
      <c r="V9" s="14" t="s">
        <v>35</v>
      </c>
      <c r="W9" s="13">
        <v>1</v>
      </c>
      <c r="X9" s="14" t="s">
        <v>36</v>
      </c>
      <c r="Y9" s="15" t="e">
        <f>(0.0140407*(B3/B5))-(1.75254*(((B3*B4*B5*B6)^(1/3))/B3))-4.79323*(J5)-Y8</f>
        <v>#DIV/0!</v>
      </c>
      <c r="AI9" s="62" t="s">
        <v>172</v>
      </c>
      <c r="AJ9" s="6">
        <f>(1-$AJ$6)/(1-$AJ$5)</f>
        <v>1.03990431547401</v>
      </c>
      <c r="AK9" s="51"/>
      <c r="AL9" s="51"/>
      <c r="AM9" s="51"/>
      <c r="AN9" s="51"/>
      <c r="AO9" s="51"/>
      <c r="AP9" s="137"/>
    </row>
    <row r="10" spans="1:67" ht="18" x14ac:dyDescent="0.3">
      <c r="C10" s="4" t="s">
        <v>155</v>
      </c>
      <c r="D10" s="41">
        <f>D9*3.2808399</f>
        <v>226.45505283765004</v>
      </c>
      <c r="E10" s="3" t="s">
        <v>156</v>
      </c>
      <c r="F10" s="4" t="s">
        <v>147</v>
      </c>
      <c r="G10" s="16">
        <f>D4*D5*D6*D9</f>
        <v>2789.1094408091449</v>
      </c>
      <c r="H10" s="16" t="s">
        <v>148</v>
      </c>
      <c r="I10" s="14" t="s">
        <v>37</v>
      </c>
      <c r="J10" s="13">
        <f>D4/J9</f>
        <v>0.63492344270558398</v>
      </c>
      <c r="T10" s="14" t="s">
        <v>47</v>
      </c>
      <c r="U10" s="13">
        <f>((D3*((2*D5)+D4))*(G7^0.5)*(0.453+(0.4425*D6)-(0.2862*G7)-(0.003467*U9)+(0.3696*D8))+(2.38*('Perhitungan Bulbous Bow'!D14/D6)))</f>
        <v>1211.7566863961524</v>
      </c>
      <c r="V10" s="14" t="s">
        <v>40</v>
      </c>
      <c r="W10" s="13">
        <v>1</v>
      </c>
      <c r="X10" s="14" t="s">
        <v>45</v>
      </c>
      <c r="Y10" s="13">
        <f>IF(J7&lt;=12,(1.446*E6)-(0.03*J7),IF(J7&gt;12,(1.446*E6)-0.36))</f>
        <v>-0.14430000000000001</v>
      </c>
      <c r="AI10" s="62" t="s">
        <v>173</v>
      </c>
      <c r="AJ10" s="63">
        <v>0.42</v>
      </c>
      <c r="AK10" s="281" t="s">
        <v>174</v>
      </c>
      <c r="AL10" s="282"/>
      <c r="AM10" s="282"/>
      <c r="AN10" s="282"/>
      <c r="AO10" s="51"/>
      <c r="AP10" s="137"/>
    </row>
    <row r="11" spans="1:67" ht="16.5" thickBot="1" x14ac:dyDescent="0.35">
      <c r="C11" s="49" t="s">
        <v>157</v>
      </c>
      <c r="D11" s="41">
        <f>G11/((D3*3.2808399)^0.5)</f>
        <v>0.78787536529112723</v>
      </c>
      <c r="E11" s="16"/>
      <c r="F11" s="4" t="s">
        <v>158</v>
      </c>
      <c r="G11" s="16">
        <v>12</v>
      </c>
      <c r="H11" s="3" t="s">
        <v>159</v>
      </c>
      <c r="I11" s="14" t="s">
        <v>42</v>
      </c>
      <c r="J11" s="13">
        <f>((D3^3)/(D3*D4*D5*D6))</f>
        <v>123.72465286171791</v>
      </c>
      <c r="M11" s="51"/>
      <c r="N11" s="51"/>
      <c r="O11" s="51"/>
      <c r="P11" s="51"/>
      <c r="Q11" s="51"/>
      <c r="R11" s="51"/>
      <c r="S11" s="51"/>
      <c r="X11" s="14" t="s">
        <v>50</v>
      </c>
      <c r="Y11" s="15">
        <f>D5/D3</f>
        <v>5.7985772271486546E-2</v>
      </c>
      <c r="AI11" s="64" t="s">
        <v>175</v>
      </c>
      <c r="AJ11" s="11">
        <f>$AJ$9*$AJ$7*$AJ$10</f>
        <v>0.4149218218741299</v>
      </c>
      <c r="AK11" s="65"/>
      <c r="AL11" s="65"/>
      <c r="AM11" s="65"/>
      <c r="AN11" s="65"/>
      <c r="AO11" s="65"/>
      <c r="AP11" s="138"/>
    </row>
    <row r="13" spans="1:67" x14ac:dyDescent="0.25">
      <c r="AM13">
        <f>(1.446*G6)-(0.03*J7)</f>
        <v>0.83391899999999997</v>
      </c>
    </row>
    <row r="14" spans="1:67" ht="32.25" thickBot="1" x14ac:dyDescent="0.35">
      <c r="C14" s="14" t="s">
        <v>96</v>
      </c>
      <c r="D14" s="18" t="s">
        <v>97</v>
      </c>
      <c r="E14" s="296" t="s">
        <v>101</v>
      </c>
      <c r="F14" s="296"/>
      <c r="G14" s="296"/>
      <c r="H14" s="296"/>
      <c r="I14" s="42"/>
      <c r="T14" s="301" t="s">
        <v>102</v>
      </c>
      <c r="U14" s="301"/>
      <c r="V14" s="301"/>
      <c r="W14" s="30" t="s">
        <v>103</v>
      </c>
      <c r="X14" s="301" t="s">
        <v>104</v>
      </c>
      <c r="Y14" s="301"/>
      <c r="AI14" s="430" t="s">
        <v>176</v>
      </c>
      <c r="AJ14" s="430"/>
      <c r="AK14" s="430"/>
      <c r="AL14" s="430"/>
      <c r="AM14" s="431"/>
      <c r="AN14" s="431"/>
      <c r="AO14" s="431"/>
      <c r="AP14" s="431"/>
    </row>
    <row r="15" spans="1:67" ht="18" x14ac:dyDescent="0.3">
      <c r="C15" s="13">
        <v>0.55000000000000004</v>
      </c>
      <c r="D15" s="13" t="s">
        <v>98</v>
      </c>
      <c r="E15" s="297" t="s">
        <v>114</v>
      </c>
      <c r="F15" s="297"/>
      <c r="G15" s="297"/>
      <c r="H15" s="297"/>
      <c r="I15" s="43"/>
      <c r="T15" s="300" t="s">
        <v>105</v>
      </c>
      <c r="U15" s="300"/>
      <c r="V15" s="300"/>
      <c r="W15" s="31" t="s">
        <v>109</v>
      </c>
      <c r="X15" s="300" t="s">
        <v>113</v>
      </c>
      <c r="Y15" s="300"/>
      <c r="AI15" s="291" t="s">
        <v>177</v>
      </c>
      <c r="AJ15" s="292"/>
      <c r="AK15" s="292"/>
      <c r="AL15" s="293"/>
      <c r="AM15" s="294" t="s">
        <v>178</v>
      </c>
      <c r="AN15" s="294"/>
      <c r="AO15" s="294"/>
      <c r="AP15" s="295"/>
    </row>
    <row r="16" spans="1:67" ht="18" x14ac:dyDescent="0.3">
      <c r="C16" s="13">
        <v>0.6</v>
      </c>
      <c r="D16" s="13" t="s">
        <v>98</v>
      </c>
      <c r="E16" s="297" t="s">
        <v>115</v>
      </c>
      <c r="F16" s="297"/>
      <c r="G16" s="297"/>
      <c r="H16" s="297"/>
      <c r="I16" s="43"/>
      <c r="T16" s="300" t="s">
        <v>106</v>
      </c>
      <c r="U16" s="300"/>
      <c r="V16" s="300"/>
      <c r="W16" s="31" t="s">
        <v>110</v>
      </c>
      <c r="X16" s="300" t="s">
        <v>124</v>
      </c>
      <c r="Y16" s="300"/>
      <c r="AI16" s="283" t="s">
        <v>179</v>
      </c>
      <c r="AJ16" s="284"/>
      <c r="AK16" s="2" t="s">
        <v>194</v>
      </c>
      <c r="AL16" s="5"/>
      <c r="AM16" s="285" t="s">
        <v>179</v>
      </c>
      <c r="AN16" s="284"/>
      <c r="AO16" s="2" t="s">
        <v>180</v>
      </c>
      <c r="AP16" s="5"/>
    </row>
    <row r="17" spans="1:84" ht="18" x14ac:dyDescent="0.3">
      <c r="C17" s="13">
        <v>0.65</v>
      </c>
      <c r="D17" s="13" t="s">
        <v>98</v>
      </c>
      <c r="E17" s="297" t="s">
        <v>116</v>
      </c>
      <c r="F17" s="297"/>
      <c r="G17" s="297"/>
      <c r="H17" s="297"/>
      <c r="I17" s="43"/>
      <c r="T17" s="300" t="s">
        <v>107</v>
      </c>
      <c r="U17" s="300"/>
      <c r="V17" s="300"/>
      <c r="W17" s="31" t="s">
        <v>111</v>
      </c>
      <c r="X17" s="300" t="s">
        <v>125</v>
      </c>
      <c r="Y17" s="300"/>
      <c r="AI17" s="283" t="s">
        <v>181</v>
      </c>
      <c r="AJ17" s="284"/>
      <c r="AK17" s="2" t="s">
        <v>195</v>
      </c>
      <c r="AL17" s="5"/>
      <c r="AM17" s="285" t="s">
        <v>181</v>
      </c>
      <c r="AN17" s="284"/>
      <c r="AO17" s="2" t="s">
        <v>182</v>
      </c>
      <c r="AP17" s="5"/>
    </row>
    <row r="18" spans="1:84" ht="18" x14ac:dyDescent="0.3">
      <c r="C18" s="13">
        <v>0.7</v>
      </c>
      <c r="D18" s="13" t="s">
        <v>98</v>
      </c>
      <c r="E18" s="297" t="s">
        <v>117</v>
      </c>
      <c r="F18" s="297"/>
      <c r="G18" s="297"/>
      <c r="H18" s="297"/>
      <c r="I18" s="43"/>
      <c r="T18" s="300" t="s">
        <v>108</v>
      </c>
      <c r="U18" s="300"/>
      <c r="V18" s="300"/>
      <c r="W18" s="31" t="s">
        <v>112</v>
      </c>
      <c r="X18" s="300" t="s">
        <v>126</v>
      </c>
      <c r="Y18" s="300"/>
      <c r="AI18" s="283" t="s">
        <v>183</v>
      </c>
      <c r="AJ18" s="284"/>
      <c r="AK18" s="2">
        <v>390</v>
      </c>
      <c r="AL18" s="5" t="s">
        <v>183</v>
      </c>
      <c r="AM18" s="285" t="s">
        <v>183</v>
      </c>
      <c r="AN18" s="284"/>
      <c r="AO18" s="2">
        <v>1800</v>
      </c>
      <c r="AP18" s="5" t="s">
        <v>183</v>
      </c>
    </row>
    <row r="19" spans="1:84" ht="18" x14ac:dyDescent="0.3">
      <c r="C19" s="13">
        <v>0.75</v>
      </c>
      <c r="D19" s="13" t="s">
        <v>99</v>
      </c>
      <c r="E19" s="297" t="s">
        <v>118</v>
      </c>
      <c r="F19" s="297"/>
      <c r="G19" s="297"/>
      <c r="H19" s="297"/>
      <c r="I19" s="43"/>
      <c r="Z19" s="131"/>
      <c r="AI19" s="283" t="s">
        <v>184</v>
      </c>
      <c r="AJ19" s="284"/>
      <c r="AK19" s="2">
        <v>2100</v>
      </c>
      <c r="AL19" s="5" t="s">
        <v>185</v>
      </c>
      <c r="AM19" s="285" t="s">
        <v>184</v>
      </c>
      <c r="AN19" s="284"/>
      <c r="AO19" s="2">
        <v>276</v>
      </c>
      <c r="AP19" s="5" t="s">
        <v>186</v>
      </c>
    </row>
    <row r="20" spans="1:84" ht="18.75" thickBot="1" x14ac:dyDescent="0.35">
      <c r="C20" s="13">
        <v>0.8</v>
      </c>
      <c r="D20" s="13" t="s">
        <v>99</v>
      </c>
      <c r="E20" s="297" t="s">
        <v>119</v>
      </c>
      <c r="F20" s="297"/>
      <c r="G20" s="297"/>
      <c r="H20" s="297"/>
      <c r="I20" s="43"/>
      <c r="T20" s="275" t="s">
        <v>132</v>
      </c>
      <c r="U20" s="275"/>
      <c r="V20" s="275"/>
      <c r="W20" s="275"/>
      <c r="X20" s="275" t="s">
        <v>133</v>
      </c>
      <c r="Y20" s="275"/>
      <c r="Z20" s="132"/>
      <c r="AI20" s="283" t="s">
        <v>187</v>
      </c>
      <c r="AJ20" s="284"/>
      <c r="AK20" s="2">
        <v>180</v>
      </c>
      <c r="AL20" s="5" t="s">
        <v>188</v>
      </c>
      <c r="AM20" s="298" t="s">
        <v>189</v>
      </c>
      <c r="AN20" s="299"/>
      <c r="AO20" s="11">
        <v>207</v>
      </c>
      <c r="AP20" s="12" t="s">
        <v>190</v>
      </c>
    </row>
    <row r="21" spans="1:84" ht="18" x14ac:dyDescent="0.3">
      <c r="C21" s="13">
        <v>0.85</v>
      </c>
      <c r="D21" s="13" t="s">
        <v>99</v>
      </c>
      <c r="E21" s="297" t="s">
        <v>120</v>
      </c>
      <c r="F21" s="297"/>
      <c r="G21" s="297"/>
      <c r="H21" s="297"/>
      <c r="I21" s="43"/>
      <c r="T21" s="275" t="s">
        <v>137</v>
      </c>
      <c r="U21" s="275"/>
      <c r="V21" s="275"/>
      <c r="W21" s="275"/>
      <c r="X21" s="275" t="s">
        <v>134</v>
      </c>
      <c r="Y21" s="275"/>
      <c r="Z21" s="132"/>
      <c r="AI21" s="283" t="s">
        <v>191</v>
      </c>
      <c r="AJ21" s="284"/>
      <c r="AK21" s="2">
        <v>179.2</v>
      </c>
      <c r="AL21" s="5" t="s">
        <v>188</v>
      </c>
      <c r="AM21" s="282"/>
      <c r="AN21" s="282"/>
      <c r="AO21" s="34"/>
      <c r="AP21" s="51"/>
    </row>
    <row r="22" spans="1:84" ht="18" x14ac:dyDescent="0.3">
      <c r="C22" s="13">
        <v>0.75</v>
      </c>
      <c r="D22" s="13" t="s">
        <v>100</v>
      </c>
      <c r="E22" s="297" t="s">
        <v>121</v>
      </c>
      <c r="F22" s="297"/>
      <c r="G22" s="297"/>
      <c r="H22" s="297"/>
      <c r="I22" s="43"/>
      <c r="T22" s="275" t="s">
        <v>138</v>
      </c>
      <c r="U22" s="275"/>
      <c r="V22" s="275"/>
      <c r="W22" s="275"/>
      <c r="X22" s="275" t="s">
        <v>135</v>
      </c>
      <c r="Y22" s="275"/>
      <c r="Z22" s="132"/>
      <c r="AI22" s="283" t="s">
        <v>192</v>
      </c>
      <c r="AJ22" s="284"/>
      <c r="AK22" s="2">
        <v>178.7</v>
      </c>
      <c r="AL22" s="5" t="s">
        <v>188</v>
      </c>
      <c r="AM22" s="282"/>
      <c r="AN22" s="282"/>
      <c r="AO22" s="34"/>
      <c r="AP22" s="51"/>
    </row>
    <row r="23" spans="1:84" ht="18.75" thickBot="1" x14ac:dyDescent="0.35">
      <c r="C23" s="13">
        <v>0.8</v>
      </c>
      <c r="D23" s="13" t="s">
        <v>100</v>
      </c>
      <c r="E23" s="297" t="s">
        <v>122</v>
      </c>
      <c r="F23" s="297"/>
      <c r="G23" s="297"/>
      <c r="H23" s="297"/>
      <c r="I23" s="43"/>
      <c r="T23" s="275" t="s">
        <v>139</v>
      </c>
      <c r="U23" s="275"/>
      <c r="V23" s="275"/>
      <c r="W23" s="275"/>
      <c r="X23" s="275" t="s">
        <v>136</v>
      </c>
      <c r="Y23" s="275"/>
      <c r="Z23" s="132"/>
      <c r="AI23" s="432" t="s">
        <v>193</v>
      </c>
      <c r="AJ23" s="299"/>
      <c r="AK23" s="11">
        <v>178.2</v>
      </c>
      <c r="AL23" s="12" t="s">
        <v>188</v>
      </c>
      <c r="AM23" s="282"/>
      <c r="AN23" s="282"/>
      <c r="AO23" s="34"/>
      <c r="AP23" s="51"/>
    </row>
    <row r="24" spans="1:84" ht="18" x14ac:dyDescent="0.25">
      <c r="C24" s="13">
        <v>0.85</v>
      </c>
      <c r="D24" s="13" t="s">
        <v>100</v>
      </c>
      <c r="E24" s="297" t="s">
        <v>123</v>
      </c>
      <c r="F24" s="297"/>
      <c r="G24" s="297"/>
      <c r="H24" s="297"/>
      <c r="I24" s="43"/>
    </row>
    <row r="27" spans="1:84" x14ac:dyDescent="0.25">
      <c r="H27" s="312" t="s">
        <v>129</v>
      </c>
      <c r="I27" s="312"/>
      <c r="J27" s="312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312"/>
      <c r="V27" s="312"/>
      <c r="W27" s="40"/>
      <c r="X27" s="40"/>
      <c r="Y27" s="40"/>
      <c r="Z27" s="40"/>
      <c r="AA27" s="40"/>
      <c r="AB27" s="321" t="s">
        <v>130</v>
      </c>
      <c r="AC27" s="321"/>
      <c r="AD27" s="321"/>
      <c r="AI27" s="40" t="s">
        <v>129</v>
      </c>
      <c r="AJ27" s="270" t="s">
        <v>131</v>
      </c>
      <c r="AK27" s="270"/>
      <c r="AL27" s="270"/>
      <c r="AM27" s="270"/>
    </row>
    <row r="28" spans="1:84" ht="15.75" x14ac:dyDescent="0.3">
      <c r="A28" t="s">
        <v>83</v>
      </c>
      <c r="C28" s="25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4" t="s">
        <v>51</v>
      </c>
      <c r="AM28" s="314"/>
      <c r="AN28" s="314"/>
      <c r="AO28" s="314"/>
      <c r="AP28" s="314"/>
      <c r="AQ28" s="314"/>
      <c r="AR28" s="314"/>
      <c r="AS28" s="314"/>
      <c r="AT28" s="314"/>
      <c r="AU28" s="314"/>
      <c r="AV28" s="314"/>
      <c r="AW28" s="314"/>
      <c r="AX28" s="314"/>
      <c r="AY28" s="314"/>
      <c r="AZ28" s="314"/>
      <c r="BA28" s="314"/>
      <c r="BB28" s="314"/>
      <c r="BC28" s="314"/>
      <c r="BD28" s="314"/>
      <c r="BE28" s="314"/>
      <c r="BF28" s="314"/>
      <c r="BG28" s="314"/>
      <c r="BH28" s="314"/>
      <c r="BI28" s="314"/>
      <c r="BJ28" s="314"/>
      <c r="BK28" s="314"/>
      <c r="BL28" s="314"/>
      <c r="BM28" s="314"/>
      <c r="BN28" s="314"/>
      <c r="BO28" s="314"/>
      <c r="BP28" s="314"/>
      <c r="BQ28" s="314"/>
      <c r="BR28" s="314"/>
      <c r="BS28" s="314"/>
      <c r="BT28" s="314"/>
      <c r="BU28" s="314"/>
      <c r="BV28" s="314"/>
      <c r="BW28" s="314"/>
      <c r="BX28" s="314"/>
    </row>
    <row r="29" spans="1:84" ht="41.25" x14ac:dyDescent="0.25">
      <c r="C29" s="272" t="s">
        <v>52</v>
      </c>
      <c r="D29" s="306" t="s">
        <v>53</v>
      </c>
      <c r="E29" s="306" t="s">
        <v>54</v>
      </c>
      <c r="F29" s="308" t="s">
        <v>127</v>
      </c>
      <c r="G29" s="273" t="s">
        <v>152</v>
      </c>
      <c r="H29" s="274"/>
      <c r="I29" s="273" t="s">
        <v>84</v>
      </c>
      <c r="J29" s="274"/>
      <c r="K29" s="376" t="s">
        <v>204</v>
      </c>
      <c r="L29" s="377"/>
      <c r="M29" s="52" t="s">
        <v>205</v>
      </c>
      <c r="N29" s="81" t="s">
        <v>206</v>
      </c>
      <c r="O29" s="81" t="s">
        <v>206</v>
      </c>
      <c r="P29" s="81" t="s">
        <v>207</v>
      </c>
      <c r="Q29" s="81" t="s">
        <v>208</v>
      </c>
      <c r="R29" s="52" t="s">
        <v>152</v>
      </c>
      <c r="S29" s="56" t="s">
        <v>152</v>
      </c>
      <c r="T29" s="44" t="s">
        <v>153</v>
      </c>
      <c r="U29" s="44" t="s">
        <v>214</v>
      </c>
      <c r="V29" s="38" t="s">
        <v>153</v>
      </c>
      <c r="W29" s="417" t="s">
        <v>55</v>
      </c>
      <c r="X29" s="418"/>
      <c r="Y29" s="418"/>
      <c r="Z29" s="418"/>
      <c r="AA29" s="419"/>
      <c r="AB29" s="369" t="s">
        <v>90</v>
      </c>
      <c r="AC29" s="39" t="s">
        <v>88</v>
      </c>
      <c r="AD29" s="433" t="s">
        <v>91</v>
      </c>
      <c r="AE29" s="18" t="s">
        <v>103</v>
      </c>
      <c r="AF29" s="306" t="s">
        <v>56</v>
      </c>
      <c r="AG29" s="308" t="s">
        <v>57</v>
      </c>
      <c r="AH29" s="308" t="s">
        <v>9</v>
      </c>
      <c r="AI29" s="374" t="s">
        <v>58</v>
      </c>
      <c r="AJ29" s="319" t="s">
        <v>93</v>
      </c>
      <c r="AK29" s="319" t="s">
        <v>94</v>
      </c>
      <c r="AL29" s="319" t="s">
        <v>95</v>
      </c>
      <c r="AM29" s="306" t="s">
        <v>59</v>
      </c>
      <c r="AN29" s="306" t="s">
        <v>60</v>
      </c>
      <c r="AO29" s="306" t="s">
        <v>61</v>
      </c>
      <c r="AP29" s="306" t="s">
        <v>56</v>
      </c>
      <c r="AQ29" s="306" t="s">
        <v>62</v>
      </c>
      <c r="AR29" s="306" t="s">
        <v>63</v>
      </c>
      <c r="AS29" s="26" t="s">
        <v>64</v>
      </c>
      <c r="AT29" s="27" t="s">
        <v>150</v>
      </c>
      <c r="AU29" s="26" t="s">
        <v>65</v>
      </c>
      <c r="AV29" s="306" t="s">
        <v>50</v>
      </c>
      <c r="AW29" s="306" t="s">
        <v>42</v>
      </c>
      <c r="AX29" s="306" t="s">
        <v>43</v>
      </c>
      <c r="AY29" s="14" t="s">
        <v>66</v>
      </c>
      <c r="AZ29" s="306" t="s">
        <v>34</v>
      </c>
      <c r="BA29" s="306" t="s">
        <v>48</v>
      </c>
      <c r="BB29" s="306" t="s">
        <v>24</v>
      </c>
      <c r="BC29" s="306" t="s">
        <v>30</v>
      </c>
      <c r="BD29" s="306" t="s">
        <v>35</v>
      </c>
      <c r="BE29" s="306" t="s">
        <v>40</v>
      </c>
      <c r="BF29" s="306" t="s">
        <v>20</v>
      </c>
      <c r="BG29" s="306" t="s">
        <v>44</v>
      </c>
      <c r="BH29" s="306" t="s">
        <v>49</v>
      </c>
      <c r="BI29" s="306" t="s">
        <v>18</v>
      </c>
      <c r="BJ29" s="306" t="s">
        <v>31</v>
      </c>
      <c r="BK29" s="306" t="s">
        <v>36</v>
      </c>
      <c r="BL29" s="306" t="s">
        <v>67</v>
      </c>
      <c r="BM29" s="306" t="s">
        <v>68</v>
      </c>
      <c r="BN29" s="306" t="s">
        <v>69</v>
      </c>
      <c r="BO29" s="306" t="s">
        <v>70</v>
      </c>
      <c r="BP29" s="308" t="s">
        <v>71</v>
      </c>
      <c r="BQ29" s="306" t="s">
        <v>72</v>
      </c>
      <c r="BR29" s="308" t="s">
        <v>73</v>
      </c>
      <c r="BS29" s="306" t="s">
        <v>74</v>
      </c>
      <c r="BT29" s="306" t="s">
        <v>75</v>
      </c>
      <c r="BU29" s="308" t="s">
        <v>76</v>
      </c>
      <c r="BV29" s="306" t="s">
        <v>77</v>
      </c>
      <c r="BW29" s="308" t="s">
        <v>78</v>
      </c>
      <c r="BX29" s="308" t="s">
        <v>79</v>
      </c>
    </row>
    <row r="30" spans="1:84" ht="33" customHeight="1" x14ac:dyDescent="0.25">
      <c r="A30" t="s">
        <v>86</v>
      </c>
      <c r="C30" s="272"/>
      <c r="D30" s="307"/>
      <c r="E30" s="307"/>
      <c r="F30" s="309"/>
      <c r="G30" s="36" t="s">
        <v>229</v>
      </c>
      <c r="H30" s="36" t="s">
        <v>230</v>
      </c>
      <c r="I30" s="36" t="s">
        <v>85</v>
      </c>
      <c r="J30" s="36" t="s">
        <v>87</v>
      </c>
      <c r="K30" s="53" t="s">
        <v>85</v>
      </c>
      <c r="L30" s="53" t="s">
        <v>87</v>
      </c>
      <c r="M30" s="53" t="s">
        <v>161</v>
      </c>
      <c r="N30" s="53" t="s">
        <v>161</v>
      </c>
      <c r="O30" s="53" t="s">
        <v>161</v>
      </c>
      <c r="P30" s="53" t="s">
        <v>161</v>
      </c>
      <c r="Q30" s="53" t="s">
        <v>209</v>
      </c>
      <c r="R30" s="53" t="s">
        <v>212</v>
      </c>
      <c r="S30" s="53" t="s">
        <v>213</v>
      </c>
      <c r="T30" s="37" t="s">
        <v>89</v>
      </c>
      <c r="U30" s="37" t="s">
        <v>89</v>
      </c>
      <c r="V30" s="38" t="s">
        <v>92</v>
      </c>
      <c r="W30" s="14" t="s">
        <v>246</v>
      </c>
      <c r="X30" s="14" t="s">
        <v>249</v>
      </c>
      <c r="Y30" s="14" t="s">
        <v>247</v>
      </c>
      <c r="Z30" s="133" t="s">
        <v>248</v>
      </c>
      <c r="AA30" s="133" t="s">
        <v>248</v>
      </c>
      <c r="AB30" s="370"/>
      <c r="AC30" s="39" t="s">
        <v>89</v>
      </c>
      <c r="AD30" s="434"/>
      <c r="AE30" s="14" t="s">
        <v>80</v>
      </c>
      <c r="AF30" s="307"/>
      <c r="AG30" s="307"/>
      <c r="AH30" s="309"/>
      <c r="AI30" s="375"/>
      <c r="AJ30" s="320"/>
      <c r="AK30" s="320"/>
      <c r="AL30" s="320"/>
      <c r="AM30" s="307"/>
      <c r="AN30" s="307"/>
      <c r="AO30" s="307"/>
      <c r="AP30" s="307"/>
      <c r="AQ30" s="307"/>
      <c r="AR30" s="307"/>
      <c r="AS30" s="28" t="s">
        <v>149</v>
      </c>
      <c r="AT30" s="28" t="s">
        <v>151</v>
      </c>
      <c r="AU30" s="28" t="s">
        <v>149</v>
      </c>
      <c r="AV30" s="316"/>
      <c r="AW30" s="307"/>
      <c r="AX30" s="307"/>
      <c r="AY30" s="48" t="s">
        <v>154</v>
      </c>
      <c r="AZ30" s="307"/>
      <c r="BA30" s="307"/>
      <c r="BB30" s="307"/>
      <c r="BC30" s="307"/>
      <c r="BD30" s="307"/>
      <c r="BE30" s="307"/>
      <c r="BF30" s="307"/>
      <c r="BG30" s="307"/>
      <c r="BH30" s="307"/>
      <c r="BI30" s="307"/>
      <c r="BJ30" s="307"/>
      <c r="BK30" s="307"/>
      <c r="BL30" s="307"/>
      <c r="BM30" s="307"/>
      <c r="BN30" s="307"/>
      <c r="BO30" s="307"/>
      <c r="BP30" s="309"/>
      <c r="BQ30" s="307"/>
      <c r="BR30" s="309"/>
      <c r="BS30" s="307"/>
      <c r="BT30" s="307"/>
      <c r="BU30" s="309"/>
      <c r="BV30" s="307"/>
      <c r="BW30" s="309"/>
      <c r="BX30" s="309"/>
      <c r="BY30" t="s">
        <v>268</v>
      </c>
      <c r="BZ30" t="s">
        <v>269</v>
      </c>
      <c r="CA30" t="s">
        <v>270</v>
      </c>
    </row>
    <row r="31" spans="1:84" ht="15" customHeight="1" x14ac:dyDescent="0.3">
      <c r="C31" s="13">
        <v>1</v>
      </c>
      <c r="D31" s="378" t="s">
        <v>81</v>
      </c>
      <c r="E31" s="378" t="s">
        <v>82</v>
      </c>
      <c r="F31" s="19" t="s">
        <v>128</v>
      </c>
      <c r="G31" s="54">
        <v>0.57291666666666663</v>
      </c>
      <c r="H31" s="54">
        <v>0.57291666666666663</v>
      </c>
      <c r="I31" s="13">
        <v>-8.7303979999999992</v>
      </c>
      <c r="J31" s="13">
        <v>116.077186</v>
      </c>
      <c r="K31" s="13">
        <f>RADIANS(I31)</f>
        <v>-0.15237419010952788</v>
      </c>
      <c r="L31" s="13">
        <f>RADIANS(J31)</f>
        <v>2.0259290821498666</v>
      </c>
      <c r="M31" s="13">
        <v>3443</v>
      </c>
      <c r="N31" s="13">
        <v>0</v>
      </c>
      <c r="O31" s="338">
        <f>SUM(N31:N32)</f>
        <v>0</v>
      </c>
      <c r="P31" s="338">
        <v>0</v>
      </c>
      <c r="Q31" s="435" t="e">
        <f>ABS((O31-P31)/P31*100%)</f>
        <v>#DIV/0!</v>
      </c>
      <c r="R31" s="13">
        <v>0</v>
      </c>
      <c r="S31" s="357">
        <v>0</v>
      </c>
      <c r="T31" s="20" t="e">
        <f>N31/R31</f>
        <v>#DIV/0!</v>
      </c>
      <c r="U31" s="346" t="e">
        <f>AVERAGE(T31:T32)</f>
        <v>#DIV/0!</v>
      </c>
      <c r="V31" s="15" t="e">
        <f>T31*0.5144</f>
        <v>#DIV/0!</v>
      </c>
      <c r="W31" s="15"/>
      <c r="X31" s="15"/>
      <c r="Y31" s="15"/>
      <c r="Z31" s="15"/>
      <c r="AA31" s="13"/>
      <c r="AB31" s="13">
        <v>120</v>
      </c>
      <c r="AC31" s="13">
        <v>13</v>
      </c>
      <c r="AD31" s="13">
        <f>IF(AC31&lt;=0.6,0,IF(AC31&lt;=3,1,IF(AC31&lt;=6.4,2,IF(AC31&lt;=10.6,3,IF(AC31&lt;=15.5,4,IF(AC31&lt;=21,5,IF(AC31&lt;=26.9,IF(AC31&lt;=33.4,7,8))))))))</f>
        <v>4</v>
      </c>
      <c r="AE31" s="16">
        <f>IF(AND(AA31&lt;=AB31,AB31&gt;AA31,(AB31-AA31)&lt;=180),AB31-AA31,IF(AND(AA31&lt;=AB31,AB31&gt;AA31,(AB31-AA31)&gt;180),360-AB31+AA31,IF(AND(AA31&lt;=180,AB31&lt;AA31),AA31-AB31,IF(AND(AA31&gt;180,AB31&lt;AA31,(AA31-AB31)&lt;=180),AA31-AB31,IF(AND(AA31&gt;180,AB31&lt;AA31,(AA31-AB31)&gt;180),360-AA31+AB31,IF(AND(AA31&gt;180,AB31&gt;AA31),AB31-AA31,0))))))</f>
        <v>120</v>
      </c>
      <c r="AF31" s="15" t="e">
        <f t="shared" ref="AF31:AF62" si="0">V31/((9.81*$D$3)^0.5)</f>
        <v>#DIV/0!</v>
      </c>
      <c r="AG31" s="365">
        <v>2624</v>
      </c>
      <c r="AH31" s="357">
        <f>($G$5*1.025)/(G$3*$D$4*AI31)</f>
        <v>0.67045153094541909</v>
      </c>
      <c r="AI31" s="338">
        <v>4.0999999999999996</v>
      </c>
      <c r="AJ31" s="13" t="e">
        <f t="shared" ref="AJ31:AJ62" si="1">IF(AND(F31="NORMAL",AND($D$6&gt;=0.55,$D$6&lt;0.6)),1.7-1.4*AF31-7.4*AF31^2,IF(AND(F31="NORMAL",AND($D$6&gt;=0.6,$D$6&lt;0.65)),2.2-2.5*AF31-9.7*AF31^2,IF(AND(F31="NORMAL",AND($D$6&gt;=0.65,$D$6&lt;0.7)),2.6-3.7*AF31-11.6*AF31^2,IF(AND(F31="NORMAL",AND($D$6&gt;=0.7,$D$6&lt;0.75)),3.1-5.3*AF31-12.4*AF31^2,IF(AND(F31="NORMAL OR LOADED",AND($D$6&gt;=0.75,$D$6&lt;0.8)),2.4-10.6*AF31-9.5*AF31^2,IF(AND(F31="NORMAL OR LOADED",AND($D$6&gt;=0.8,$D$6&lt;0.85)),2.6-13.1*AF31-15.1*AF31^2,IF(AND(F31="NORMAL OR LOADED",AND($D$6&gt;=0.85,$D$6&lt;0.9)),3.1-18.7*AF31+28*AF31^2,IF(AND(F31="BALLAST",AND($D$6&gt;=0.75,$D$6&lt;0.8)),2.6-12.5*AF31-13.5*AF31^2,IF(AND(F31="BALLAST",AND($D$6&gt;=0.8,$D$6&lt;0.85)),IF(AND(F31="BALLAST",AND($D$6&gt;=0.85,$D$6&lt;0.9)),3.4-20.9*AF31+31.8*AF31^2))))))))))</f>
        <v>#DIV/0!</v>
      </c>
      <c r="AK31" s="13">
        <f>IF(AND(AE31&gt;=0,AE31&lt;=30),2/2,IF(AND(AE31&gt;=30,AE31&lt;=60),(1.7-0.03*(AD31-4)^2)/2,IF(AND(AE31&gt;=60,AE31&lt;=150),(0.9-0.06*(AD31-6)^2)/2,IF(AND(AE31&gt;=150,AE31&lt;=180),(0.4-0.03*(AD31-8)^2)/2))))</f>
        <v>0.33</v>
      </c>
      <c r="AL31" s="15">
        <f t="shared" ref="AL31:AL37" si="2">IF($T$21="ALL SHIP TYPE LOADED",(0.5*AD31+AD31^6.5)/(2.2*$G$5^(2/3)),IF($T$22="ALL SHIP TYPE BALLAST",(0.7*AD31+AD31^6.5)/(2.7*G5^(2/3)),IF($T$23="CONTAINER NORMAL",(0.7*AD31+AD31^6.5)/(2.2*$G$5^(2/3)))))</f>
        <v>18.610006994007279</v>
      </c>
      <c r="AM31" s="15" t="e">
        <f>AJ31*AK31*AL31</f>
        <v>#DIV/0!</v>
      </c>
      <c r="AN31" s="15" t="e">
        <f t="shared" ref="AN31:AN62" si="3">T31/(1-(0.01*AM31))</f>
        <v>#DIV/0!</v>
      </c>
      <c r="AO31" s="15" t="e">
        <f>AN31*0.5144</f>
        <v>#DIV/0!</v>
      </c>
      <c r="AP31" s="15" t="e">
        <f>AO31/((9.81*$D$3)^0.5)</f>
        <v>#DIV/0!</v>
      </c>
      <c r="AQ31" s="20" t="e">
        <f t="shared" ref="AQ31:AQ62" si="4">N31/AN31</f>
        <v>#DIV/0!</v>
      </c>
      <c r="AR31" s="13" t="e">
        <f t="shared" ref="AR31:AR62" si="5">(AO31*$D$3)/$U$3</f>
        <v>#DIV/0!</v>
      </c>
      <c r="AS31" s="13" t="e">
        <f>0.075/((LOG(AR31)-2)^2)</f>
        <v>#DIV/0!</v>
      </c>
      <c r="AT31" s="15" t="e">
        <f t="shared" ref="AT31:AT62" si="6">0.5*1024*(AO31^2)*$W$5*$W$6*AS31</f>
        <v>#DIV/0!</v>
      </c>
      <c r="AU31" s="13" t="e">
        <f t="shared" ref="AU31:AU62" si="7">0.5*1024*AS31*$U$10*(AO31)^2</f>
        <v>#DIV/0!</v>
      </c>
      <c r="AV31" s="338">
        <f>AI31/$D$3</f>
        <v>5.7985772271486546E-2</v>
      </c>
      <c r="AW31" s="338">
        <f>($D$3^3)/($D$3*$D$4*$D$6*AI31)</f>
        <v>123.7246528617179</v>
      </c>
      <c r="AX31" s="338">
        <f>$D$4/AI31</f>
        <v>3.5853658536585367</v>
      </c>
      <c r="AY31" s="338">
        <f>$D$3*((2*AI31)+$D$4)*($G$7^0.5)*(0.453+(0.4425*AH31)-(0.2862*$G$7)-(0.003467*AX31)+(0.3696*$D$8))+(2.38*('Perhitungan Bulbous Bow'!$D$14/AH31))</f>
        <v>1211.7566863961524</v>
      </c>
      <c r="AZ31" s="338">
        <f>W6</f>
        <v>4.3</v>
      </c>
      <c r="BA31" s="357">
        <f>$D$3/($D$3*$D$4*AH31*AI31)^(1/3)</f>
        <v>4.9829372099640139</v>
      </c>
      <c r="BB31" s="357">
        <f>1+89*EXP(-(($D$3/$D$4)^0.80856)*((1-$D$8)^0.30484)*((1-$G$6-(0.0225*$G$9))^0.6367)*(($J$9/$D$4)^0.34574)*((100*AI31*$D$3*$D$4*AH31)/$D$3^3)^0.16302)</f>
        <v>26.635659991062493</v>
      </c>
      <c r="BC31" s="357">
        <f>2223105*(BH31^3.78613)*((AI31/$D$4)*1.07961)*((90-BB31)^-1.37565)</f>
        <v>5.8115971180455466</v>
      </c>
      <c r="BD31" s="338">
        <f>EXP(-1.89*((BE31^0.5)))</f>
        <v>1</v>
      </c>
      <c r="BE31" s="338">
        <f>0.56*(0^1.5)/($D$4*AI31*((0.31*(0^0.5))+AI31-0))</f>
        <v>0</v>
      </c>
      <c r="BF31" s="338">
        <f>IF(AV31&lt;=0.04,AV31,IF(AV31&gt;0.04,0.04,0))</f>
        <v>0.04</v>
      </c>
      <c r="BG31" s="338">
        <f>1-((0.8*0)/($D$4*AI31*$G$7))</f>
        <v>1</v>
      </c>
      <c r="BH31" s="336">
        <f>IF($J$5&lt;=0.11,0.229577*($J$5^0.33333),IF(AND($J$5&gt;0.11,$J$5&lt;0.25),$J$5,IF($J$5&gt;=0.25,0.5-(0.0625*AX31),0)))</f>
        <v>0.20790020790020786</v>
      </c>
      <c r="BI31" s="357">
        <f>IF(AW31&lt;=512,-1.69385,IF(AW31&gt;=1727,#REF!,IF(AND(AW31&gt;512,AW31&lt;1727),$Y$6+((BA31-8)/2.36),0)))</f>
        <v>-1.6938500000000001</v>
      </c>
      <c r="BJ31" s="357">
        <f>IF($G$6&lt;0.8,(8.07981*($G$6))-(13.8673*($G$6^2))+(6.984388*($G$6^3)),IF($G$6&gt;0.8,1.73014-(0.7067*$G$6),0))</f>
        <v>1.2819691459738847</v>
      </c>
      <c r="BK31" s="357">
        <f>((0.0140407*($D$3/AI31))-(1.75254*((($D$3*$D$4*AI31*$D$6)^(1/3))/$D$3))-(4.79323*($J$5))-BJ31)</f>
        <v>-2.3880504513034189</v>
      </c>
      <c r="BL31" s="23" t="e">
        <f t="shared" ref="BL31:BL62" si="8">$BI$31*($G$6^2)*EXP(-0.1*(AP31^-2))</f>
        <v>#DIV/0!</v>
      </c>
      <c r="BM31" s="24" t="e">
        <f t="shared" ref="BM31:BM62" si="9">$BC$31*$BD$31*$BG$31*($D$3*$D$4*$AI$31*$AH$31)*1025*9.81*(EXP(($BK$31*(AP31^-0.9))+(BL31*COS($Y$10*(AP31^-2)))))</f>
        <v>#DIV/0!</v>
      </c>
      <c r="BN31" s="24" t="e">
        <f t="shared" ref="BN31:BN62" si="10">0.5*1025*(AO31^2)*$AY$31*$W$3</f>
        <v>#DIV/0!</v>
      </c>
      <c r="BO31" s="24" t="e">
        <f t="shared" ref="BO31:BO62" si="11">((AU31*$U$8)+AT31+BM31+BN31)/1000</f>
        <v>#DIV/0!</v>
      </c>
      <c r="BP31" s="24" t="e">
        <f>BO31+(BO31*15%)</f>
        <v>#DIV/0!</v>
      </c>
      <c r="BQ31" s="23" t="e">
        <f>BP31*AO31</f>
        <v>#DIV/0!</v>
      </c>
      <c r="BR31" s="23" t="e">
        <f t="shared" ref="BR31:BR62" si="12">(1-$AJ$5)*AO31</f>
        <v>#DIV/0!</v>
      </c>
      <c r="BS31" s="6" t="e">
        <f t="shared" ref="BS31:BS62" si="13">BQ31/$AJ$11</f>
        <v>#DIV/0!</v>
      </c>
      <c r="BT31" s="23" t="e">
        <f t="shared" ref="BT31:BT62" si="14">BS31/$AO$5</f>
        <v>#DIV/0!</v>
      </c>
      <c r="BU31" s="22" t="e">
        <f t="shared" ref="BU31:BU62" si="15">((BT31/$AO$6)/80%)</f>
        <v>#DIV/0!</v>
      </c>
      <c r="BV31" s="22" t="e">
        <f t="shared" ref="BV31:BV62" si="16">(BU31/$AK$19)*100</f>
        <v>#DIV/0!</v>
      </c>
      <c r="BW31" s="23">
        <v>0</v>
      </c>
      <c r="BX31" s="357"/>
      <c r="BY31" s="189">
        <v>0.57291666666666663</v>
      </c>
      <c r="BZ31">
        <v>0</v>
      </c>
    </row>
    <row r="32" spans="1:84" ht="15" customHeight="1" x14ac:dyDescent="0.3">
      <c r="C32" s="13"/>
      <c r="D32" s="379"/>
      <c r="E32" s="379"/>
      <c r="F32" s="19" t="s">
        <v>128</v>
      </c>
      <c r="G32" s="255">
        <v>0.57638888888888895</v>
      </c>
      <c r="H32" s="54">
        <v>0.57638888888888895</v>
      </c>
      <c r="I32" s="13">
        <v>-8.7303979999999992</v>
      </c>
      <c r="J32" s="13">
        <v>116.077186</v>
      </c>
      <c r="K32" s="13">
        <f t="shared" ref="K32:L95" si="17">RADIANS(I32)</f>
        <v>-0.15237419010952788</v>
      </c>
      <c r="L32" s="13">
        <f t="shared" si="17"/>
        <v>2.0259290821498666</v>
      </c>
      <c r="M32" s="13">
        <v>3443</v>
      </c>
      <c r="N32" s="71">
        <f>2*M32*ASIN(((SIN((K32-K31)/2))^2+COS(K31)*COS(K32)*(SIN((L32-L31)/2))^2)^0.5)</f>
        <v>0</v>
      </c>
      <c r="O32" s="398"/>
      <c r="P32" s="398"/>
      <c r="Q32" s="436"/>
      <c r="R32" s="15">
        <f>(H32-H31)*24</f>
        <v>8.3333333333335702E-2</v>
      </c>
      <c r="S32" s="358"/>
      <c r="T32" s="20">
        <f t="shared" ref="T32:T95" si="18">N32/R32</f>
        <v>0</v>
      </c>
      <c r="U32" s="348"/>
      <c r="V32" s="15">
        <f t="shared" ref="V32:V95" si="19">T32*0.5144</f>
        <v>0</v>
      </c>
      <c r="W32" s="15">
        <f>LN(TAN((K32/2)+(3.14/4))/(TAN((K31/2)+(3.14/4))))</f>
        <v>0</v>
      </c>
      <c r="X32" s="15">
        <f>ABS(L31-L32)</f>
        <v>0</v>
      </c>
      <c r="Y32" s="13" t="e">
        <f>ATAN2(W32,X32)</f>
        <v>#DIV/0!</v>
      </c>
      <c r="Z32" s="13" t="e">
        <f>DEGREES(Y32)</f>
        <v>#DIV/0!</v>
      </c>
      <c r="AA32" s="13" t="e">
        <f>360-Z32</f>
        <v>#DIV/0!</v>
      </c>
      <c r="AB32" s="13">
        <v>120</v>
      </c>
      <c r="AC32" s="13">
        <v>13</v>
      </c>
      <c r="AD32" s="13">
        <f t="shared" ref="AD32:AD95" si="20">IF(AC32&lt;=0.6,0,IF(AC32&lt;=3,1,IF(AC32&lt;=6.4,2,IF(AC32&lt;=10.6,3,IF(AC32&lt;=15.5,4,IF(AC32&lt;=21,5,IF(AC32&lt;=26.9,IF(AC32&lt;=33.4,7,8))))))))</f>
        <v>4</v>
      </c>
      <c r="AE32" s="16" t="e">
        <f t="shared" ref="AE32:AE95" si="21">IF(AND(AA32&lt;=AB32,AB32&gt;AA32,(AB32-AA32)&lt;=180),AB32-AA32,IF(AND(AA32&lt;=AB32,AB32&gt;AA32,(AB32-AA32)&gt;180),360-AB32+AA32,IF(AND(AA32&lt;=180,AB32&lt;AA32),AA32-AB32,IF(AND(AA32&gt;180,AB32&lt;AA32,(AA32-AB32)&lt;=180),AA32-AB32,IF(AND(AA32&gt;180,AB32&lt;AA32,(AA32-AB32)&gt;180),360-AA32+AB32,IF(AND(AA32&gt;180,AB32&gt;AA32),AB32-AA32,0))))))</f>
        <v>#DIV/0!</v>
      </c>
      <c r="AF32" s="15">
        <f t="shared" si="0"/>
        <v>0</v>
      </c>
      <c r="AG32" s="366"/>
      <c r="AH32" s="331"/>
      <c r="AI32" s="339"/>
      <c r="AJ32" s="13">
        <f t="shared" si="1"/>
        <v>2.6</v>
      </c>
      <c r="AK32" s="13" t="e">
        <f t="shared" ref="AK32:AK95" si="22">IF(AND(AE32&gt;=0,AE32&lt;=30),2/2,IF(AND(AE32&gt;=30,AE32&lt;=60),(1.7-0.03*(AD32-4)^2)/2,IF(AND(AE32&gt;=60,AE32&lt;=150),(0.9-0.06*(AD32-6)^2)/2,IF(AND(AE32&gt;=150,AE32&lt;=180),(0.4-0.03*(AD32-8)^2)/2))))</f>
        <v>#DIV/0!</v>
      </c>
      <c r="AL32" s="15">
        <f t="shared" si="2"/>
        <v>18.610006994007279</v>
      </c>
      <c r="AM32" s="15" t="e">
        <f t="shared" ref="AM32:AM95" si="23">AJ32*AK32*AL32</f>
        <v>#DIV/0!</v>
      </c>
      <c r="AN32" s="15" t="e">
        <f t="shared" si="3"/>
        <v>#DIV/0!</v>
      </c>
      <c r="AO32" s="15" t="e">
        <f t="shared" ref="AO32:AO95" si="24">AN32*0.5144</f>
        <v>#DIV/0!</v>
      </c>
      <c r="AP32" s="15" t="e">
        <f t="shared" ref="AP32:AP95" si="25">AO32/((9.81*$D$3)^0.5)</f>
        <v>#DIV/0!</v>
      </c>
      <c r="AQ32" s="20" t="e">
        <f t="shared" si="4"/>
        <v>#DIV/0!</v>
      </c>
      <c r="AR32" s="13" t="e">
        <f t="shared" si="5"/>
        <v>#DIV/0!</v>
      </c>
      <c r="AS32" s="13" t="e">
        <f t="shared" ref="AS32:AS95" si="26">0.075/((LOG(AR32)-2)^2)</f>
        <v>#DIV/0!</v>
      </c>
      <c r="AT32" s="15" t="e">
        <f t="shared" si="6"/>
        <v>#DIV/0!</v>
      </c>
      <c r="AU32" s="13" t="e">
        <f t="shared" si="7"/>
        <v>#DIV/0!</v>
      </c>
      <c r="AV32" s="339"/>
      <c r="AW32" s="339"/>
      <c r="AX32" s="339"/>
      <c r="AY32" s="339"/>
      <c r="AZ32" s="339"/>
      <c r="BA32" s="331"/>
      <c r="BB32" s="331"/>
      <c r="BC32" s="331"/>
      <c r="BD32" s="339"/>
      <c r="BE32" s="339"/>
      <c r="BF32" s="339"/>
      <c r="BG32" s="339"/>
      <c r="BH32" s="337"/>
      <c r="BI32" s="331"/>
      <c r="BJ32" s="331"/>
      <c r="BK32" s="331"/>
      <c r="BL32" s="23" t="e">
        <f t="shared" si="8"/>
        <v>#DIV/0!</v>
      </c>
      <c r="BM32" s="24" t="e">
        <f t="shared" si="9"/>
        <v>#DIV/0!</v>
      </c>
      <c r="BN32" s="24" t="e">
        <f t="shared" si="10"/>
        <v>#DIV/0!</v>
      </c>
      <c r="BO32" s="24" t="e">
        <f t="shared" si="11"/>
        <v>#DIV/0!</v>
      </c>
      <c r="BP32" s="24" t="e">
        <f t="shared" ref="BP32:BP95" si="27">BO32+(BO32*15%)</f>
        <v>#DIV/0!</v>
      </c>
      <c r="BQ32" s="23" t="e">
        <f t="shared" ref="BQ32:BQ95" si="28">BP32*AO32</f>
        <v>#DIV/0!</v>
      </c>
      <c r="BR32" s="23" t="e">
        <f t="shared" si="12"/>
        <v>#DIV/0!</v>
      </c>
      <c r="BS32" s="6" t="e">
        <f t="shared" si="13"/>
        <v>#DIV/0!</v>
      </c>
      <c r="BT32" s="23" t="e">
        <f t="shared" si="14"/>
        <v>#DIV/0!</v>
      </c>
      <c r="BU32" s="22" t="e">
        <f t="shared" si="15"/>
        <v>#DIV/0!</v>
      </c>
      <c r="BV32" s="22" t="e">
        <f t="shared" si="16"/>
        <v>#DIV/0!</v>
      </c>
      <c r="BW32" s="23" t="e">
        <f t="shared" ref="BW32:BW63" si="29">((($AK$21*BU32*AQ32)/1000000))</f>
        <v>#DIV/0!</v>
      </c>
      <c r="BX32" s="331"/>
      <c r="BY32" s="360">
        <f>SUM(BW33:BW38)*1000</f>
        <v>22.934564162242285</v>
      </c>
      <c r="BZ32" s="360">
        <v>20</v>
      </c>
      <c r="CA32" s="360" t="e">
        <f>AVERAGE(AM32:AM38)</f>
        <v>#DIV/0!</v>
      </c>
      <c r="CD32" s="31">
        <v>0</v>
      </c>
      <c r="CF32" s="360">
        <v>0</v>
      </c>
    </row>
    <row r="33" spans="3:84" ht="15" customHeight="1" x14ac:dyDescent="0.3">
      <c r="C33" s="13"/>
      <c r="D33" s="379"/>
      <c r="E33" s="379"/>
      <c r="F33" s="19" t="s">
        <v>128</v>
      </c>
      <c r="G33" s="256"/>
      <c r="H33" s="54">
        <v>0.57847222222222217</v>
      </c>
      <c r="I33" s="46">
        <v>-8.7306910000000002</v>
      </c>
      <c r="J33" s="46">
        <v>116.077173</v>
      </c>
      <c r="K33" s="13">
        <f t="shared" si="17"/>
        <v>-0.15237930392423626</v>
      </c>
      <c r="L33" s="13">
        <f t="shared" si="17"/>
        <v>2.0259288552570638</v>
      </c>
      <c r="M33" s="13">
        <v>3443</v>
      </c>
      <c r="N33" s="71">
        <f t="shared" ref="N33:N96" si="30">2*M33*ASIN(((SIN((K33-K32)/2))^2+COS(K32)*COS(K33)*(SIN((L33-L32)/2))^2)^0.5)</f>
        <v>1.7623786824996667E-2</v>
      </c>
      <c r="O33" s="357">
        <f>SUM(N33:N39)</f>
        <v>1.4351863905396545</v>
      </c>
      <c r="P33" s="338">
        <v>1.49</v>
      </c>
      <c r="Q33" s="437">
        <f>ABS((O33-P33)/P33*100%)</f>
        <v>3.6787657355936594E-2</v>
      </c>
      <c r="R33" s="15">
        <f t="shared" ref="R33:R96" si="31">(H33-H32)*24</f>
        <v>4.9999999999997158E-2</v>
      </c>
      <c r="S33" s="357">
        <f>SUM(R33:R39)</f>
        <v>0.33333333333333215</v>
      </c>
      <c r="T33" s="20">
        <f t="shared" si="18"/>
        <v>0.3524757364999534</v>
      </c>
      <c r="U33" s="346">
        <f>AVERAGE(T33:T39)</f>
        <v>4.3687567857771441</v>
      </c>
      <c r="V33" s="15">
        <f t="shared" si="19"/>
        <v>0.18131351885557601</v>
      </c>
      <c r="W33" s="15">
        <f t="shared" ref="W33:W96" si="32">LN(TAN((K33/2)+(3.14/4))/(TAN((K32/2)+(3.14/4))))</f>
        <v>-5.1743969471270439E-6</v>
      </c>
      <c r="X33" s="15">
        <f t="shared" ref="X33:X96" si="33">ABS(L32-L33)</f>
        <v>2.2689280276821933E-7</v>
      </c>
      <c r="Y33" s="13">
        <f t="shared" ref="Y33:Y96" si="34">ATAN2(W33,X33)</f>
        <v>3.0977715951112823</v>
      </c>
      <c r="Z33" s="13">
        <f t="shared" ref="Z33:Z96" si="35">DEGREES(Y33)</f>
        <v>177.48923829538535</v>
      </c>
      <c r="AA33" s="13">
        <f t="shared" ref="AA33:AA96" si="36">360-Z33</f>
        <v>182.51076170461465</v>
      </c>
      <c r="AB33" s="13">
        <v>120</v>
      </c>
      <c r="AC33" s="13">
        <v>13</v>
      </c>
      <c r="AD33" s="13">
        <f t="shared" si="20"/>
        <v>4</v>
      </c>
      <c r="AE33" s="16">
        <f t="shared" si="21"/>
        <v>62.510761704614652</v>
      </c>
      <c r="AF33" s="15">
        <f t="shared" si="0"/>
        <v>6.8843743422110065E-3</v>
      </c>
      <c r="AG33" s="366"/>
      <c r="AH33" s="331"/>
      <c r="AI33" s="339"/>
      <c r="AJ33" s="13">
        <f t="shared" si="1"/>
        <v>2.5739780374568486</v>
      </c>
      <c r="AK33" s="13">
        <f t="shared" si="22"/>
        <v>0.33</v>
      </c>
      <c r="AL33" s="15">
        <f t="shared" si="2"/>
        <v>18.610006994007279</v>
      </c>
      <c r="AM33" s="15">
        <f t="shared" si="23"/>
        <v>15.807577262232718</v>
      </c>
      <c r="AN33" s="15">
        <f t="shared" si="3"/>
        <v>0.41865493952799487</v>
      </c>
      <c r="AO33" s="15">
        <f t="shared" si="24"/>
        <v>0.21535610089320054</v>
      </c>
      <c r="AP33" s="15">
        <f t="shared" si="25"/>
        <v>8.1769524125153772E-3</v>
      </c>
      <c r="AQ33" s="20">
        <f t="shared" si="4"/>
        <v>4.2096211368881246E-2</v>
      </c>
      <c r="AR33" s="13">
        <f t="shared" si="5"/>
        <v>12817494.802908698</v>
      </c>
      <c r="AS33" s="13">
        <f t="shared" si="26"/>
        <v>2.8747028542070248E-3</v>
      </c>
      <c r="AT33" s="15">
        <f t="shared" si="6"/>
        <v>2.2336818298349979</v>
      </c>
      <c r="AU33" s="13">
        <f t="shared" si="7"/>
        <v>82.716605763153964</v>
      </c>
      <c r="AV33" s="339"/>
      <c r="AW33" s="339"/>
      <c r="AX33" s="339"/>
      <c r="AY33" s="339"/>
      <c r="AZ33" s="339"/>
      <c r="BA33" s="331"/>
      <c r="BB33" s="331"/>
      <c r="BC33" s="331"/>
      <c r="BD33" s="339"/>
      <c r="BE33" s="339"/>
      <c r="BF33" s="339"/>
      <c r="BG33" s="339"/>
      <c r="BH33" s="337"/>
      <c r="BI33" s="331"/>
      <c r="BJ33" s="331"/>
      <c r="BK33" s="331"/>
      <c r="BL33" s="23">
        <f t="shared" si="8"/>
        <v>0</v>
      </c>
      <c r="BM33" s="24">
        <f t="shared" si="9"/>
        <v>6.1691132151629219E-71</v>
      </c>
      <c r="BN33" s="24">
        <f t="shared" si="10"/>
        <v>16.885988782897805</v>
      </c>
      <c r="BO33" s="24">
        <f t="shared" si="11"/>
        <v>0.19143982395805254</v>
      </c>
      <c r="BP33" s="24">
        <f t="shared" si="27"/>
        <v>0.2201557975517604</v>
      </c>
      <c r="BQ33" s="23">
        <f t="shared" si="28"/>
        <v>4.7411894149779941E-2</v>
      </c>
      <c r="BR33" s="23">
        <f t="shared" si="12"/>
        <v>0.15393099216671935</v>
      </c>
      <c r="BS33" s="6">
        <f t="shared" si="13"/>
        <v>0.11426705381661692</v>
      </c>
      <c r="BT33" s="23">
        <f t="shared" si="14"/>
        <v>0.11659903450675196</v>
      </c>
      <c r="BU33" s="22">
        <f t="shared" si="15"/>
        <v>0.14872325829942851</v>
      </c>
      <c r="BV33" s="22">
        <f t="shared" si="16"/>
        <v>7.0820599190204048E-3</v>
      </c>
      <c r="BW33" s="23">
        <f t="shared" si="29"/>
        <v>1.1219148804579903E-6</v>
      </c>
      <c r="BX33" s="331"/>
      <c r="BY33" s="361"/>
      <c r="BZ33" s="361"/>
      <c r="CA33" s="361"/>
      <c r="CD33" s="31">
        <v>20</v>
      </c>
      <c r="CF33" s="361"/>
    </row>
    <row r="34" spans="3:84" ht="15" customHeight="1" x14ac:dyDescent="0.3">
      <c r="C34" s="13"/>
      <c r="D34" s="379"/>
      <c r="E34" s="379"/>
      <c r="F34" s="19" t="s">
        <v>128</v>
      </c>
      <c r="G34" s="256"/>
      <c r="H34" s="54">
        <v>0.58055555555555505</v>
      </c>
      <c r="I34" s="46">
        <v>-8.7309789999999996</v>
      </c>
      <c r="J34" s="46">
        <v>116.077141</v>
      </c>
      <c r="K34" s="13">
        <f t="shared" si="17"/>
        <v>-0.15238433047248198</v>
      </c>
      <c r="L34" s="13">
        <f t="shared" si="17"/>
        <v>2.0259282967517032</v>
      </c>
      <c r="M34" s="13">
        <v>3443</v>
      </c>
      <c r="N34" s="71">
        <f t="shared" si="30"/>
        <v>1.7410460988558311E-2</v>
      </c>
      <c r="O34" s="339"/>
      <c r="P34" s="339"/>
      <c r="Q34" s="437"/>
      <c r="R34" s="15">
        <f t="shared" si="31"/>
        <v>4.9999999999989164E-2</v>
      </c>
      <c r="S34" s="331"/>
      <c r="T34" s="20">
        <f t="shared" si="18"/>
        <v>0.3482092197712417</v>
      </c>
      <c r="U34" s="347"/>
      <c r="V34" s="15">
        <f t="shared" si="19"/>
        <v>0.17911882265032672</v>
      </c>
      <c r="W34" s="15">
        <f t="shared" si="32"/>
        <v>-5.0861006389632928E-6</v>
      </c>
      <c r="X34" s="15">
        <f t="shared" si="33"/>
        <v>5.5850536062607148E-7</v>
      </c>
      <c r="Y34" s="13">
        <f t="shared" si="34"/>
        <v>3.032220733003677</v>
      </c>
      <c r="Z34" s="13">
        <f t="shared" si="35"/>
        <v>173.73345055317554</v>
      </c>
      <c r="AA34" s="13">
        <f t="shared" si="36"/>
        <v>186.26654944682446</v>
      </c>
      <c r="AB34" s="13">
        <v>120</v>
      </c>
      <c r="AC34" s="13">
        <v>13</v>
      </c>
      <c r="AD34" s="13">
        <f t="shared" si="20"/>
        <v>4</v>
      </c>
      <c r="AE34" s="16">
        <f t="shared" si="21"/>
        <v>66.266549446824456</v>
      </c>
      <c r="AF34" s="15">
        <f t="shared" si="0"/>
        <v>6.8010429373619218E-3</v>
      </c>
      <c r="AG34" s="366"/>
      <c r="AH34" s="331"/>
      <c r="AI34" s="339"/>
      <c r="AJ34" s="13">
        <f t="shared" si="1"/>
        <v>2.5742995925853451</v>
      </c>
      <c r="AK34" s="13">
        <f t="shared" si="22"/>
        <v>0.33</v>
      </c>
      <c r="AL34" s="15">
        <f t="shared" si="2"/>
        <v>18.610006994007279</v>
      </c>
      <c r="AM34" s="15">
        <f t="shared" si="23"/>
        <v>15.809552029485509</v>
      </c>
      <c r="AN34" s="15">
        <f t="shared" si="3"/>
        <v>0.41359706257079532</v>
      </c>
      <c r="AO34" s="15">
        <f t="shared" si="24"/>
        <v>0.21275432898641711</v>
      </c>
      <c r="AP34" s="15">
        <f t="shared" si="25"/>
        <v>8.0781645677236568E-3</v>
      </c>
      <c r="AQ34" s="20">
        <f t="shared" si="4"/>
        <v>4.209522398524812E-2</v>
      </c>
      <c r="AR34" s="13">
        <f t="shared" si="5"/>
        <v>12662643.38353754</v>
      </c>
      <c r="AS34" s="13">
        <f t="shared" si="26"/>
        <v>2.8806539305658578E-3</v>
      </c>
      <c r="AT34" s="15">
        <f t="shared" si="6"/>
        <v>2.1845495027876605</v>
      </c>
      <c r="AU34" s="13">
        <f t="shared" si="7"/>
        <v>80.8971616183712</v>
      </c>
      <c r="AV34" s="339"/>
      <c r="AW34" s="339"/>
      <c r="AX34" s="339"/>
      <c r="AY34" s="339"/>
      <c r="AZ34" s="339"/>
      <c r="BA34" s="331"/>
      <c r="BB34" s="331"/>
      <c r="BC34" s="331"/>
      <c r="BD34" s="339"/>
      <c r="BE34" s="339"/>
      <c r="BF34" s="339"/>
      <c r="BG34" s="339"/>
      <c r="BH34" s="337"/>
      <c r="BI34" s="331"/>
      <c r="BJ34" s="331"/>
      <c r="BK34" s="331"/>
      <c r="BL34" s="23">
        <f t="shared" si="8"/>
        <v>0</v>
      </c>
      <c r="BM34" s="24">
        <f t="shared" si="9"/>
        <v>8.4627921108504487E-72</v>
      </c>
      <c r="BN34" s="24">
        <f t="shared" si="10"/>
        <v>16.480445543549667</v>
      </c>
      <c r="BO34" s="24">
        <f t="shared" si="11"/>
        <v>0.18719477412352103</v>
      </c>
      <c r="BP34" s="24">
        <f t="shared" si="27"/>
        <v>0.21527399024204918</v>
      </c>
      <c r="BQ34" s="23">
        <f t="shared" si="28"/>
        <v>4.5800473342175678E-2</v>
      </c>
      <c r="BR34" s="23">
        <f t="shared" si="12"/>
        <v>0.15207131264363363</v>
      </c>
      <c r="BS34" s="6">
        <f t="shared" si="13"/>
        <v>0.11038338050118185</v>
      </c>
      <c r="BT34" s="23">
        <f t="shared" si="14"/>
        <v>0.11263610255222638</v>
      </c>
      <c r="BU34" s="22">
        <f t="shared" si="15"/>
        <v>0.14366849815334995</v>
      </c>
      <c r="BV34" s="22">
        <f t="shared" si="16"/>
        <v>6.8413570549214261E-3</v>
      </c>
      <c r="BW34" s="23">
        <f t="shared" si="29"/>
        <v>1.0837581636025935E-6</v>
      </c>
      <c r="BX34" s="331"/>
      <c r="BY34" s="361"/>
      <c r="BZ34" s="361"/>
      <c r="CA34" s="361"/>
      <c r="CD34" s="31">
        <v>45</v>
      </c>
      <c r="CF34" s="361"/>
    </row>
    <row r="35" spans="3:84" ht="15" customHeight="1" x14ac:dyDescent="0.3">
      <c r="C35" s="13"/>
      <c r="D35" s="379"/>
      <c r="E35" s="379"/>
      <c r="F35" s="19" t="s">
        <v>128</v>
      </c>
      <c r="G35" s="256"/>
      <c r="H35" s="54">
        <v>0.58263888888888904</v>
      </c>
      <c r="I35" s="46">
        <v>-8.7312030000000007</v>
      </c>
      <c r="J35" s="46">
        <v>116.07664200000001</v>
      </c>
      <c r="K35" s="13">
        <f t="shared" si="17"/>
        <v>-0.15238824001000648</v>
      </c>
      <c r="L35" s="13">
        <f t="shared" si="17"/>
        <v>2.0259195875587359</v>
      </c>
      <c r="M35" s="13">
        <v>3443</v>
      </c>
      <c r="N35" s="71">
        <f t="shared" si="30"/>
        <v>3.2551695907814898E-2</v>
      </c>
      <c r="O35" s="339"/>
      <c r="P35" s="339"/>
      <c r="Q35" s="437"/>
      <c r="R35" s="15">
        <f t="shared" si="31"/>
        <v>5.000000000001581E-2</v>
      </c>
      <c r="S35" s="331"/>
      <c r="T35" s="20">
        <f t="shared" si="18"/>
        <v>0.65103391815609213</v>
      </c>
      <c r="U35" s="347"/>
      <c r="V35" s="15">
        <f t="shared" si="19"/>
        <v>0.33489184749949374</v>
      </c>
      <c r="W35" s="15">
        <f t="shared" si="32"/>
        <v>-3.9558587815370511E-6</v>
      </c>
      <c r="X35" s="15">
        <f t="shared" si="33"/>
        <v>8.7091929672489243E-6</v>
      </c>
      <c r="Y35" s="13">
        <f t="shared" si="34"/>
        <v>1.9971511246028137</v>
      </c>
      <c r="Z35" s="13">
        <f t="shared" si="35"/>
        <v>114.42833048954722</v>
      </c>
      <c r="AA35" s="13">
        <f t="shared" si="36"/>
        <v>245.57166951045278</v>
      </c>
      <c r="AB35" s="13">
        <v>120</v>
      </c>
      <c r="AC35" s="13">
        <v>13</v>
      </c>
      <c r="AD35" s="13">
        <f t="shared" si="20"/>
        <v>4</v>
      </c>
      <c r="AE35" s="16">
        <f t="shared" si="21"/>
        <v>125.57166951045278</v>
      </c>
      <c r="AF35" s="15">
        <f t="shared" si="0"/>
        <v>1.2715658804115992E-2</v>
      </c>
      <c r="AG35" s="366"/>
      <c r="AH35" s="331"/>
      <c r="AI35" s="339"/>
      <c r="AJ35" s="13">
        <f t="shared" si="1"/>
        <v>2.5510764818704277</v>
      </c>
      <c r="AK35" s="13">
        <f t="shared" si="22"/>
        <v>0.33</v>
      </c>
      <c r="AL35" s="15">
        <f t="shared" si="2"/>
        <v>18.610006994007279</v>
      </c>
      <c r="AM35" s="15">
        <f t="shared" si="23"/>
        <v>15.666931886052527</v>
      </c>
      <c r="AN35" s="15">
        <f t="shared" si="3"/>
        <v>0.77197940584402913</v>
      </c>
      <c r="AO35" s="15">
        <f t="shared" si="24"/>
        <v>0.39710620636616856</v>
      </c>
      <c r="AP35" s="15">
        <f t="shared" si="25"/>
        <v>1.507790370787305E-2</v>
      </c>
      <c r="AQ35" s="20">
        <f t="shared" si="4"/>
        <v>4.2166534056987073E-2</v>
      </c>
      <c r="AR35" s="13">
        <f t="shared" si="5"/>
        <v>23634838.832939971</v>
      </c>
      <c r="AS35" s="13">
        <f t="shared" si="26"/>
        <v>2.5973964778496297E-3</v>
      </c>
      <c r="AT35" s="15">
        <f t="shared" si="6"/>
        <v>6.8622350355738053</v>
      </c>
      <c r="AU35" s="13">
        <f t="shared" si="7"/>
        <v>254.11890919737274</v>
      </c>
      <c r="AV35" s="339"/>
      <c r="AW35" s="339"/>
      <c r="AX35" s="339"/>
      <c r="AY35" s="339"/>
      <c r="AZ35" s="339"/>
      <c r="BA35" s="331"/>
      <c r="BB35" s="331"/>
      <c r="BC35" s="331"/>
      <c r="BD35" s="339"/>
      <c r="BE35" s="339"/>
      <c r="BF35" s="339"/>
      <c r="BG35" s="339"/>
      <c r="BH35" s="337"/>
      <c r="BI35" s="331"/>
      <c r="BJ35" s="331"/>
      <c r="BK35" s="331"/>
      <c r="BL35" s="23">
        <f t="shared" si="8"/>
        <v>-7.2286397666588586E-192</v>
      </c>
      <c r="BM35" s="24">
        <f t="shared" si="9"/>
        <v>1.0083720399092993E-37</v>
      </c>
      <c r="BN35" s="24">
        <f t="shared" si="10"/>
        <v>57.415015545954148</v>
      </c>
      <c r="BO35" s="24">
        <f t="shared" si="11"/>
        <v>0.59367287793865009</v>
      </c>
      <c r="BP35" s="24">
        <f t="shared" si="27"/>
        <v>0.68272380962944756</v>
      </c>
      <c r="BQ35" s="23">
        <f t="shared" si="28"/>
        <v>0.27111386203780818</v>
      </c>
      <c r="BR35" s="23">
        <f t="shared" si="12"/>
        <v>0.2838412846814144</v>
      </c>
      <c r="BS35" s="6">
        <f t="shared" si="13"/>
        <v>0.6534095045019177</v>
      </c>
      <c r="BT35" s="23">
        <f t="shared" si="14"/>
        <v>0.6667443923488956</v>
      </c>
      <c r="BU35" s="22">
        <f t="shared" si="15"/>
        <v>0.85043927595522395</v>
      </c>
      <c r="BV35" s="22">
        <f t="shared" si="16"/>
        <v>4.0497108378820187E-2</v>
      </c>
      <c r="BW35" s="23">
        <f t="shared" si="29"/>
        <v>6.4261257433793955E-6</v>
      </c>
      <c r="BX35" s="331"/>
      <c r="BY35" s="361"/>
      <c r="BZ35" s="361"/>
      <c r="CA35" s="361"/>
      <c r="CD35" s="31">
        <v>45</v>
      </c>
      <c r="CF35" s="361"/>
    </row>
    <row r="36" spans="3:84" ht="15" customHeight="1" x14ac:dyDescent="0.3">
      <c r="C36" s="13"/>
      <c r="D36" s="379"/>
      <c r="E36" s="379"/>
      <c r="F36" s="19" t="s">
        <v>128</v>
      </c>
      <c r="G36" s="256"/>
      <c r="H36" s="54">
        <v>0.58472222222222203</v>
      </c>
      <c r="I36" s="46">
        <v>-8.7332040000000006</v>
      </c>
      <c r="J36" s="46">
        <v>116.07089499999999</v>
      </c>
      <c r="K36" s="13">
        <f t="shared" si="17"/>
        <v>-0.15242316404833889</v>
      </c>
      <c r="L36" s="13">
        <f t="shared" si="17"/>
        <v>2.0258192834866233</v>
      </c>
      <c r="M36" s="13">
        <v>3443</v>
      </c>
      <c r="N36" s="71">
        <f t="shared" si="30"/>
        <v>0.36190351229870599</v>
      </c>
      <c r="O36" s="339"/>
      <c r="P36" s="339"/>
      <c r="Q36" s="437"/>
      <c r="R36" s="15">
        <f t="shared" si="31"/>
        <v>4.9999999999991829E-2</v>
      </c>
      <c r="S36" s="331"/>
      <c r="T36" s="20">
        <f t="shared" si="18"/>
        <v>7.2380702459753028</v>
      </c>
      <c r="U36" s="347"/>
      <c r="V36" s="15">
        <f t="shared" si="19"/>
        <v>3.7232633345296957</v>
      </c>
      <c r="W36" s="15">
        <f t="shared" si="32"/>
        <v>-3.5337933719667689E-5</v>
      </c>
      <c r="X36" s="15">
        <f t="shared" si="33"/>
        <v>1.0030407211258918E-4</v>
      </c>
      <c r="Y36" s="13">
        <f t="shared" si="34"/>
        <v>1.9095258486591835</v>
      </c>
      <c r="Z36" s="13">
        <f t="shared" si="35"/>
        <v>109.40777199930798</v>
      </c>
      <c r="AA36" s="13">
        <f t="shared" si="36"/>
        <v>250.59222800069202</v>
      </c>
      <c r="AB36" s="13">
        <v>120</v>
      </c>
      <c r="AC36" s="13">
        <v>13</v>
      </c>
      <c r="AD36" s="13">
        <f t="shared" si="20"/>
        <v>4</v>
      </c>
      <c r="AE36" s="16">
        <f t="shared" si="21"/>
        <v>130.59222800069202</v>
      </c>
      <c r="AF36" s="15">
        <f t="shared" si="0"/>
        <v>0.14137025595950453</v>
      </c>
      <c r="AG36" s="366"/>
      <c r="AH36" s="331"/>
      <c r="AI36" s="339"/>
      <c r="AJ36" s="13">
        <f t="shared" si="1"/>
        <v>1.8450976814171858</v>
      </c>
      <c r="AK36" s="13">
        <f t="shared" si="22"/>
        <v>0.33</v>
      </c>
      <c r="AL36" s="15">
        <f t="shared" si="2"/>
        <v>18.610006994007279</v>
      </c>
      <c r="AM36" s="15">
        <f t="shared" si="23"/>
        <v>11.331302649414146</v>
      </c>
      <c r="AN36" s="15">
        <f t="shared" si="3"/>
        <v>8.1630501656709846</v>
      </c>
      <c r="AO36" s="15">
        <f t="shared" si="24"/>
        <v>4.1990730052211545</v>
      </c>
      <c r="AP36" s="15">
        <f t="shared" si="25"/>
        <v>0.15943648681399114</v>
      </c>
      <c r="AQ36" s="20">
        <f t="shared" si="4"/>
        <v>4.4334348675285684E-2</v>
      </c>
      <c r="AR36" s="13">
        <f t="shared" si="5"/>
        <v>249919069.8486298</v>
      </c>
      <c r="AS36" s="13">
        <f t="shared" si="26"/>
        <v>1.8323145330506325E-3</v>
      </c>
      <c r="AT36" s="15">
        <f t="shared" si="6"/>
        <v>541.27861488047063</v>
      </c>
      <c r="AU36" s="13">
        <f t="shared" si="7"/>
        <v>20044.363166262265</v>
      </c>
      <c r="AV36" s="339"/>
      <c r="AW36" s="339"/>
      <c r="AX36" s="339"/>
      <c r="AY36" s="339"/>
      <c r="AZ36" s="339"/>
      <c r="BA36" s="331"/>
      <c r="BB36" s="331"/>
      <c r="BC36" s="331"/>
      <c r="BD36" s="339"/>
      <c r="BE36" s="339"/>
      <c r="BF36" s="339"/>
      <c r="BG36" s="339"/>
      <c r="BH36" s="337"/>
      <c r="BI36" s="331"/>
      <c r="BJ36" s="331"/>
      <c r="BK36" s="331"/>
      <c r="BL36" s="23">
        <f t="shared" si="8"/>
        <v>-1.5168218053336315E-2</v>
      </c>
      <c r="BM36" s="24">
        <f t="shared" si="9"/>
        <v>635.98759625228411</v>
      </c>
      <c r="BN36" s="24">
        <f t="shared" si="10"/>
        <v>6419.7628916960757</v>
      </c>
      <c r="BO36" s="24">
        <f t="shared" si="11"/>
        <v>49.354638746649513</v>
      </c>
      <c r="BP36" s="24">
        <f t="shared" si="27"/>
        <v>56.757834558646941</v>
      </c>
      <c r="BQ36" s="23">
        <f t="shared" si="28"/>
        <v>238.3302909300227</v>
      </c>
      <c r="BR36" s="23">
        <f t="shared" si="12"/>
        <v>3.00138919303116</v>
      </c>
      <c r="BS36" s="6">
        <f t="shared" si="13"/>
        <v>574.39806335932417</v>
      </c>
      <c r="BT36" s="23">
        <f t="shared" si="14"/>
        <v>586.12047281563696</v>
      </c>
      <c r="BU36" s="22">
        <f t="shared" si="15"/>
        <v>747.60264389749602</v>
      </c>
      <c r="BV36" s="22">
        <f t="shared" si="16"/>
        <v>35.600125899880766</v>
      </c>
      <c r="BW36" s="23">
        <f t="shared" si="29"/>
        <v>5.9394901502929712E-3</v>
      </c>
      <c r="BX36" s="331"/>
      <c r="BY36" s="361"/>
      <c r="BZ36" s="361"/>
      <c r="CA36" s="361"/>
      <c r="CD36" s="31">
        <v>70</v>
      </c>
      <c r="CF36" s="361"/>
    </row>
    <row r="37" spans="3:84" ht="15" customHeight="1" x14ac:dyDescent="0.3">
      <c r="C37" s="13"/>
      <c r="D37" s="379"/>
      <c r="E37" s="379"/>
      <c r="F37" s="19" t="s">
        <v>128</v>
      </c>
      <c r="G37" s="256"/>
      <c r="H37" s="54">
        <v>0.58680555555555503</v>
      </c>
      <c r="I37" s="46">
        <v>-8.7371639999999999</v>
      </c>
      <c r="J37" s="46">
        <v>116.06527199999999</v>
      </c>
      <c r="K37" s="13">
        <f t="shared" si="17"/>
        <v>-0.15249227908671784</v>
      </c>
      <c r="L37" s="13">
        <f t="shared" si="17"/>
        <v>2.0257211436227838</v>
      </c>
      <c r="M37" s="13">
        <v>3443</v>
      </c>
      <c r="N37" s="71">
        <f t="shared" si="30"/>
        <v>0.41008115494419473</v>
      </c>
      <c r="O37" s="339"/>
      <c r="P37" s="339"/>
      <c r="Q37" s="437"/>
      <c r="R37" s="15">
        <f t="shared" si="31"/>
        <v>4.9999999999991829E-2</v>
      </c>
      <c r="S37" s="331"/>
      <c r="T37" s="20">
        <f t="shared" si="18"/>
        <v>8.2016230988852357</v>
      </c>
      <c r="U37" s="347"/>
      <c r="V37" s="15">
        <f t="shared" si="19"/>
        <v>4.2189149220665652</v>
      </c>
      <c r="W37" s="15">
        <f t="shared" si="32"/>
        <v>-6.9934703545797627E-5</v>
      </c>
      <c r="X37" s="15">
        <f t="shared" si="33"/>
        <v>9.8139863839552532E-5</v>
      </c>
      <c r="Y37" s="13">
        <f t="shared" si="34"/>
        <v>2.1899303050975116</v>
      </c>
      <c r="Z37" s="13">
        <f t="shared" si="35"/>
        <v>125.47376390988413</v>
      </c>
      <c r="AA37" s="13">
        <f t="shared" si="36"/>
        <v>234.52623609011587</v>
      </c>
      <c r="AB37" s="13">
        <v>120</v>
      </c>
      <c r="AC37" s="13">
        <v>13</v>
      </c>
      <c r="AD37" s="13">
        <f t="shared" si="20"/>
        <v>4</v>
      </c>
      <c r="AE37" s="16">
        <f t="shared" si="21"/>
        <v>114.52623609011587</v>
      </c>
      <c r="AF37" s="15">
        <f t="shared" si="0"/>
        <v>0.16018987345660346</v>
      </c>
      <c r="AG37" s="366"/>
      <c r="AH37" s="331"/>
      <c r="AI37" s="339"/>
      <c r="AJ37" s="13">
        <f t="shared" si="1"/>
        <v>1.7096322397372725</v>
      </c>
      <c r="AK37" s="13">
        <f t="shared" si="22"/>
        <v>0.33</v>
      </c>
      <c r="AL37" s="15">
        <f t="shared" si="2"/>
        <v>18.610006994007279</v>
      </c>
      <c r="AM37" s="15">
        <f t="shared" si="23"/>
        <v>10.49936841976802</v>
      </c>
      <c r="AN37" s="15">
        <f t="shared" si="3"/>
        <v>9.1637600250149855</v>
      </c>
      <c r="AO37" s="15">
        <f t="shared" si="24"/>
        <v>4.7138381568677081</v>
      </c>
      <c r="AP37" s="15">
        <f t="shared" si="25"/>
        <v>0.17898183580191029</v>
      </c>
      <c r="AQ37" s="20">
        <f t="shared" si="4"/>
        <v>4.4750315790108672E-2</v>
      </c>
      <c r="AR37" s="13">
        <f t="shared" si="5"/>
        <v>280556695.75559354</v>
      </c>
      <c r="AS37" s="13">
        <f t="shared" si="26"/>
        <v>1.8038832491268581E-3</v>
      </c>
      <c r="AT37" s="15">
        <f t="shared" si="6"/>
        <v>671.5397937276922</v>
      </c>
      <c r="AU37" s="13">
        <f t="shared" si="7"/>
        <v>24868.131006888543</v>
      </c>
      <c r="AV37" s="339"/>
      <c r="AW37" s="339"/>
      <c r="AX37" s="339"/>
      <c r="AY37" s="339"/>
      <c r="AZ37" s="339"/>
      <c r="BA37" s="331"/>
      <c r="BB37" s="331"/>
      <c r="BC37" s="331"/>
      <c r="BD37" s="339"/>
      <c r="BE37" s="339"/>
      <c r="BF37" s="339"/>
      <c r="BG37" s="339"/>
      <c r="BH37" s="337"/>
      <c r="BI37" s="331"/>
      <c r="BJ37" s="331"/>
      <c r="BK37" s="331"/>
      <c r="BL37" s="23">
        <f t="shared" si="8"/>
        <v>-3.4174472043805762E-2</v>
      </c>
      <c r="BM37" s="24">
        <f t="shared" si="9"/>
        <v>2223.4706934664368</v>
      </c>
      <c r="BN37" s="24">
        <f t="shared" si="10"/>
        <v>8090.2412505084048</v>
      </c>
      <c r="BO37" s="24">
        <f t="shared" si="11"/>
        <v>62.792021478578526</v>
      </c>
      <c r="BP37" s="24">
        <f t="shared" si="27"/>
        <v>72.210824700365308</v>
      </c>
      <c r="BQ37" s="23">
        <f t="shared" si="28"/>
        <v>340.39014081146718</v>
      </c>
      <c r="BR37" s="23">
        <f t="shared" si="12"/>
        <v>3.36933006026065</v>
      </c>
      <c r="BS37" s="6">
        <f t="shared" si="13"/>
        <v>820.37174924660258</v>
      </c>
      <c r="BT37" s="23">
        <f t="shared" si="14"/>
        <v>837.11402984347205</v>
      </c>
      <c r="BU37" s="22">
        <f t="shared" si="15"/>
        <v>1067.747487045245</v>
      </c>
      <c r="BV37" s="22">
        <f t="shared" si="16"/>
        <v>50.845118430725954</v>
      </c>
      <c r="BW37" s="23">
        <f t="shared" si="29"/>
        <v>8.5625410715030464E-3</v>
      </c>
      <c r="BX37" s="331"/>
      <c r="BY37" s="361"/>
      <c r="BZ37" s="361"/>
      <c r="CA37" s="361"/>
      <c r="CD37" s="31">
        <v>65</v>
      </c>
      <c r="CF37" s="361"/>
    </row>
    <row r="38" spans="3:84" ht="15" customHeight="1" x14ac:dyDescent="0.3">
      <c r="C38" s="13"/>
      <c r="D38" s="379"/>
      <c r="E38" s="379"/>
      <c r="F38" s="19" t="s">
        <v>128</v>
      </c>
      <c r="G38" s="257"/>
      <c r="H38" s="54">
        <v>0.58888888888888802</v>
      </c>
      <c r="I38" s="46">
        <v>-8.7402580000000007</v>
      </c>
      <c r="J38" s="46">
        <v>116.05916000000001</v>
      </c>
      <c r="K38" s="13">
        <f t="shared" si="17"/>
        <v>-0.15254627957377456</v>
      </c>
      <c r="L38" s="13">
        <f t="shared" si="17"/>
        <v>2.0256144690989024</v>
      </c>
      <c r="M38" s="13">
        <v>3443</v>
      </c>
      <c r="N38" s="71">
        <f t="shared" si="30"/>
        <v>0.40785881061070867</v>
      </c>
      <c r="O38" s="339"/>
      <c r="P38" s="339"/>
      <c r="Q38" s="437"/>
      <c r="R38" s="15">
        <f t="shared" si="31"/>
        <v>4.9999999999991829E-2</v>
      </c>
      <c r="S38" s="331"/>
      <c r="T38" s="20">
        <f t="shared" si="18"/>
        <v>8.1571762122155071</v>
      </c>
      <c r="U38" s="347"/>
      <c r="V38" s="15">
        <f t="shared" si="19"/>
        <v>4.1960514435636567</v>
      </c>
      <c r="W38" s="15">
        <f t="shared" si="32"/>
        <v>-5.4641421874044055E-5</v>
      </c>
      <c r="X38" s="15">
        <f t="shared" si="33"/>
        <v>1.0667452388135601E-4</v>
      </c>
      <c r="Y38" s="13">
        <f t="shared" si="34"/>
        <v>2.0441765114121488</v>
      </c>
      <c r="Z38" s="13">
        <f t="shared" si="35"/>
        <v>117.12268668369229</v>
      </c>
      <c r="AA38" s="13">
        <f t="shared" si="36"/>
        <v>242.87731331630772</v>
      </c>
      <c r="AB38" s="13">
        <v>120</v>
      </c>
      <c r="AC38" s="13">
        <v>13</v>
      </c>
      <c r="AD38" s="13">
        <f t="shared" si="20"/>
        <v>4</v>
      </c>
      <c r="AE38" s="16">
        <f t="shared" si="21"/>
        <v>122.87731331630772</v>
      </c>
      <c r="AF38" s="15">
        <f t="shared" si="0"/>
        <v>0.15932175978381941</v>
      </c>
      <c r="AG38" s="366"/>
      <c r="AH38" s="331"/>
      <c r="AI38" s="339"/>
      <c r="AJ38" s="13">
        <f t="shared" si="1"/>
        <v>1.7160617803687566</v>
      </c>
      <c r="AK38" s="13">
        <f t="shared" si="22"/>
        <v>0.33</v>
      </c>
      <c r="AL38" s="15">
        <f t="shared" ref="AL38:AL69" si="37">IF($T$21="ALL SHIP TYPE LOADED",(0.5*AD38+AD38^6.5)/(2.2*$G$5^(2/3)),IF($T$22="ALL SHIP TYPE BALLAST",(0.7*AD38+AD38^6.5)/(2.7*I12^(2/3)),IF($T$23="CONTAINER NORMAL",(0.7*AD38+AD38^6.5)/(2.2*$G$5^(2/3)))))</f>
        <v>18.610006994007279</v>
      </c>
      <c r="AM38" s="15">
        <f t="shared" si="23"/>
        <v>10.538854172487676</v>
      </c>
      <c r="AN38" s="15">
        <f t="shared" si="3"/>
        <v>9.1181217686873186</v>
      </c>
      <c r="AO38" s="15">
        <f t="shared" si="24"/>
        <v>4.6903618378127563</v>
      </c>
      <c r="AP38" s="15">
        <f t="shared" si="25"/>
        <v>0.17809045291125994</v>
      </c>
      <c r="AQ38" s="20">
        <f t="shared" si="4"/>
        <v>4.4730572913748844E-2</v>
      </c>
      <c r="AR38" s="13">
        <f t="shared" si="5"/>
        <v>279159439.78638607</v>
      </c>
      <c r="AS38" s="13">
        <f t="shared" si="26"/>
        <v>1.8050970696216616E-3</v>
      </c>
      <c r="AT38" s="15">
        <f t="shared" si="6"/>
        <v>665.31489823190668</v>
      </c>
      <c r="AU38" s="13">
        <f t="shared" si="7"/>
        <v>24637.613741732763</v>
      </c>
      <c r="AV38" s="339"/>
      <c r="AW38" s="339"/>
      <c r="AX38" s="339"/>
      <c r="AY38" s="339"/>
      <c r="AZ38" s="339"/>
      <c r="BA38" s="331"/>
      <c r="BB38" s="331"/>
      <c r="BC38" s="331"/>
      <c r="BD38" s="339"/>
      <c r="BE38" s="339"/>
      <c r="BF38" s="339"/>
      <c r="BG38" s="339"/>
      <c r="BH38" s="337"/>
      <c r="BI38" s="331"/>
      <c r="BJ38" s="331"/>
      <c r="BK38" s="331"/>
      <c r="BL38" s="23">
        <f t="shared" si="8"/>
        <v>-3.312047786904828E-2</v>
      </c>
      <c r="BM38" s="24">
        <f t="shared" si="9"/>
        <v>2110.2140387194486</v>
      </c>
      <c r="BN38" s="24">
        <f t="shared" si="10"/>
        <v>8009.8582900431438</v>
      </c>
      <c r="BO38" s="24">
        <f t="shared" si="11"/>
        <v>62.111929689273886</v>
      </c>
      <c r="BP38" s="24">
        <f t="shared" si="27"/>
        <v>71.428719142664974</v>
      </c>
      <c r="BQ38" s="23">
        <f t="shared" si="28"/>
        <v>335.02653839060127</v>
      </c>
      <c r="BR38" s="23">
        <f t="shared" si="12"/>
        <v>3.3525497922786283</v>
      </c>
      <c r="BS38" s="6">
        <f t="shared" si="13"/>
        <v>807.44497090402353</v>
      </c>
      <c r="BT38" s="23">
        <f t="shared" si="14"/>
        <v>823.92343969798321</v>
      </c>
      <c r="BU38" s="22">
        <f t="shared" si="15"/>
        <v>1050.9227547168152</v>
      </c>
      <c r="BV38" s="22">
        <f t="shared" si="16"/>
        <v>50.043940700800725</v>
      </c>
      <c r="BW38" s="23">
        <f t="shared" si="29"/>
        <v>8.4239011416588298E-3</v>
      </c>
      <c r="BX38" s="331"/>
      <c r="BY38" s="362"/>
      <c r="BZ38" s="362"/>
      <c r="CA38" s="362"/>
      <c r="CD38" s="31">
        <v>80</v>
      </c>
      <c r="CF38" s="362"/>
    </row>
    <row r="39" spans="3:84" ht="15.75" x14ac:dyDescent="0.3">
      <c r="C39" s="13">
        <v>2</v>
      </c>
      <c r="D39" s="379"/>
      <c r="E39" s="379"/>
      <c r="F39" s="19" t="s">
        <v>128</v>
      </c>
      <c r="G39" s="255">
        <v>0.59027777777777779</v>
      </c>
      <c r="H39" s="54">
        <v>0.59027777777777779</v>
      </c>
      <c r="I39" s="46">
        <v>-8.7406889999999997</v>
      </c>
      <c r="J39" s="46">
        <v>116.056029</v>
      </c>
      <c r="K39" s="13">
        <f t="shared" si="17"/>
        <v>-0.15255380194285065</v>
      </c>
      <c r="L39" s="13">
        <f t="shared" si="17"/>
        <v>2.0255598228400222</v>
      </c>
      <c r="M39" s="13">
        <v>3443</v>
      </c>
      <c r="N39" s="71">
        <f t="shared" si="30"/>
        <v>0.18775696896467522</v>
      </c>
      <c r="O39" s="398"/>
      <c r="P39" s="398"/>
      <c r="Q39" s="437"/>
      <c r="R39" s="15">
        <f t="shared" si="31"/>
        <v>3.3333333333354531E-2</v>
      </c>
      <c r="S39" s="358"/>
      <c r="T39" s="20">
        <f t="shared" si="18"/>
        <v>5.6327090689366743</v>
      </c>
      <c r="U39" s="348"/>
      <c r="V39" s="15">
        <f t="shared" si="19"/>
        <v>2.8974655450610252</v>
      </c>
      <c r="W39" s="15">
        <f t="shared" si="32"/>
        <v>-7.6116886824643313E-6</v>
      </c>
      <c r="X39" s="15">
        <f t="shared" si="33"/>
        <v>5.4646258880186593E-5</v>
      </c>
      <c r="Y39" s="13">
        <f t="shared" si="34"/>
        <v>1.7091960515302769</v>
      </c>
      <c r="Z39" s="13">
        <f t="shared" si="35"/>
        <v>97.929720113109639</v>
      </c>
      <c r="AA39" s="13">
        <f t="shared" si="36"/>
        <v>262.07027988689038</v>
      </c>
      <c r="AB39" s="13">
        <v>120</v>
      </c>
      <c r="AC39" s="13">
        <v>13</v>
      </c>
      <c r="AD39" s="13">
        <f t="shared" si="20"/>
        <v>4</v>
      </c>
      <c r="AE39" s="16">
        <f t="shared" si="21"/>
        <v>142.07027988689038</v>
      </c>
      <c r="AF39" s="15">
        <f t="shared" si="0"/>
        <v>0.11001516920394325</v>
      </c>
      <c r="AG39" s="366"/>
      <c r="AH39" s="331"/>
      <c r="AI39" s="339"/>
      <c r="AJ39" s="13">
        <f t="shared" si="1"/>
        <v>2.0525451594677318</v>
      </c>
      <c r="AK39" s="13">
        <f t="shared" si="22"/>
        <v>0.33</v>
      </c>
      <c r="AL39" s="15">
        <f t="shared" si="37"/>
        <v>18.610006994007279</v>
      </c>
      <c r="AM39" s="15">
        <f t="shared" si="23"/>
        <v>12.605300325159391</v>
      </c>
      <c r="AN39" s="15">
        <f t="shared" si="3"/>
        <v>6.4451380803339857</v>
      </c>
      <c r="AO39" s="15">
        <f t="shared" si="24"/>
        <v>3.3153790285238021</v>
      </c>
      <c r="AP39" s="15">
        <f t="shared" si="25"/>
        <v>0.12588311375090711</v>
      </c>
      <c r="AQ39" s="20">
        <f t="shared" si="4"/>
        <v>2.9131566558298731E-2</v>
      </c>
      <c r="AR39" s="13">
        <f t="shared" si="5"/>
        <v>197323657.38201392</v>
      </c>
      <c r="AS39" s="13">
        <f t="shared" si="26"/>
        <v>1.8925400320487242E-3</v>
      </c>
      <c r="AT39" s="15">
        <f t="shared" si="6"/>
        <v>348.51818114686137</v>
      </c>
      <c r="AU39" s="13">
        <f t="shared" si="7"/>
        <v>12906.153690360616</v>
      </c>
      <c r="AV39" s="339"/>
      <c r="AW39" s="339"/>
      <c r="AX39" s="339"/>
      <c r="AY39" s="339"/>
      <c r="AZ39" s="339"/>
      <c r="BA39" s="331"/>
      <c r="BB39" s="331"/>
      <c r="BC39" s="331"/>
      <c r="BD39" s="339"/>
      <c r="BE39" s="339"/>
      <c r="BF39" s="339"/>
      <c r="BG39" s="339"/>
      <c r="BH39" s="337"/>
      <c r="BI39" s="331"/>
      <c r="BJ39" s="331"/>
      <c r="BK39" s="331"/>
      <c r="BL39" s="23">
        <f t="shared" si="8"/>
        <v>-1.4085983450104901E-3</v>
      </c>
      <c r="BM39" s="24">
        <f t="shared" si="9"/>
        <v>33.616952480724784</v>
      </c>
      <c r="BN39" s="24">
        <f t="shared" si="10"/>
        <v>4002.0131320164182</v>
      </c>
      <c r="BO39" s="24">
        <f t="shared" si="11"/>
        <v>31.271015328217306</v>
      </c>
      <c r="BP39" s="24">
        <f t="shared" si="27"/>
        <v>35.961667627449899</v>
      </c>
      <c r="BQ39" s="23">
        <f t="shared" si="28"/>
        <v>119.22655868279071</v>
      </c>
      <c r="BR39" s="23">
        <f t="shared" si="12"/>
        <v>2.3697475072809326</v>
      </c>
      <c r="BS39" s="6">
        <f t="shared" si="13"/>
        <v>287.34704321952751</v>
      </c>
      <c r="BT39" s="23">
        <f t="shared" si="14"/>
        <v>293.21126859135461</v>
      </c>
      <c r="BU39" s="22">
        <f t="shared" si="15"/>
        <v>373.9939650399931</v>
      </c>
      <c r="BV39" s="22">
        <f t="shared" si="16"/>
        <v>17.80923643047586</v>
      </c>
      <c r="BW39" s="23">
        <f t="shared" si="29"/>
        <v>1.9523893912256577E-3</v>
      </c>
      <c r="BX39" s="331"/>
      <c r="BY39" s="360">
        <f t="shared" ref="BY39" si="38">SUM(BW40:BW45)*1000</f>
        <v>50.231218554035379</v>
      </c>
      <c r="BZ39" s="360">
        <v>45</v>
      </c>
      <c r="CA39" s="360">
        <f>AVERAGE(AN39:AN45)</f>
        <v>8.4088806589644349</v>
      </c>
      <c r="CD39" s="31">
        <v>80</v>
      </c>
    </row>
    <row r="40" spans="3:84" ht="15.75" x14ac:dyDescent="0.3">
      <c r="C40" s="13"/>
      <c r="D40" s="379"/>
      <c r="E40" s="379"/>
      <c r="F40" s="19" t="s">
        <v>128</v>
      </c>
      <c r="G40" s="256"/>
      <c r="H40" s="55">
        <v>0.59236111111111112</v>
      </c>
      <c r="I40" s="46">
        <v>-8.7364650000000008</v>
      </c>
      <c r="J40" s="46">
        <v>116.050685</v>
      </c>
      <c r="K40" s="13">
        <f t="shared" si="17"/>
        <v>-0.15248007923524642</v>
      </c>
      <c r="L40" s="13">
        <f t="shared" si="17"/>
        <v>2.0254665524447955</v>
      </c>
      <c r="M40" s="13">
        <v>3443</v>
      </c>
      <c r="N40" s="71">
        <f t="shared" si="30"/>
        <v>0.40641415903371358</v>
      </c>
      <c r="O40" s="357">
        <f t="shared" ref="O40" si="39">SUM(N40:N46)</f>
        <v>2.8329370814548223</v>
      </c>
      <c r="P40" s="338">
        <v>2.93</v>
      </c>
      <c r="Q40" s="437">
        <f t="shared" ref="Q40" si="40">ABS((O40-P40)/P40*100%)</f>
        <v>3.3127275953985631E-2</v>
      </c>
      <c r="R40" s="15">
        <f t="shared" si="31"/>
        <v>4.9999999999999822E-2</v>
      </c>
      <c r="S40" s="357">
        <f t="shared" ref="S40" si="41">SUM(R40:R46)</f>
        <v>0.33333333333333215</v>
      </c>
      <c r="T40" s="20">
        <f t="shared" si="18"/>
        <v>8.1282831806743001</v>
      </c>
      <c r="U40" s="346">
        <f t="shared" ref="U40" si="42">AVERAGE(T40:T46)</f>
        <v>8.575380633158721</v>
      </c>
      <c r="V40" s="15">
        <f t="shared" si="19"/>
        <v>4.18118886813886</v>
      </c>
      <c r="W40" s="15">
        <f t="shared" si="32"/>
        <v>7.4597699614819491E-5</v>
      </c>
      <c r="X40" s="15">
        <f t="shared" si="33"/>
        <v>9.3270395226774383E-5</v>
      </c>
      <c r="Y40" s="13">
        <f t="shared" si="34"/>
        <v>0.89617710240331683</v>
      </c>
      <c r="Z40" s="13">
        <f t="shared" si="35"/>
        <v>51.347165663973442</v>
      </c>
      <c r="AA40" s="13">
        <f t="shared" si="36"/>
        <v>308.65283433602656</v>
      </c>
      <c r="AB40" s="13">
        <v>120</v>
      </c>
      <c r="AC40" s="13">
        <v>13</v>
      </c>
      <c r="AD40" s="13">
        <f t="shared" si="20"/>
        <v>4</v>
      </c>
      <c r="AE40" s="16">
        <f t="shared" si="21"/>
        <v>171.34716566397344</v>
      </c>
      <c r="AF40" s="15">
        <f t="shared" si="0"/>
        <v>0.15875743598954598</v>
      </c>
      <c r="AG40" s="366"/>
      <c r="AH40" s="331"/>
      <c r="AI40" s="339"/>
      <c r="AJ40" s="13">
        <f t="shared" si="1"/>
        <v>1.7202319744477725</v>
      </c>
      <c r="AK40" s="13">
        <f t="shared" si="22"/>
        <v>-3.999999999999998E-2</v>
      </c>
      <c r="AL40" s="15">
        <f t="shared" si="37"/>
        <v>18.610006994007279</v>
      </c>
      <c r="AM40" s="15">
        <f t="shared" si="23"/>
        <v>-1.2805411630315191</v>
      </c>
      <c r="AN40" s="15">
        <f t="shared" si="3"/>
        <v>8.0255131808490088</v>
      </c>
      <c r="AO40" s="15">
        <f t="shared" si="24"/>
        <v>4.1283239802287302</v>
      </c>
      <c r="AP40" s="15">
        <f t="shared" si="25"/>
        <v>0.1567501853430994</v>
      </c>
      <c r="AQ40" s="20">
        <f t="shared" si="4"/>
        <v>5.064027058151558E-2</v>
      </c>
      <c r="AR40" s="13">
        <f t="shared" si="5"/>
        <v>245708252.24750242</v>
      </c>
      <c r="AS40" s="13">
        <f t="shared" si="26"/>
        <v>1.8365488881215181E-3</v>
      </c>
      <c r="AT40" s="15">
        <f t="shared" si="6"/>
        <v>524.40162673884777</v>
      </c>
      <c r="AU40" s="13">
        <f t="shared" si="7"/>
        <v>19419.382850832488</v>
      </c>
      <c r="AV40" s="339"/>
      <c r="AW40" s="339"/>
      <c r="AX40" s="339"/>
      <c r="AY40" s="339"/>
      <c r="AZ40" s="339"/>
      <c r="BA40" s="331"/>
      <c r="BB40" s="331"/>
      <c r="BC40" s="331"/>
      <c r="BD40" s="339"/>
      <c r="BE40" s="339"/>
      <c r="BF40" s="339"/>
      <c r="BG40" s="339"/>
      <c r="BH40" s="337"/>
      <c r="BI40" s="331"/>
      <c r="BJ40" s="331"/>
      <c r="BK40" s="331"/>
      <c r="BL40" s="23">
        <f t="shared" si="8"/>
        <v>-1.3239600693481896E-2</v>
      </c>
      <c r="BM40" s="24">
        <f t="shared" si="9"/>
        <v>524.99990569658712</v>
      </c>
      <c r="BN40" s="24">
        <f t="shared" si="10"/>
        <v>6205.2556959308067</v>
      </c>
      <c r="BO40" s="24">
        <f t="shared" si="11"/>
        <v>47.71027070347278</v>
      </c>
      <c r="BP40" s="24">
        <f t="shared" si="27"/>
        <v>54.866811308993697</v>
      </c>
      <c r="BQ40" s="23">
        <f t="shared" si="28"/>
        <v>226.50797284560358</v>
      </c>
      <c r="BR40" s="23">
        <f t="shared" si="12"/>
        <v>2.9508196128486479</v>
      </c>
      <c r="BS40" s="6">
        <f t="shared" si="13"/>
        <v>545.90518238473544</v>
      </c>
      <c r="BT40" s="23">
        <f t="shared" si="14"/>
        <v>557.04610447421987</v>
      </c>
      <c r="BU40" s="22">
        <f t="shared" si="15"/>
        <v>710.51799040079061</v>
      </c>
      <c r="BV40" s="22">
        <f t="shared" si="16"/>
        <v>33.83419001908527</v>
      </c>
      <c r="BW40" s="23">
        <f t="shared" si="29"/>
        <v>6.4477635330179852E-3</v>
      </c>
      <c r="BX40" s="331"/>
      <c r="BY40" s="361"/>
      <c r="BZ40" s="361"/>
      <c r="CA40" s="361"/>
      <c r="CD40" s="31">
        <v>60</v>
      </c>
    </row>
    <row r="41" spans="3:84" ht="15.75" x14ac:dyDescent="0.3">
      <c r="C41" s="13"/>
      <c r="D41" s="379"/>
      <c r="E41" s="379"/>
      <c r="F41" s="19" t="s">
        <v>128</v>
      </c>
      <c r="G41" s="256"/>
      <c r="H41" s="55">
        <v>0.59444444444444444</v>
      </c>
      <c r="I41" s="46">
        <v>-8.7309020000000004</v>
      </c>
      <c r="J41" s="46">
        <v>116.050888</v>
      </c>
      <c r="K41" s="13">
        <f t="shared" si="17"/>
        <v>-0.15238298656895796</v>
      </c>
      <c r="L41" s="13">
        <f t="shared" si="17"/>
        <v>2.0254700954631772</v>
      </c>
      <c r="M41" s="13">
        <v>3443</v>
      </c>
      <c r="N41" s="71">
        <f t="shared" si="30"/>
        <v>0.33450741818657398</v>
      </c>
      <c r="O41" s="339"/>
      <c r="P41" s="339"/>
      <c r="Q41" s="437"/>
      <c r="R41" s="15">
        <f t="shared" si="31"/>
        <v>4.9999999999999822E-2</v>
      </c>
      <c r="S41" s="331"/>
      <c r="T41" s="20">
        <f t="shared" si="18"/>
        <v>6.6901483637315033</v>
      </c>
      <c r="U41" s="347"/>
      <c r="V41" s="15">
        <f t="shared" si="19"/>
        <v>3.441412318303485</v>
      </c>
      <c r="W41" s="15">
        <f t="shared" si="32"/>
        <v>9.8243732893326825E-5</v>
      </c>
      <c r="X41" s="15">
        <f t="shared" si="33"/>
        <v>3.5430183817908301E-6</v>
      </c>
      <c r="Y41" s="13">
        <f t="shared" si="34"/>
        <v>3.6047933867530163E-2</v>
      </c>
      <c r="Z41" s="13">
        <f t="shared" si="35"/>
        <v>2.0653944707761811</v>
      </c>
      <c r="AA41" s="13">
        <f t="shared" si="36"/>
        <v>357.9346055292238</v>
      </c>
      <c r="AB41" s="13">
        <v>120</v>
      </c>
      <c r="AC41" s="13">
        <v>13</v>
      </c>
      <c r="AD41" s="13">
        <f t="shared" si="20"/>
        <v>4</v>
      </c>
      <c r="AE41" s="16">
        <f t="shared" si="21"/>
        <v>122.0653944707762</v>
      </c>
      <c r="AF41" s="15">
        <f t="shared" si="0"/>
        <v>0.13066852827432621</v>
      </c>
      <c r="AG41" s="366"/>
      <c r="AH41" s="331"/>
      <c r="AI41" s="339"/>
      <c r="AJ41" s="13">
        <f t="shared" si="1"/>
        <v>1.918464979721004</v>
      </c>
      <c r="AK41" s="13">
        <f t="shared" si="22"/>
        <v>0.33</v>
      </c>
      <c r="AL41" s="15">
        <f t="shared" si="37"/>
        <v>18.610006994007279</v>
      </c>
      <c r="AM41" s="15">
        <f t="shared" si="23"/>
        <v>11.781873407820754</v>
      </c>
      <c r="AN41" s="15">
        <f t="shared" si="3"/>
        <v>7.583643659379864</v>
      </c>
      <c r="AO41" s="15">
        <f t="shared" si="24"/>
        <v>3.9010262983850019</v>
      </c>
      <c r="AP41" s="15">
        <f t="shared" si="25"/>
        <v>0.1481198176859837</v>
      </c>
      <c r="AQ41" s="20">
        <f t="shared" si="4"/>
        <v>4.4109063296089469E-2</v>
      </c>
      <c r="AR41" s="13">
        <f t="shared" si="5"/>
        <v>232180022.28948519</v>
      </c>
      <c r="AS41" s="13">
        <f t="shared" si="26"/>
        <v>1.8507676217996308E-3</v>
      </c>
      <c r="AT41" s="15">
        <f t="shared" si="6"/>
        <v>471.87138453225015</v>
      </c>
      <c r="AU41" s="13">
        <f t="shared" si="7"/>
        <v>17474.108784844721</v>
      </c>
      <c r="AV41" s="339"/>
      <c r="AW41" s="339"/>
      <c r="AX41" s="339"/>
      <c r="AY41" s="339"/>
      <c r="AZ41" s="339"/>
      <c r="BA41" s="331"/>
      <c r="BB41" s="331"/>
      <c r="BC41" s="331"/>
      <c r="BD41" s="339"/>
      <c r="BE41" s="339"/>
      <c r="BF41" s="339"/>
      <c r="BG41" s="339"/>
      <c r="BH41" s="337"/>
      <c r="BI41" s="331"/>
      <c r="BJ41" s="331"/>
      <c r="BK41" s="331"/>
      <c r="BL41" s="23">
        <f t="shared" si="8"/>
        <v>-8.1264207277497846E-3</v>
      </c>
      <c r="BM41" s="24">
        <f t="shared" si="9"/>
        <v>272.02360061016492</v>
      </c>
      <c r="BN41" s="24">
        <f t="shared" si="10"/>
        <v>5540.7670751230835</v>
      </c>
      <c r="BO41" s="24">
        <f t="shared" si="11"/>
        <v>42.687764890659324</v>
      </c>
      <c r="BP41" s="24">
        <f t="shared" si="27"/>
        <v>49.090929624258223</v>
      </c>
      <c r="BQ41" s="23">
        <f t="shared" si="28"/>
        <v>191.5050074763987</v>
      </c>
      <c r="BR41" s="23">
        <f t="shared" si="12"/>
        <v>2.7883530862989692</v>
      </c>
      <c r="BS41" s="6">
        <f t="shared" si="13"/>
        <v>461.54479562295325</v>
      </c>
      <c r="BT41" s="23">
        <f t="shared" si="14"/>
        <v>470.96407716627886</v>
      </c>
      <c r="BU41" s="22">
        <f t="shared" si="15"/>
        <v>600.71948618147815</v>
      </c>
      <c r="BV41" s="22">
        <f t="shared" si="16"/>
        <v>28.605689818165626</v>
      </c>
      <c r="BW41" s="23">
        <f t="shared" si="29"/>
        <v>4.7482935519798314E-3</v>
      </c>
      <c r="BX41" s="331"/>
      <c r="BY41" s="361"/>
      <c r="BZ41" s="361"/>
      <c r="CA41" s="361"/>
      <c r="CD41" s="31">
        <v>60</v>
      </c>
    </row>
    <row r="42" spans="3:84" ht="15.75" x14ac:dyDescent="0.3">
      <c r="C42" s="13"/>
      <c r="D42" s="379"/>
      <c r="E42" s="379"/>
      <c r="F42" s="19" t="s">
        <v>128</v>
      </c>
      <c r="G42" s="256"/>
      <c r="H42" s="55">
        <v>0.59652777777777777</v>
      </c>
      <c r="I42" s="46">
        <v>-8.7245310000000007</v>
      </c>
      <c r="J42" s="46">
        <v>116.050591</v>
      </c>
      <c r="K42" s="13">
        <f t="shared" si="17"/>
        <v>-0.15227179164231341</v>
      </c>
      <c r="L42" s="13">
        <f t="shared" si="17"/>
        <v>2.0254649118352988</v>
      </c>
      <c r="M42" s="13">
        <v>3443</v>
      </c>
      <c r="N42" s="71">
        <f t="shared" si="30"/>
        <v>0.38325033525193752</v>
      </c>
      <c r="O42" s="339"/>
      <c r="P42" s="339"/>
      <c r="Q42" s="437"/>
      <c r="R42" s="15">
        <f t="shared" si="31"/>
        <v>4.9999999999999822E-2</v>
      </c>
      <c r="S42" s="331"/>
      <c r="T42" s="20">
        <f t="shared" si="18"/>
        <v>7.6650067050387776</v>
      </c>
      <c r="U42" s="347"/>
      <c r="V42" s="15">
        <f t="shared" si="19"/>
        <v>3.9428794490719468</v>
      </c>
      <c r="W42" s="15">
        <f t="shared" si="32"/>
        <v>1.1251137135912124E-4</v>
      </c>
      <c r="X42" s="15">
        <f t="shared" si="33"/>
        <v>5.1836278784911372E-6</v>
      </c>
      <c r="Y42" s="13">
        <f t="shared" si="34"/>
        <v>4.6039478803959887E-2</v>
      </c>
      <c r="Z42" s="13">
        <f t="shared" si="35"/>
        <v>2.6378678264489128</v>
      </c>
      <c r="AA42" s="13">
        <f t="shared" si="36"/>
        <v>357.36213217355106</v>
      </c>
      <c r="AB42" s="13">
        <v>120</v>
      </c>
      <c r="AC42" s="13">
        <v>13</v>
      </c>
      <c r="AD42" s="13">
        <f t="shared" si="20"/>
        <v>4</v>
      </c>
      <c r="AE42" s="16">
        <f t="shared" si="21"/>
        <v>122.63786782644894</v>
      </c>
      <c r="AF42" s="15">
        <f t="shared" si="0"/>
        <v>0.14970895874147996</v>
      </c>
      <c r="AG42" s="366"/>
      <c r="AH42" s="331"/>
      <c r="AI42" s="339"/>
      <c r="AJ42" s="13">
        <f t="shared" si="1"/>
        <v>1.7860886936580098</v>
      </c>
      <c r="AK42" s="13">
        <f t="shared" si="22"/>
        <v>0.33</v>
      </c>
      <c r="AL42" s="15">
        <f t="shared" si="37"/>
        <v>18.610006994007279</v>
      </c>
      <c r="AM42" s="15">
        <f t="shared" si="23"/>
        <v>10.968910616694654</v>
      </c>
      <c r="AN42" s="15">
        <f t="shared" si="3"/>
        <v>8.6093596721462564</v>
      </c>
      <c r="AO42" s="15">
        <f t="shared" si="24"/>
        <v>4.4286546153520341</v>
      </c>
      <c r="AP42" s="15">
        <f t="shared" si="25"/>
        <v>0.1681535739689069</v>
      </c>
      <c r="AQ42" s="20">
        <f t="shared" si="4"/>
        <v>4.4515544691652517E-2</v>
      </c>
      <c r="AR42" s="13">
        <f t="shared" si="5"/>
        <v>263583233.9122023</v>
      </c>
      <c r="AS42" s="13">
        <f t="shared" si="26"/>
        <v>1.819143862427931E-3</v>
      </c>
      <c r="AT42" s="15">
        <f t="shared" si="6"/>
        <v>597.75698652547055</v>
      </c>
      <c r="AU42" s="13">
        <f t="shared" si="7"/>
        <v>22135.842417740732</v>
      </c>
      <c r="AV42" s="339"/>
      <c r="AW42" s="339"/>
      <c r="AX42" s="339"/>
      <c r="AY42" s="339"/>
      <c r="AZ42" s="339"/>
      <c r="BA42" s="331"/>
      <c r="BB42" s="331"/>
      <c r="BC42" s="331"/>
      <c r="BD42" s="339"/>
      <c r="BE42" s="339"/>
      <c r="BF42" s="339"/>
      <c r="BG42" s="339"/>
      <c r="BH42" s="337"/>
      <c r="BI42" s="331"/>
      <c r="BJ42" s="331"/>
      <c r="BK42" s="331"/>
      <c r="BL42" s="23">
        <f t="shared" si="8"/>
        <v>-2.2567223661818493E-2</v>
      </c>
      <c r="BM42" s="24">
        <f t="shared" si="9"/>
        <v>1143.8742217666781</v>
      </c>
      <c r="BN42" s="24">
        <f t="shared" si="10"/>
        <v>7140.9461902934336</v>
      </c>
      <c r="BO42" s="24">
        <f t="shared" si="11"/>
        <v>54.997281026234425</v>
      </c>
      <c r="BP42" s="24">
        <f t="shared" si="27"/>
        <v>63.246873180169587</v>
      </c>
      <c r="BQ42" s="23">
        <f t="shared" si="28"/>
        <v>280.0985568159428</v>
      </c>
      <c r="BR42" s="23">
        <f t="shared" si="12"/>
        <v>3.1654882126740023</v>
      </c>
      <c r="BS42" s="6">
        <f t="shared" si="13"/>
        <v>675.06345062977459</v>
      </c>
      <c r="BT42" s="23">
        <f t="shared" si="14"/>
        <v>688.84025574466796</v>
      </c>
      <c r="BU42" s="22">
        <f t="shared" si="15"/>
        <v>878.62277518452538</v>
      </c>
      <c r="BV42" s="22">
        <f t="shared" si="16"/>
        <v>41.839179770691686</v>
      </c>
      <c r="BW42" s="23">
        <f t="shared" si="29"/>
        <v>7.0089369577168254E-3</v>
      </c>
      <c r="BX42" s="331"/>
      <c r="BY42" s="361"/>
      <c r="BZ42" s="361"/>
      <c r="CA42" s="361"/>
      <c r="CD42" s="31">
        <v>50</v>
      </c>
    </row>
    <row r="43" spans="3:84" ht="15.75" x14ac:dyDescent="0.3">
      <c r="C43" s="13"/>
      <c r="D43" s="379"/>
      <c r="E43" s="379"/>
      <c r="F43" s="19" t="s">
        <v>128</v>
      </c>
      <c r="G43" s="256"/>
      <c r="H43" s="55">
        <v>0.59861111111111109</v>
      </c>
      <c r="I43" s="46">
        <v>-8.7171219999999998</v>
      </c>
      <c r="J43" s="46">
        <v>116.047129</v>
      </c>
      <c r="K43" s="13">
        <f t="shared" si="17"/>
        <v>-0.15214248019803314</v>
      </c>
      <c r="L43" s="13">
        <f t="shared" si="17"/>
        <v>2.0254044885365947</v>
      </c>
      <c r="M43" s="13">
        <v>3443</v>
      </c>
      <c r="N43" s="71">
        <f t="shared" si="30"/>
        <v>0.49041294352609949</v>
      </c>
      <c r="O43" s="339"/>
      <c r="P43" s="339"/>
      <c r="Q43" s="437"/>
      <c r="R43" s="15">
        <f t="shared" si="31"/>
        <v>4.9999999999999822E-2</v>
      </c>
      <c r="S43" s="331"/>
      <c r="T43" s="20">
        <f t="shared" si="18"/>
        <v>9.8082588705220246</v>
      </c>
      <c r="U43" s="347"/>
      <c r="V43" s="15">
        <f t="shared" si="19"/>
        <v>5.0453683629965296</v>
      </c>
      <c r="W43" s="15">
        <f t="shared" si="32"/>
        <v>1.3083994447407569E-4</v>
      </c>
      <c r="X43" s="15">
        <f t="shared" si="33"/>
        <v>6.042329870403762E-5</v>
      </c>
      <c r="Y43" s="13">
        <f t="shared" si="34"/>
        <v>0.43263226090533391</v>
      </c>
      <c r="Z43" s="13">
        <f t="shared" si="35"/>
        <v>24.788002631078317</v>
      </c>
      <c r="AA43" s="13">
        <f t="shared" si="36"/>
        <v>335.21199736892169</v>
      </c>
      <c r="AB43" s="13">
        <v>120</v>
      </c>
      <c r="AC43" s="13">
        <v>13</v>
      </c>
      <c r="AD43" s="13">
        <f t="shared" si="20"/>
        <v>4</v>
      </c>
      <c r="AE43" s="16">
        <f t="shared" si="21"/>
        <v>144.78800263107831</v>
      </c>
      <c r="AF43" s="15">
        <f t="shared" si="0"/>
        <v>0.19156985493665113</v>
      </c>
      <c r="AG43" s="366"/>
      <c r="AH43" s="331"/>
      <c r="AI43" s="339"/>
      <c r="AJ43" s="13">
        <f t="shared" si="1"/>
        <v>1.4654830286171758</v>
      </c>
      <c r="AK43" s="13">
        <f t="shared" si="22"/>
        <v>0.33</v>
      </c>
      <c r="AL43" s="15">
        <f t="shared" si="37"/>
        <v>18.610006994007279</v>
      </c>
      <c r="AM43" s="15">
        <f t="shared" si="23"/>
        <v>8.9999743060143214</v>
      </c>
      <c r="AN43" s="15">
        <f t="shared" si="3"/>
        <v>10.778303407853066</v>
      </c>
      <c r="AO43" s="15">
        <f t="shared" si="24"/>
        <v>5.5443592729996167</v>
      </c>
      <c r="AP43" s="15">
        <f t="shared" si="25"/>
        <v>0.21051626466662879</v>
      </c>
      <c r="AQ43" s="20">
        <f t="shared" si="4"/>
        <v>4.5500012846992677E-2</v>
      </c>
      <c r="AR43" s="13">
        <f t="shared" si="5"/>
        <v>329987383.0942626</v>
      </c>
      <c r="AS43" s="13">
        <f t="shared" si="26"/>
        <v>1.7650876600790646E-3</v>
      </c>
      <c r="AT43" s="15">
        <f t="shared" si="6"/>
        <v>909.04001379417298</v>
      </c>
      <c r="AU43" s="13">
        <f t="shared" si="7"/>
        <v>33663.122222514176</v>
      </c>
      <c r="AV43" s="339"/>
      <c r="AW43" s="339"/>
      <c r="AX43" s="339"/>
      <c r="AY43" s="339"/>
      <c r="AZ43" s="339"/>
      <c r="BA43" s="331"/>
      <c r="BB43" s="331"/>
      <c r="BC43" s="331"/>
      <c r="BD43" s="339"/>
      <c r="BE43" s="339"/>
      <c r="BF43" s="339"/>
      <c r="BG43" s="339"/>
      <c r="BH43" s="337"/>
      <c r="BI43" s="331"/>
      <c r="BJ43" s="331"/>
      <c r="BK43" s="331"/>
      <c r="BL43" s="23">
        <f t="shared" si="8"/>
        <v>-8.1178319133262275E-2</v>
      </c>
      <c r="BM43" s="24">
        <f t="shared" si="9"/>
        <v>11013.717833068129</v>
      </c>
      <c r="BN43" s="24">
        <f t="shared" si="10"/>
        <v>11192.184653485445</v>
      </c>
      <c r="BO43" s="24">
        <f t="shared" si="11"/>
        <v>93.243961092765119</v>
      </c>
      <c r="BP43" s="24">
        <f t="shared" si="27"/>
        <v>107.23055525667989</v>
      </c>
      <c r="BQ43" s="23">
        <f t="shared" si="28"/>
        <v>594.52472338627092</v>
      </c>
      <c r="BR43" s="23">
        <f t="shared" si="12"/>
        <v>3.962965155302586</v>
      </c>
      <c r="BS43" s="6">
        <f t="shared" si="13"/>
        <v>1432.8596184719952</v>
      </c>
      <c r="BT43" s="23">
        <f t="shared" si="14"/>
        <v>1462.101651502036</v>
      </c>
      <c r="BU43" s="22">
        <f t="shared" si="15"/>
        <v>1864.9255758954541</v>
      </c>
      <c r="BV43" s="22">
        <f t="shared" si="16"/>
        <v>88.80597980454543</v>
      </c>
      <c r="BW43" s="23">
        <f t="shared" si="29"/>
        <v>1.5205861469017565E-2</v>
      </c>
      <c r="BX43" s="331"/>
      <c r="BY43" s="361"/>
      <c r="BZ43" s="361"/>
      <c r="CA43" s="361"/>
      <c r="CD43" s="31">
        <v>60</v>
      </c>
    </row>
    <row r="44" spans="3:84" ht="15.75" x14ac:dyDescent="0.3">
      <c r="C44" s="13"/>
      <c r="D44" s="379"/>
      <c r="E44" s="379"/>
      <c r="F44" s="19" t="s">
        <v>128</v>
      </c>
      <c r="G44" s="256"/>
      <c r="H44" s="55">
        <v>0.60069444444444442</v>
      </c>
      <c r="I44" s="46">
        <v>-8.7136800000000001</v>
      </c>
      <c r="J44" s="46">
        <v>116.041145</v>
      </c>
      <c r="K44" s="13">
        <f t="shared" si="17"/>
        <v>-0.1520824059651795</v>
      </c>
      <c r="L44" s="13">
        <f t="shared" si="17"/>
        <v>2.0253000480341554</v>
      </c>
      <c r="M44" s="13">
        <v>3443</v>
      </c>
      <c r="N44" s="71">
        <f t="shared" si="30"/>
        <v>0.41123727820994321</v>
      </c>
      <c r="O44" s="339"/>
      <c r="P44" s="339"/>
      <c r="Q44" s="437"/>
      <c r="R44" s="15">
        <f t="shared" si="31"/>
        <v>4.9999999999999822E-2</v>
      </c>
      <c r="S44" s="331"/>
      <c r="T44" s="20">
        <f t="shared" si="18"/>
        <v>8.2247455641988942</v>
      </c>
      <c r="U44" s="347"/>
      <c r="V44" s="15">
        <f t="shared" si="19"/>
        <v>4.2308091182239114</v>
      </c>
      <c r="W44" s="15">
        <f t="shared" si="32"/>
        <v>6.0783441018167214E-5</v>
      </c>
      <c r="X44" s="15">
        <f t="shared" si="33"/>
        <v>1.0444050243929581E-4</v>
      </c>
      <c r="Y44" s="13">
        <f t="shared" si="34"/>
        <v>1.0437239359329289</v>
      </c>
      <c r="Z44" s="13">
        <f t="shared" si="35"/>
        <v>59.800976505739555</v>
      </c>
      <c r="AA44" s="13">
        <f t="shared" si="36"/>
        <v>300.19902349426047</v>
      </c>
      <c r="AB44" s="13">
        <v>120</v>
      </c>
      <c r="AC44" s="13">
        <v>13</v>
      </c>
      <c r="AD44" s="13">
        <f t="shared" si="20"/>
        <v>4</v>
      </c>
      <c r="AE44" s="16">
        <f t="shared" si="21"/>
        <v>179.80097650573953</v>
      </c>
      <c r="AF44" s="15">
        <f t="shared" si="0"/>
        <v>0.16064148952673271</v>
      </c>
      <c r="AG44" s="366"/>
      <c r="AH44" s="331"/>
      <c r="AI44" s="339"/>
      <c r="AJ44" s="13">
        <f t="shared" si="1"/>
        <v>1.7062805061256272</v>
      </c>
      <c r="AK44" s="13">
        <f t="shared" si="22"/>
        <v>-3.999999999999998E-2</v>
      </c>
      <c r="AL44" s="15">
        <f t="shared" si="37"/>
        <v>18.610006994007279</v>
      </c>
      <c r="AM44" s="15">
        <f t="shared" si="23"/>
        <v>-1.2701556861094474</v>
      </c>
      <c r="AN44" s="15">
        <f t="shared" si="3"/>
        <v>8.12158874297754</v>
      </c>
      <c r="AO44" s="15">
        <f t="shared" si="24"/>
        <v>4.1777452493876464</v>
      </c>
      <c r="AP44" s="15">
        <f t="shared" si="25"/>
        <v>0.15862668368423058</v>
      </c>
      <c r="AQ44" s="20">
        <f t="shared" si="4"/>
        <v>5.0635077843054543E-2</v>
      </c>
      <c r="AR44" s="13">
        <f t="shared" si="5"/>
        <v>248649691.37075117</v>
      </c>
      <c r="AS44" s="13">
        <f t="shared" si="26"/>
        <v>1.8335819103951097E-3</v>
      </c>
      <c r="AT44" s="15">
        <f t="shared" si="6"/>
        <v>536.16469799411175</v>
      </c>
      <c r="AU44" s="13">
        <f t="shared" si="7"/>
        <v>19854.987113977448</v>
      </c>
      <c r="AV44" s="339"/>
      <c r="AW44" s="339"/>
      <c r="AX44" s="339"/>
      <c r="AY44" s="339"/>
      <c r="AZ44" s="339"/>
      <c r="BA44" s="331"/>
      <c r="BB44" s="331"/>
      <c r="BC44" s="331"/>
      <c r="BD44" s="339"/>
      <c r="BE44" s="339"/>
      <c r="BF44" s="339"/>
      <c r="BG44" s="339"/>
      <c r="BH44" s="337"/>
      <c r="BI44" s="331"/>
      <c r="BJ44" s="331"/>
      <c r="BK44" s="331"/>
      <c r="BL44" s="23">
        <f t="shared" si="8"/>
        <v>-1.4569551995611274E-2</v>
      </c>
      <c r="BM44" s="24">
        <f t="shared" si="9"/>
        <v>600.61194703481237</v>
      </c>
      <c r="BN44" s="24">
        <f t="shared" si="10"/>
        <v>6354.7145258674191</v>
      </c>
      <c r="BO44" s="24">
        <f t="shared" si="11"/>
        <v>48.854581357969842</v>
      </c>
      <c r="BP44" s="24">
        <f t="shared" si="27"/>
        <v>56.18276856166532</v>
      </c>
      <c r="BQ44" s="23">
        <f t="shared" si="28"/>
        <v>234.71729445594289</v>
      </c>
      <c r="BR44" s="23">
        <f t="shared" si="12"/>
        <v>2.9861446626810793</v>
      </c>
      <c r="BS44" s="6">
        <f t="shared" si="13"/>
        <v>565.69040740196692</v>
      </c>
      <c r="BT44" s="23">
        <f t="shared" si="14"/>
        <v>577.23510959384384</v>
      </c>
      <c r="BU44" s="22">
        <f t="shared" si="15"/>
        <v>736.26927244112733</v>
      </c>
      <c r="BV44" s="22">
        <f t="shared" si="16"/>
        <v>35.060441544815582</v>
      </c>
      <c r="BW44" s="23">
        <f t="shared" si="29"/>
        <v>6.6807645046922052E-3</v>
      </c>
      <c r="BX44" s="331"/>
      <c r="BY44" s="361"/>
      <c r="BZ44" s="361"/>
      <c r="CA44" s="361"/>
      <c r="CD44" s="31">
        <v>60</v>
      </c>
    </row>
    <row r="45" spans="3:84" ht="15.75" x14ac:dyDescent="0.3">
      <c r="C45" s="13"/>
      <c r="D45" s="379"/>
      <c r="E45" s="379"/>
      <c r="F45" s="19" t="s">
        <v>128</v>
      </c>
      <c r="G45" s="256"/>
      <c r="H45" s="55">
        <v>0.60277777777777775</v>
      </c>
      <c r="I45" s="46">
        <v>-8.7109000000000005</v>
      </c>
      <c r="J45" s="46">
        <v>116.033745</v>
      </c>
      <c r="K45" s="13">
        <f t="shared" si="17"/>
        <v>-0.15203388581197405</v>
      </c>
      <c r="L45" s="13">
        <f t="shared" si="17"/>
        <v>2.0251708936695079</v>
      </c>
      <c r="M45" s="13">
        <v>3443</v>
      </c>
      <c r="N45" s="71">
        <f t="shared" si="30"/>
        <v>0.47022266694511472</v>
      </c>
      <c r="O45" s="339"/>
      <c r="P45" s="339"/>
      <c r="Q45" s="437"/>
      <c r="R45" s="15">
        <f t="shared" si="31"/>
        <v>4.9999999999999822E-2</v>
      </c>
      <c r="S45" s="331"/>
      <c r="T45" s="20">
        <f t="shared" si="18"/>
        <v>9.4044533389023286</v>
      </c>
      <c r="U45" s="347"/>
      <c r="V45" s="15">
        <f t="shared" si="19"/>
        <v>4.8376507975313574</v>
      </c>
      <c r="W45" s="15">
        <f t="shared" si="32"/>
        <v>4.9092548606135289E-5</v>
      </c>
      <c r="X45" s="15">
        <f t="shared" si="33"/>
        <v>1.2915436464755459E-4</v>
      </c>
      <c r="Y45" s="13">
        <f t="shared" si="34"/>
        <v>1.2075553442900453</v>
      </c>
      <c r="Z45" s="13">
        <f t="shared" si="35"/>
        <v>69.187824756286645</v>
      </c>
      <c r="AA45" s="13">
        <f t="shared" si="36"/>
        <v>290.81217524371334</v>
      </c>
      <c r="AB45" s="13">
        <v>120</v>
      </c>
      <c r="AC45" s="13">
        <v>13</v>
      </c>
      <c r="AD45" s="13">
        <f t="shared" si="20"/>
        <v>4</v>
      </c>
      <c r="AE45" s="16">
        <f t="shared" si="21"/>
        <v>170.81217524371334</v>
      </c>
      <c r="AF45" s="15">
        <f t="shared" si="0"/>
        <v>0.18368293350276715</v>
      </c>
      <c r="AG45" s="366"/>
      <c r="AH45" s="331"/>
      <c r="AI45" s="339"/>
      <c r="AJ45" s="13">
        <f t="shared" si="1"/>
        <v>1.5289958733416507</v>
      </c>
      <c r="AK45" s="13">
        <f t="shared" si="22"/>
        <v>-3.999999999999998E-2</v>
      </c>
      <c r="AL45" s="15">
        <f t="shared" si="37"/>
        <v>18.610006994007279</v>
      </c>
      <c r="AM45" s="15">
        <f t="shared" si="23"/>
        <v>-1.138184955867855</v>
      </c>
      <c r="AN45" s="15">
        <f t="shared" si="3"/>
        <v>9.2986178692113253</v>
      </c>
      <c r="AO45" s="15">
        <f t="shared" si="24"/>
        <v>4.7832090319223051</v>
      </c>
      <c r="AP45" s="15">
        <f t="shared" si="25"/>
        <v>0.18161580967951729</v>
      </c>
      <c r="AQ45" s="20">
        <f t="shared" si="4"/>
        <v>5.0569092477933744E-2</v>
      </c>
      <c r="AR45" s="13">
        <f t="shared" si="5"/>
        <v>284685489.07418394</v>
      </c>
      <c r="AS45" s="13">
        <f t="shared" si="26"/>
        <v>1.8003385288003894E-3</v>
      </c>
      <c r="AT45" s="15">
        <f t="shared" si="6"/>
        <v>690.09183496275477</v>
      </c>
      <c r="AU45" s="13">
        <f t="shared" si="7"/>
        <v>25555.141063757656</v>
      </c>
      <c r="AV45" s="339"/>
      <c r="AW45" s="339"/>
      <c r="AX45" s="339"/>
      <c r="AY45" s="339"/>
      <c r="AZ45" s="339"/>
      <c r="BA45" s="331"/>
      <c r="BB45" s="331"/>
      <c r="BC45" s="331"/>
      <c r="BD45" s="339"/>
      <c r="BE45" s="339"/>
      <c r="BF45" s="339"/>
      <c r="BG45" s="339"/>
      <c r="BH45" s="337"/>
      <c r="BI45" s="331"/>
      <c r="BJ45" s="331"/>
      <c r="BK45" s="331"/>
      <c r="BL45" s="23">
        <f t="shared" si="8"/>
        <v>-3.7388698078501807E-2</v>
      </c>
      <c r="BM45" s="24">
        <f t="shared" si="9"/>
        <v>2588.6445299849552</v>
      </c>
      <c r="BN45" s="24">
        <f t="shared" si="10"/>
        <v>8330.1123391019155</v>
      </c>
      <c r="BO45" s="24">
        <f t="shared" si="11"/>
        <v>64.846838660712052</v>
      </c>
      <c r="BP45" s="24">
        <f t="shared" si="27"/>
        <v>74.573864459818864</v>
      </c>
      <c r="BQ45" s="23">
        <f t="shared" si="28"/>
        <v>356.70238202955539</v>
      </c>
      <c r="BR45" s="23">
        <f t="shared" si="12"/>
        <v>3.4189145743762879</v>
      </c>
      <c r="BS45" s="6">
        <f t="shared" si="13"/>
        <v>859.68576060519695</v>
      </c>
      <c r="BT45" s="23">
        <f t="shared" si="14"/>
        <v>877.23036796448673</v>
      </c>
      <c r="BU45" s="22">
        <f t="shared" si="15"/>
        <v>1118.9162856689882</v>
      </c>
      <c r="BV45" s="22">
        <f t="shared" si="16"/>
        <v>53.281727888999441</v>
      </c>
      <c r="BW45" s="23">
        <f t="shared" si="29"/>
        <v>1.0139598537610966E-2</v>
      </c>
      <c r="BX45" s="331"/>
      <c r="BY45" s="362"/>
      <c r="BZ45" s="362"/>
      <c r="CA45" s="362"/>
      <c r="CD45" s="31">
        <v>30</v>
      </c>
    </row>
    <row r="46" spans="3:84" ht="15.75" x14ac:dyDescent="0.3">
      <c r="C46" s="13">
        <v>3</v>
      </c>
      <c r="D46" s="379"/>
      <c r="E46" s="379"/>
      <c r="F46" s="19" t="s">
        <v>128</v>
      </c>
      <c r="G46" s="255">
        <v>0.60416666666666696</v>
      </c>
      <c r="H46" s="55">
        <v>0.60416666666666663</v>
      </c>
      <c r="I46" s="46">
        <v>-8.7099810000000009</v>
      </c>
      <c r="J46" s="86">
        <v>116.02815</v>
      </c>
      <c r="K46" s="13">
        <f t="shared" si="17"/>
        <v>-0.15201784623614825</v>
      </c>
      <c r="L46" s="13">
        <f t="shared" si="17"/>
        <v>2.0250732424978586</v>
      </c>
      <c r="M46" s="13">
        <v>3443</v>
      </c>
      <c r="N46" s="71">
        <f t="shared" si="30"/>
        <v>0.33689228030143953</v>
      </c>
      <c r="O46" s="398"/>
      <c r="P46" s="398"/>
      <c r="Q46" s="437"/>
      <c r="R46" s="15">
        <f t="shared" si="31"/>
        <v>3.3333333333333215E-2</v>
      </c>
      <c r="S46" s="358"/>
      <c r="T46" s="20">
        <f t="shared" si="18"/>
        <v>10.106768409043221</v>
      </c>
      <c r="U46" s="348"/>
      <c r="V46" s="15">
        <f t="shared" si="19"/>
        <v>5.198921669611833</v>
      </c>
      <c r="W46" s="15">
        <f t="shared" si="32"/>
        <v>1.6228715047270751E-5</v>
      </c>
      <c r="X46" s="15">
        <f t="shared" si="33"/>
        <v>9.7651171649282276E-5</v>
      </c>
      <c r="Y46" s="13">
        <f t="shared" si="34"/>
        <v>1.4061108029931535</v>
      </c>
      <c r="Z46" s="13">
        <f t="shared" si="35"/>
        <v>80.564214539258856</v>
      </c>
      <c r="AA46" s="13">
        <f t="shared" si="36"/>
        <v>279.43578546074116</v>
      </c>
      <c r="AB46" s="13">
        <v>120</v>
      </c>
      <c r="AC46" s="13">
        <v>13</v>
      </c>
      <c r="AD46" s="13">
        <f t="shared" si="20"/>
        <v>4</v>
      </c>
      <c r="AE46" s="16">
        <f t="shared" si="21"/>
        <v>159.43578546074116</v>
      </c>
      <c r="AF46" s="15">
        <f t="shared" si="0"/>
        <v>0.19740018932592573</v>
      </c>
      <c r="AG46" s="366"/>
      <c r="AH46" s="331"/>
      <c r="AI46" s="339"/>
      <c r="AJ46" s="13">
        <f t="shared" si="1"/>
        <v>1.4176040164415036</v>
      </c>
      <c r="AK46" s="13">
        <f t="shared" si="22"/>
        <v>-3.999999999999998E-2</v>
      </c>
      <c r="AL46" s="15">
        <f t="shared" si="37"/>
        <v>18.610006994007279</v>
      </c>
      <c r="AM46" s="15">
        <f t="shared" si="23"/>
        <v>-1.0552648264283671</v>
      </c>
      <c r="AN46" s="15">
        <f t="shared" si="3"/>
        <v>10.001228957642649</v>
      </c>
      <c r="AO46" s="15">
        <f t="shared" si="24"/>
        <v>5.1446321758113784</v>
      </c>
      <c r="AP46" s="15">
        <f t="shared" si="25"/>
        <v>0.19533884717929198</v>
      </c>
      <c r="AQ46" s="20">
        <f t="shared" si="4"/>
        <v>3.3685088275476005E-2</v>
      </c>
      <c r="AR46" s="13">
        <f t="shared" si="5"/>
        <v>306196554.92853135</v>
      </c>
      <c r="AS46" s="13">
        <f t="shared" si="26"/>
        <v>1.7828193312700285E-3</v>
      </c>
      <c r="AT46" s="15">
        <f t="shared" si="6"/>
        <v>790.55117017668613</v>
      </c>
      <c r="AU46" s="13">
        <f t="shared" si="7"/>
        <v>29275.301703974321</v>
      </c>
      <c r="AV46" s="339"/>
      <c r="AW46" s="339"/>
      <c r="AX46" s="339"/>
      <c r="AY46" s="339"/>
      <c r="AZ46" s="339"/>
      <c r="BA46" s="331"/>
      <c r="BB46" s="331"/>
      <c r="BC46" s="331"/>
      <c r="BD46" s="339"/>
      <c r="BE46" s="339"/>
      <c r="BF46" s="339"/>
      <c r="BG46" s="339"/>
      <c r="BH46" s="337"/>
      <c r="BI46" s="331"/>
      <c r="BJ46" s="331"/>
      <c r="BK46" s="331"/>
      <c r="BL46" s="23">
        <f t="shared" si="8"/>
        <v>-5.6395015072457907E-2</v>
      </c>
      <c r="BM46" s="24">
        <f t="shared" si="9"/>
        <v>5405.9231714500293</v>
      </c>
      <c r="BN46" s="24">
        <f t="shared" si="10"/>
        <v>9636.5326353173659</v>
      </c>
      <c r="BO46" s="24">
        <f t="shared" si="11"/>
        <v>76.821056865066083</v>
      </c>
      <c r="BP46" s="24">
        <f t="shared" si="27"/>
        <v>88.344215394825994</v>
      </c>
      <c r="BQ46" s="23">
        <f t="shared" si="28"/>
        <v>454.49849306703271</v>
      </c>
      <c r="BR46" s="23">
        <f t="shared" si="12"/>
        <v>3.6772505253900469</v>
      </c>
      <c r="BS46" s="6">
        <f t="shared" si="13"/>
        <v>1095.3834411845148</v>
      </c>
      <c r="BT46" s="23">
        <f t="shared" si="14"/>
        <v>1117.7382052903213</v>
      </c>
      <c r="BU46" s="22">
        <f t="shared" si="15"/>
        <v>1425.6864863396954</v>
      </c>
      <c r="BV46" s="22">
        <f t="shared" si="16"/>
        <v>67.889832682842638</v>
      </c>
      <c r="BW46" s="23">
        <f t="shared" si="29"/>
        <v>8.6059680260746497E-3</v>
      </c>
      <c r="BX46" s="331"/>
      <c r="BY46" s="360">
        <f t="shared" ref="BY46" si="43">SUM(BW47:BW52)*1000</f>
        <v>71.345600634547381</v>
      </c>
      <c r="BZ46" s="360">
        <v>65</v>
      </c>
      <c r="CA46" s="360">
        <f t="shared" ref="CA46" si="44">AVERAGE(AN46:AN52)</f>
        <v>9.4188785056608086</v>
      </c>
      <c r="CD46" s="31">
        <v>20</v>
      </c>
    </row>
    <row r="47" spans="3:84" ht="15.75" x14ac:dyDescent="0.3">
      <c r="C47" s="13"/>
      <c r="D47" s="379"/>
      <c r="E47" s="379"/>
      <c r="F47" s="19" t="s">
        <v>128</v>
      </c>
      <c r="G47" s="256"/>
      <c r="H47" s="55">
        <v>0.60625000000000007</v>
      </c>
      <c r="I47" s="46">
        <v>-8.7082320000000006</v>
      </c>
      <c r="J47" s="86">
        <v>116.020448</v>
      </c>
      <c r="K47" s="13">
        <f t="shared" si="17"/>
        <v>-0.15198732042753085</v>
      </c>
      <c r="L47" s="13">
        <f t="shared" si="17"/>
        <v>2.02493881723887</v>
      </c>
      <c r="M47" s="13">
        <v>3443</v>
      </c>
      <c r="N47" s="71">
        <f t="shared" si="30"/>
        <v>0.46940698175301426</v>
      </c>
      <c r="O47" s="357">
        <f t="shared" ref="O47" si="45">SUM(N47:N53)</f>
        <v>3.1155264037050516</v>
      </c>
      <c r="P47" s="338">
        <v>3.13</v>
      </c>
      <c r="Q47" s="437">
        <f t="shared" ref="Q47" si="46">ABS((O47-P47)/P47*100%)</f>
        <v>4.6241521709099887E-3</v>
      </c>
      <c r="R47" s="15">
        <f t="shared" si="31"/>
        <v>5.0000000000002487E-2</v>
      </c>
      <c r="S47" s="357">
        <f t="shared" ref="S47" si="47">SUM(R47:R53)</f>
        <v>0.33333333333332149</v>
      </c>
      <c r="T47" s="20">
        <f t="shared" si="18"/>
        <v>9.3881396350598187</v>
      </c>
      <c r="U47" s="346">
        <f t="shared" ref="U47" si="48">AVERAGE(T47:T53)</f>
        <v>9.3135704958744867</v>
      </c>
      <c r="V47" s="15">
        <f t="shared" si="19"/>
        <v>4.8292590282747705</v>
      </c>
      <c r="W47" s="15">
        <f t="shared" si="32"/>
        <v>3.0885659237727152E-5</v>
      </c>
      <c r="X47" s="15">
        <f t="shared" si="33"/>
        <v>1.344252589885464E-4</v>
      </c>
      <c r="Y47" s="13">
        <f t="shared" si="34"/>
        <v>1.3449551031138587</v>
      </c>
      <c r="Z47" s="13">
        <f t="shared" si="35"/>
        <v>77.060251043006545</v>
      </c>
      <c r="AA47" s="13">
        <f t="shared" si="36"/>
        <v>282.93974895699347</v>
      </c>
      <c r="AB47" s="13">
        <v>120</v>
      </c>
      <c r="AC47" s="13">
        <v>13</v>
      </c>
      <c r="AD47" s="13">
        <f t="shared" si="20"/>
        <v>4</v>
      </c>
      <c r="AE47" s="16">
        <f t="shared" si="21"/>
        <v>162.93974895699347</v>
      </c>
      <c r="AF47" s="15">
        <f t="shared" si="0"/>
        <v>0.1833643026509672</v>
      </c>
      <c r="AG47" s="366"/>
      <c r="AH47" s="331"/>
      <c r="AI47" s="339"/>
      <c r="AJ47" s="13">
        <f t="shared" si="1"/>
        <v>1.5315314573459857</v>
      </c>
      <c r="AK47" s="13">
        <f t="shared" si="22"/>
        <v>-3.999999999999998E-2</v>
      </c>
      <c r="AL47" s="15">
        <f t="shared" si="37"/>
        <v>18.610006994007279</v>
      </c>
      <c r="AM47" s="15">
        <f t="shared" si="23"/>
        <v>-1.1400724453100375</v>
      </c>
      <c r="AN47" s="15">
        <f t="shared" si="3"/>
        <v>9.2823145248747103</v>
      </c>
      <c r="AO47" s="15">
        <f t="shared" si="24"/>
        <v>4.7748225915955507</v>
      </c>
      <c r="AP47" s="15">
        <f t="shared" si="25"/>
        <v>0.18129738116424493</v>
      </c>
      <c r="AQ47" s="20">
        <f t="shared" si="4"/>
        <v>5.0570036222657537E-2</v>
      </c>
      <c r="AR47" s="13">
        <f t="shared" si="5"/>
        <v>284186347.62958473</v>
      </c>
      <c r="AS47" s="13">
        <f t="shared" si="26"/>
        <v>1.8007637659228375E-3</v>
      </c>
      <c r="AT47" s="15">
        <f t="shared" si="6"/>
        <v>687.83649634778078</v>
      </c>
      <c r="AU47" s="13">
        <f t="shared" si="7"/>
        <v>25471.622474590014</v>
      </c>
      <c r="AV47" s="339"/>
      <c r="AW47" s="339"/>
      <c r="AX47" s="339"/>
      <c r="AY47" s="339"/>
      <c r="AZ47" s="339"/>
      <c r="BA47" s="331"/>
      <c r="BB47" s="331"/>
      <c r="BC47" s="331"/>
      <c r="BD47" s="339"/>
      <c r="BE47" s="339"/>
      <c r="BF47" s="339"/>
      <c r="BG47" s="339"/>
      <c r="BH47" s="337"/>
      <c r="BI47" s="331"/>
      <c r="BJ47" s="331"/>
      <c r="BK47" s="331"/>
      <c r="BL47" s="23">
        <f t="shared" si="8"/>
        <v>-3.6992281210427386E-2</v>
      </c>
      <c r="BM47" s="24">
        <f t="shared" si="9"/>
        <v>2541.9739520428984</v>
      </c>
      <c r="BN47" s="24">
        <f t="shared" si="10"/>
        <v>8300.9274356074875</v>
      </c>
      <c r="BO47" s="24">
        <f t="shared" si="11"/>
        <v>64.594736947782778</v>
      </c>
      <c r="BP47" s="24">
        <f t="shared" si="27"/>
        <v>74.283947489950194</v>
      </c>
      <c r="BQ47" s="23">
        <f t="shared" si="28"/>
        <v>354.69267066791178</v>
      </c>
      <c r="BR47" s="23">
        <f t="shared" si="12"/>
        <v>3.4129201629113233</v>
      </c>
      <c r="BS47" s="6">
        <f t="shared" si="13"/>
        <v>854.84217018479899</v>
      </c>
      <c r="BT47" s="23">
        <f t="shared" si="14"/>
        <v>872.28792875999898</v>
      </c>
      <c r="BU47" s="22">
        <f t="shared" si="15"/>
        <v>1112.612154030611</v>
      </c>
      <c r="BV47" s="22">
        <f t="shared" si="16"/>
        <v>52.981531144314808</v>
      </c>
      <c r="BW47" s="23">
        <f t="shared" si="29"/>
        <v>1.0082658778052587E-2</v>
      </c>
      <c r="BX47" s="331"/>
      <c r="BY47" s="361"/>
      <c r="BZ47" s="361"/>
      <c r="CA47" s="361"/>
      <c r="CD47" s="31">
        <v>20</v>
      </c>
    </row>
    <row r="48" spans="3:84" ht="15.75" x14ac:dyDescent="0.3">
      <c r="C48" s="13"/>
      <c r="D48" s="379"/>
      <c r="E48" s="379"/>
      <c r="F48" s="19" t="s">
        <v>128</v>
      </c>
      <c r="G48" s="256"/>
      <c r="H48" s="55">
        <v>0.60833333333333395</v>
      </c>
      <c r="I48" s="46">
        <v>-8.7063989999999993</v>
      </c>
      <c r="J48" s="86">
        <v>116.012505</v>
      </c>
      <c r="K48" s="13">
        <f t="shared" si="17"/>
        <v>-0.15195532854234178</v>
      </c>
      <c r="L48" s="13">
        <f t="shared" si="17"/>
        <v>2.0248001857363844</v>
      </c>
      <c r="M48" s="13">
        <v>3443</v>
      </c>
      <c r="N48" s="71">
        <f t="shared" si="30"/>
        <v>0.48449408065584015</v>
      </c>
      <c r="O48" s="339"/>
      <c r="P48" s="339"/>
      <c r="Q48" s="437"/>
      <c r="R48" s="15">
        <f t="shared" si="31"/>
        <v>5.0000000000013145E-2</v>
      </c>
      <c r="S48" s="331"/>
      <c r="T48" s="20">
        <f t="shared" si="18"/>
        <v>9.689881613114256</v>
      </c>
      <c r="U48" s="347"/>
      <c r="V48" s="15">
        <f t="shared" si="19"/>
        <v>4.9844751017859732</v>
      </c>
      <c r="W48" s="15">
        <f t="shared" si="32"/>
        <v>3.2368862712281163E-5</v>
      </c>
      <c r="X48" s="15">
        <f t="shared" si="33"/>
        <v>1.3863150248560885E-4</v>
      </c>
      <c r="Y48" s="13">
        <f t="shared" si="34"/>
        <v>1.3414172358449914</v>
      </c>
      <c r="Z48" s="13">
        <f t="shared" si="35"/>
        <v>76.857546180022979</v>
      </c>
      <c r="AA48" s="13">
        <f t="shared" si="36"/>
        <v>283.14245381997705</v>
      </c>
      <c r="AB48" s="13">
        <v>120</v>
      </c>
      <c r="AC48" s="13">
        <v>13</v>
      </c>
      <c r="AD48" s="13">
        <f t="shared" si="20"/>
        <v>4</v>
      </c>
      <c r="AE48" s="16">
        <f t="shared" si="21"/>
        <v>163.14245381997705</v>
      </c>
      <c r="AF48" s="15">
        <f t="shared" si="0"/>
        <v>0.18925777138249858</v>
      </c>
      <c r="AG48" s="366"/>
      <c r="AH48" s="331"/>
      <c r="AI48" s="339"/>
      <c r="AJ48" s="13">
        <f t="shared" si="1"/>
        <v>1.4842515991521821</v>
      </c>
      <c r="AK48" s="13">
        <f t="shared" si="22"/>
        <v>-3.999999999999998E-2</v>
      </c>
      <c r="AL48" s="15">
        <f t="shared" si="37"/>
        <v>18.610006994007279</v>
      </c>
      <c r="AM48" s="15">
        <f t="shared" si="23"/>
        <v>-1.1048773056435433</v>
      </c>
      <c r="AN48" s="15">
        <f t="shared" si="3"/>
        <v>9.5839902795405294</v>
      </c>
      <c r="AO48" s="15">
        <f t="shared" si="24"/>
        <v>4.9300045997956481</v>
      </c>
      <c r="AP48" s="15">
        <f t="shared" si="25"/>
        <v>0.18718955645469582</v>
      </c>
      <c r="AQ48" s="20">
        <f t="shared" si="4"/>
        <v>5.0552438652835062E-2</v>
      </c>
      <c r="AR48" s="13">
        <f t="shared" si="5"/>
        <v>293422420.23379713</v>
      </c>
      <c r="AS48" s="13">
        <f t="shared" si="26"/>
        <v>1.7930371553161577E-3</v>
      </c>
      <c r="AT48" s="15">
        <f t="shared" si="6"/>
        <v>730.12619525469677</v>
      </c>
      <c r="AU48" s="13">
        <f t="shared" si="7"/>
        <v>27037.673783063186</v>
      </c>
      <c r="AV48" s="339"/>
      <c r="AW48" s="339"/>
      <c r="AX48" s="339"/>
      <c r="AY48" s="339"/>
      <c r="AZ48" s="339"/>
      <c r="BA48" s="331"/>
      <c r="BB48" s="331"/>
      <c r="BC48" s="331"/>
      <c r="BD48" s="339"/>
      <c r="BE48" s="339"/>
      <c r="BF48" s="339"/>
      <c r="BG48" s="339"/>
      <c r="BH48" s="337"/>
      <c r="BI48" s="331"/>
      <c r="BJ48" s="331"/>
      <c r="BK48" s="331"/>
      <c r="BL48" s="23">
        <f t="shared" si="8"/>
        <v>-4.4666629744131346E-2</v>
      </c>
      <c r="BM48" s="24">
        <f t="shared" si="9"/>
        <v>3530.0539607144442</v>
      </c>
      <c r="BN48" s="24">
        <f t="shared" si="10"/>
        <v>8849.2565570784427</v>
      </c>
      <c r="BO48" s="24">
        <f t="shared" si="11"/>
        <v>69.435927015839809</v>
      </c>
      <c r="BP48" s="24">
        <f t="shared" si="27"/>
        <v>79.85131606821578</v>
      </c>
      <c r="BQ48" s="23">
        <f t="shared" si="28"/>
        <v>393.66735551603995</v>
      </c>
      <c r="BR48" s="23">
        <f t="shared" si="12"/>
        <v>3.5238402640349555</v>
      </c>
      <c r="BS48" s="6">
        <f t="shared" si="13"/>
        <v>948.77476855257407</v>
      </c>
      <c r="BT48" s="23">
        <f t="shared" si="14"/>
        <v>968.13751893119809</v>
      </c>
      <c r="BU48" s="22">
        <f t="shared" si="15"/>
        <v>1234.869284351018</v>
      </c>
      <c r="BV48" s="22">
        <f t="shared" si="16"/>
        <v>58.803299254810383</v>
      </c>
      <c r="BW48" s="23">
        <f t="shared" si="29"/>
        <v>1.1186677150463391E-2</v>
      </c>
      <c r="BX48" s="331"/>
      <c r="BY48" s="361"/>
      <c r="BZ48" s="361"/>
      <c r="CA48" s="361"/>
      <c r="CD48" s="31">
        <v>60</v>
      </c>
    </row>
    <row r="49" spans="3:82" ht="15.75" x14ac:dyDescent="0.3">
      <c r="C49" s="13"/>
      <c r="D49" s="379"/>
      <c r="E49" s="379"/>
      <c r="F49" s="19" t="s">
        <v>128</v>
      </c>
      <c r="G49" s="256"/>
      <c r="H49" s="55">
        <v>0.61041666666666705</v>
      </c>
      <c r="I49" s="46">
        <v>-8.7038609999999998</v>
      </c>
      <c r="J49" s="86">
        <v>116.00322799999999</v>
      </c>
      <c r="K49" s="13">
        <f t="shared" si="17"/>
        <v>-0.15191103208592616</v>
      </c>
      <c r="L49" s="13">
        <f t="shared" si="17"/>
        <v>2.0246382715416766</v>
      </c>
      <c r="M49" s="13">
        <v>3443</v>
      </c>
      <c r="N49" s="71">
        <f t="shared" si="30"/>
        <v>0.5717646316431173</v>
      </c>
      <c r="O49" s="339"/>
      <c r="P49" s="339"/>
      <c r="Q49" s="437"/>
      <c r="R49" s="15">
        <f t="shared" si="31"/>
        <v>4.9999999999994493E-2</v>
      </c>
      <c r="S49" s="331"/>
      <c r="T49" s="20">
        <f t="shared" si="18"/>
        <v>11.435292632863606</v>
      </c>
      <c r="U49" s="347"/>
      <c r="V49" s="15">
        <f t="shared" si="19"/>
        <v>5.8823145303450382</v>
      </c>
      <c r="W49" s="15">
        <f t="shared" si="32"/>
        <v>4.4818162113319205E-5</v>
      </c>
      <c r="X49" s="15">
        <f t="shared" si="33"/>
        <v>1.6191419470779067E-4</v>
      </c>
      <c r="Y49" s="13">
        <f t="shared" si="34"/>
        <v>1.3007556458849399</v>
      </c>
      <c r="Z49" s="13">
        <f t="shared" si="35"/>
        <v>74.527808687020496</v>
      </c>
      <c r="AA49" s="13">
        <f t="shared" si="36"/>
        <v>285.47219131297948</v>
      </c>
      <c r="AB49" s="13">
        <v>120</v>
      </c>
      <c r="AC49" s="13">
        <v>13</v>
      </c>
      <c r="AD49" s="13">
        <f t="shared" si="20"/>
        <v>4</v>
      </c>
      <c r="AE49" s="16">
        <f t="shared" si="21"/>
        <v>165.47219131297948</v>
      </c>
      <c r="AF49" s="15">
        <f t="shared" si="0"/>
        <v>0.22334823945355786</v>
      </c>
      <c r="AG49" s="366"/>
      <c r="AH49" s="331"/>
      <c r="AI49" s="339"/>
      <c r="AJ49" s="13">
        <f t="shared" si="1"/>
        <v>1.1949520556445918</v>
      </c>
      <c r="AK49" s="13">
        <f t="shared" si="22"/>
        <v>-3.999999999999998E-2</v>
      </c>
      <c r="AL49" s="15">
        <f t="shared" si="37"/>
        <v>18.610006994007279</v>
      </c>
      <c r="AM49" s="15">
        <f t="shared" si="23"/>
        <v>-0.88952264452196872</v>
      </c>
      <c r="AN49" s="15">
        <f t="shared" si="3"/>
        <v>11.334469955968723</v>
      </c>
      <c r="AO49" s="15">
        <f t="shared" si="24"/>
        <v>5.8304513453503111</v>
      </c>
      <c r="AP49" s="15">
        <f t="shared" si="25"/>
        <v>0.22137902291451178</v>
      </c>
      <c r="AQ49" s="20">
        <f t="shared" si="4"/>
        <v>5.0444761322255435E-2</v>
      </c>
      <c r="AR49" s="13">
        <f t="shared" si="5"/>
        <v>347014918.58222604</v>
      </c>
      <c r="AS49" s="13">
        <f t="shared" si="26"/>
        <v>1.753313311565518E-3</v>
      </c>
      <c r="AT49" s="15">
        <f t="shared" si="6"/>
        <v>998.56852592404505</v>
      </c>
      <c r="AU49" s="13">
        <f t="shared" si="7"/>
        <v>36978.498004102294</v>
      </c>
      <c r="AV49" s="339"/>
      <c r="AW49" s="339"/>
      <c r="AX49" s="339"/>
      <c r="AY49" s="339"/>
      <c r="AZ49" s="339"/>
      <c r="BA49" s="331"/>
      <c r="BB49" s="331"/>
      <c r="BC49" s="331"/>
      <c r="BD49" s="339"/>
      <c r="BE49" s="339"/>
      <c r="BF49" s="339"/>
      <c r="BG49" s="339"/>
      <c r="BH49" s="337"/>
      <c r="BI49" s="331"/>
      <c r="BJ49" s="331"/>
      <c r="BK49" s="331"/>
      <c r="BL49" s="23">
        <f t="shared" si="8"/>
        <v>-0.10075163653784758</v>
      </c>
      <c r="BM49" s="24">
        <f t="shared" si="9"/>
        <v>17236.752118759938</v>
      </c>
      <c r="BN49" s="24">
        <f t="shared" si="10"/>
        <v>12377.031278185534</v>
      </c>
      <c r="BO49" s="24">
        <f t="shared" si="11"/>
        <v>107.64815855149412</v>
      </c>
      <c r="BP49" s="24">
        <f t="shared" si="27"/>
        <v>123.79538233421823</v>
      </c>
      <c r="BQ49" s="23">
        <f t="shared" si="28"/>
        <v>721.7829534786988</v>
      </c>
      <c r="BR49" s="23">
        <f t="shared" si="12"/>
        <v>4.1674563973213798</v>
      </c>
      <c r="BS49" s="6">
        <f t="shared" si="13"/>
        <v>1739.5637332799956</v>
      </c>
      <c r="BT49" s="23">
        <f t="shared" si="14"/>
        <v>1775.0650339591793</v>
      </c>
      <c r="BU49" s="22">
        <f t="shared" si="15"/>
        <v>2264.1135637234429</v>
      </c>
      <c r="BV49" s="22">
        <f t="shared" si="16"/>
        <v>107.81493160587823</v>
      </c>
      <c r="BW49" s="23">
        <f t="shared" si="29"/>
        <v>2.0466910164469033E-2</v>
      </c>
      <c r="BX49" s="331"/>
      <c r="BY49" s="361"/>
      <c r="BZ49" s="361"/>
      <c r="CA49" s="361"/>
      <c r="CD49" s="31">
        <v>60</v>
      </c>
    </row>
    <row r="50" spans="3:82" ht="15.75" x14ac:dyDescent="0.3">
      <c r="C50" s="13"/>
      <c r="D50" s="379"/>
      <c r="E50" s="379"/>
      <c r="F50" s="19" t="s">
        <v>128</v>
      </c>
      <c r="G50" s="256"/>
      <c r="H50" s="55">
        <v>0.61250000000000004</v>
      </c>
      <c r="I50" s="46">
        <v>-8.7008980000000005</v>
      </c>
      <c r="J50" s="86">
        <v>115.994123</v>
      </c>
      <c r="K50" s="13">
        <f t="shared" si="17"/>
        <v>-0.15185931798018959</v>
      </c>
      <c r="L50" s="13">
        <f t="shared" si="17"/>
        <v>2.0244793593132826</v>
      </c>
      <c r="M50" s="13">
        <v>3443</v>
      </c>
      <c r="N50" s="71">
        <f t="shared" si="30"/>
        <v>0.5693908517265277</v>
      </c>
      <c r="O50" s="339"/>
      <c r="P50" s="339"/>
      <c r="Q50" s="437"/>
      <c r="R50" s="15">
        <f t="shared" si="31"/>
        <v>4.9999999999991829E-2</v>
      </c>
      <c r="S50" s="331"/>
      <c r="T50" s="20">
        <f t="shared" si="18"/>
        <v>11.387817034532414</v>
      </c>
      <c r="U50" s="347"/>
      <c r="V50" s="15">
        <f t="shared" si="19"/>
        <v>5.8578930825634732</v>
      </c>
      <c r="W50" s="15">
        <f t="shared" si="32"/>
        <v>5.2322786929482946E-5</v>
      </c>
      <c r="X50" s="15">
        <f t="shared" si="33"/>
        <v>1.5891222839403696E-4</v>
      </c>
      <c r="Y50" s="13">
        <f t="shared" si="34"/>
        <v>1.2527199507485363</v>
      </c>
      <c r="Z50" s="13">
        <f t="shared" si="35"/>
        <v>71.775566089727477</v>
      </c>
      <c r="AA50" s="13">
        <f t="shared" si="36"/>
        <v>288.22443391027252</v>
      </c>
      <c r="AB50" s="13">
        <v>120</v>
      </c>
      <c r="AC50" s="13">
        <v>13</v>
      </c>
      <c r="AD50" s="13">
        <f t="shared" si="20"/>
        <v>4</v>
      </c>
      <c r="AE50" s="16">
        <f t="shared" si="21"/>
        <v>168.22443391027252</v>
      </c>
      <c r="AF50" s="15">
        <f t="shared" si="0"/>
        <v>0.22242097054626267</v>
      </c>
      <c r="AG50" s="366"/>
      <c r="AH50" s="331"/>
      <c r="AI50" s="339"/>
      <c r="AJ50" s="13">
        <f t="shared" si="1"/>
        <v>1.2031777865694275</v>
      </c>
      <c r="AK50" s="13">
        <f t="shared" si="22"/>
        <v>-3.999999999999998E-2</v>
      </c>
      <c r="AL50" s="15">
        <f t="shared" si="37"/>
        <v>18.610006994007279</v>
      </c>
      <c r="AM50" s="15">
        <f t="shared" si="23"/>
        <v>-0.89564588092364916</v>
      </c>
      <c r="AN50" s="15">
        <f t="shared" si="3"/>
        <v>11.286727920818542</v>
      </c>
      <c r="AO50" s="15">
        <f t="shared" si="24"/>
        <v>5.8058928424690581</v>
      </c>
      <c r="AP50" s="15">
        <f t="shared" si="25"/>
        <v>0.22044655010064795</v>
      </c>
      <c r="AQ50" s="20">
        <f t="shared" si="4"/>
        <v>5.0447822940453586E-2</v>
      </c>
      <c r="AR50" s="13">
        <f t="shared" si="5"/>
        <v>345553253.54584157</v>
      </c>
      <c r="AS50" s="13">
        <f t="shared" si="26"/>
        <v>1.754296578781915E-3</v>
      </c>
      <c r="AT50" s="15">
        <f t="shared" si="6"/>
        <v>990.72937606193364</v>
      </c>
      <c r="AU50" s="13">
        <f t="shared" si="7"/>
        <v>36688.20246603524</v>
      </c>
      <c r="AV50" s="339"/>
      <c r="AW50" s="339"/>
      <c r="AX50" s="339"/>
      <c r="AY50" s="339"/>
      <c r="AZ50" s="339"/>
      <c r="BA50" s="331"/>
      <c r="BB50" s="331"/>
      <c r="BC50" s="331"/>
      <c r="BD50" s="339"/>
      <c r="BE50" s="339"/>
      <c r="BF50" s="339"/>
      <c r="BG50" s="339"/>
      <c r="BH50" s="337"/>
      <c r="BI50" s="331"/>
      <c r="BJ50" s="331"/>
      <c r="BK50" s="331"/>
      <c r="BL50" s="23">
        <f t="shared" si="8"/>
        <v>-9.9023775971554095E-2</v>
      </c>
      <c r="BM50" s="24">
        <f t="shared" si="9"/>
        <v>16618.108469615396</v>
      </c>
      <c r="BN50" s="24">
        <f t="shared" si="10"/>
        <v>12272.984033473344</v>
      </c>
      <c r="BO50" s="24">
        <f t="shared" si="11"/>
        <v>106.31286757526784</v>
      </c>
      <c r="BP50" s="24">
        <f t="shared" si="27"/>
        <v>122.25979771155802</v>
      </c>
      <c r="BQ50" s="23">
        <f t="shared" si="28"/>
        <v>709.8272844552497</v>
      </c>
      <c r="BR50" s="23">
        <f t="shared" si="12"/>
        <v>4.149902612223296</v>
      </c>
      <c r="BS50" s="6">
        <f t="shared" si="13"/>
        <v>1710.7494641980577</v>
      </c>
      <c r="BT50" s="23">
        <f t="shared" si="14"/>
        <v>1745.6627185694467</v>
      </c>
      <c r="BU50" s="22">
        <f t="shared" si="15"/>
        <v>2226.6106104202127</v>
      </c>
      <c r="BV50" s="22">
        <f t="shared" si="16"/>
        <v>106.02907668667679</v>
      </c>
      <c r="BW50" s="23">
        <f t="shared" si="29"/>
        <v>2.0129116283461094E-2</v>
      </c>
      <c r="BX50" s="331"/>
      <c r="BY50" s="361"/>
      <c r="BZ50" s="361"/>
      <c r="CA50" s="361"/>
    </row>
    <row r="51" spans="3:82" ht="15.75" x14ac:dyDescent="0.3">
      <c r="C51" s="13"/>
      <c r="D51" s="379"/>
      <c r="E51" s="379"/>
      <c r="F51" s="19" t="s">
        <v>128</v>
      </c>
      <c r="G51" s="256"/>
      <c r="H51" s="55">
        <v>0.61458333333333404</v>
      </c>
      <c r="I51" s="46">
        <v>-8.6975289999999994</v>
      </c>
      <c r="J51" s="86">
        <v>115.988767</v>
      </c>
      <c r="K51" s="13">
        <f t="shared" si="17"/>
        <v>-0.15180051783768989</v>
      </c>
      <c r="L51" s="13">
        <f t="shared" si="17"/>
        <v>2.0243858794785456</v>
      </c>
      <c r="M51" s="13">
        <v>3443</v>
      </c>
      <c r="N51" s="71">
        <f t="shared" si="30"/>
        <v>0.37709947149967205</v>
      </c>
      <c r="O51" s="339"/>
      <c r="P51" s="339"/>
      <c r="Q51" s="437"/>
      <c r="R51" s="15">
        <f t="shared" si="31"/>
        <v>5.000000000001581E-2</v>
      </c>
      <c r="S51" s="331"/>
      <c r="T51" s="20">
        <f t="shared" si="18"/>
        <v>7.5419894299910561</v>
      </c>
      <c r="U51" s="347"/>
      <c r="V51" s="15">
        <f t="shared" si="19"/>
        <v>3.879599362787399</v>
      </c>
      <c r="W51" s="15">
        <f t="shared" si="32"/>
        <v>5.9491721429798337E-5</v>
      </c>
      <c r="X51" s="15">
        <f t="shared" si="33"/>
        <v>9.3479834736953649E-5</v>
      </c>
      <c r="Y51" s="13">
        <f t="shared" si="34"/>
        <v>1.0040324364205693</v>
      </c>
      <c r="Z51" s="13">
        <f t="shared" si="35"/>
        <v>57.526821101135781</v>
      </c>
      <c r="AA51" s="13">
        <f t="shared" si="36"/>
        <v>302.47317889886421</v>
      </c>
      <c r="AB51" s="13">
        <v>120</v>
      </c>
      <c r="AC51" s="13">
        <v>13</v>
      </c>
      <c r="AD51" s="13">
        <f t="shared" si="20"/>
        <v>4</v>
      </c>
      <c r="AE51" s="16">
        <f t="shared" si="21"/>
        <v>177.52682110113579</v>
      </c>
      <c r="AF51" s="15">
        <f t="shared" si="0"/>
        <v>0.14730624875526405</v>
      </c>
      <c r="AG51" s="366"/>
      <c r="AH51" s="331"/>
      <c r="AI51" s="339"/>
      <c r="AJ51" s="13">
        <f t="shared" si="1"/>
        <v>1.8032569609062894</v>
      </c>
      <c r="AK51" s="13">
        <f t="shared" si="22"/>
        <v>-3.999999999999998E-2</v>
      </c>
      <c r="AL51" s="15">
        <f t="shared" si="37"/>
        <v>18.610006994007279</v>
      </c>
      <c r="AM51" s="15">
        <f t="shared" si="23"/>
        <v>-1.3423449861783336</v>
      </c>
      <c r="AN51" s="15">
        <f t="shared" si="3"/>
        <v>7.4420908959820071</v>
      </c>
      <c r="AO51" s="15">
        <f t="shared" si="24"/>
        <v>3.8282115568931441</v>
      </c>
      <c r="AP51" s="15">
        <f t="shared" si="25"/>
        <v>0.14535508209855863</v>
      </c>
      <c r="AQ51" s="20">
        <f t="shared" si="4"/>
        <v>5.0671172493105189E-2</v>
      </c>
      <c r="AR51" s="13">
        <f t="shared" si="5"/>
        <v>227846258.04145086</v>
      </c>
      <c r="AS51" s="13">
        <f t="shared" si="26"/>
        <v>1.8555349496862841E-3</v>
      </c>
      <c r="AT51" s="15">
        <f t="shared" si="6"/>
        <v>455.59084769692549</v>
      </c>
      <c r="AU51" s="13">
        <f t="shared" si="7"/>
        <v>16871.215960525358</v>
      </c>
      <c r="AV51" s="339"/>
      <c r="AW51" s="339"/>
      <c r="AX51" s="339"/>
      <c r="AY51" s="339"/>
      <c r="AZ51" s="339"/>
      <c r="BA51" s="331"/>
      <c r="BB51" s="331"/>
      <c r="BC51" s="331"/>
      <c r="BD51" s="339"/>
      <c r="BE51" s="339"/>
      <c r="BF51" s="339"/>
      <c r="BG51" s="339"/>
      <c r="BH51" s="337"/>
      <c r="BI51" s="331"/>
      <c r="BJ51" s="331"/>
      <c r="BK51" s="331"/>
      <c r="BL51" s="23">
        <f t="shared" si="8"/>
        <v>-6.821506742828224E-3</v>
      </c>
      <c r="BM51" s="24">
        <f t="shared" si="9"/>
        <v>217.03146613657719</v>
      </c>
      <c r="BN51" s="24">
        <f t="shared" si="10"/>
        <v>5335.8547309579926</v>
      </c>
      <c r="BO51" s="24">
        <f t="shared" si="11"/>
        <v>41.155597681779327</v>
      </c>
      <c r="BP51" s="24">
        <f t="shared" si="27"/>
        <v>47.328937334046223</v>
      </c>
      <c r="BQ51" s="23">
        <f t="shared" si="28"/>
        <v>181.18518487766715</v>
      </c>
      <c r="BR51" s="23">
        <f t="shared" si="12"/>
        <v>2.736306985186824</v>
      </c>
      <c r="BS51" s="6">
        <f t="shared" si="13"/>
        <v>436.67306785477103</v>
      </c>
      <c r="BT51" s="23">
        <f t="shared" si="14"/>
        <v>445.58476311711331</v>
      </c>
      <c r="BU51" s="22">
        <f t="shared" si="15"/>
        <v>568.34791213917504</v>
      </c>
      <c r="BV51" s="22">
        <f t="shared" si="16"/>
        <v>27.06418629234167</v>
      </c>
      <c r="BW51" s="23">
        <f t="shared" si="29"/>
        <v>5.1607548325043788E-3</v>
      </c>
      <c r="BX51" s="331"/>
      <c r="BY51" s="361"/>
      <c r="BZ51" s="361"/>
      <c r="CA51" s="361"/>
    </row>
    <row r="52" spans="3:82" ht="15.75" x14ac:dyDescent="0.3">
      <c r="C52" s="13"/>
      <c r="D52" s="379"/>
      <c r="E52" s="379"/>
      <c r="F52" s="19" t="s">
        <v>128</v>
      </c>
      <c r="G52" s="257"/>
      <c r="H52" s="55">
        <v>0.6166666666666667</v>
      </c>
      <c r="I52" s="46">
        <v>-8.694312</v>
      </c>
      <c r="J52" s="86">
        <v>115.983756</v>
      </c>
      <c r="K52" s="13">
        <f t="shared" si="17"/>
        <v>-0.15174437059565324</v>
      </c>
      <c r="L52" s="13">
        <f t="shared" si="17"/>
        <v>2.0242984210297283</v>
      </c>
      <c r="M52" s="13">
        <v>3443</v>
      </c>
      <c r="N52" s="71">
        <f t="shared" si="30"/>
        <v>0.35492384672519262</v>
      </c>
      <c r="O52" s="339"/>
      <c r="P52" s="339"/>
      <c r="Q52" s="437"/>
      <c r="R52" s="15">
        <f t="shared" si="31"/>
        <v>4.9999999999983835E-2</v>
      </c>
      <c r="S52" s="331"/>
      <c r="T52" s="20">
        <f t="shared" si="18"/>
        <v>7.0984769345061469</v>
      </c>
      <c r="U52" s="347"/>
      <c r="V52" s="15">
        <f t="shared" si="19"/>
        <v>3.6514565351099617</v>
      </c>
      <c r="W52" s="15">
        <f t="shared" si="32"/>
        <v>5.6807116706229716E-5</v>
      </c>
      <c r="X52" s="15">
        <f t="shared" si="33"/>
        <v>8.745844881730136E-5</v>
      </c>
      <c r="Y52" s="13">
        <f t="shared" si="34"/>
        <v>0.99474972827428909</v>
      </c>
      <c r="Z52" s="13">
        <f t="shared" si="35"/>
        <v>56.99496110190222</v>
      </c>
      <c r="AA52" s="13">
        <f t="shared" si="36"/>
        <v>303.00503889809778</v>
      </c>
      <c r="AB52" s="13">
        <v>120</v>
      </c>
      <c r="AC52" s="13">
        <v>13</v>
      </c>
      <c r="AD52" s="13">
        <f t="shared" si="20"/>
        <v>4</v>
      </c>
      <c r="AE52" s="16">
        <f t="shared" si="21"/>
        <v>176.99496110190222</v>
      </c>
      <c r="AF52" s="15">
        <f t="shared" si="0"/>
        <v>0.13864379137682067</v>
      </c>
      <c r="AG52" s="366"/>
      <c r="AH52" s="331"/>
      <c r="AI52" s="339"/>
      <c r="AJ52" s="13">
        <f t="shared" si="1"/>
        <v>1.8640416016126267</v>
      </c>
      <c r="AK52" s="13">
        <f t="shared" si="22"/>
        <v>-3.999999999999998E-2</v>
      </c>
      <c r="AL52" s="15">
        <f t="shared" si="37"/>
        <v>18.610006994007279</v>
      </c>
      <c r="AM52" s="15">
        <f t="shared" si="23"/>
        <v>-1.3875930897252597</v>
      </c>
      <c r="AN52" s="15">
        <f t="shared" si="3"/>
        <v>7.0013270047984939</v>
      </c>
      <c r="AO52" s="15">
        <f t="shared" si="24"/>
        <v>3.6014826112683451</v>
      </c>
      <c r="AP52" s="15">
        <f t="shared" si="25"/>
        <v>0.13674630904209817</v>
      </c>
      <c r="AQ52" s="20">
        <f t="shared" si="4"/>
        <v>5.0693796544846244E-2</v>
      </c>
      <c r="AR52" s="13">
        <f t="shared" si="5"/>
        <v>214351877.94187787</v>
      </c>
      <c r="AS52" s="13">
        <f t="shared" si="26"/>
        <v>1.8711093650285501E-3</v>
      </c>
      <c r="AT52" s="15">
        <f t="shared" si="6"/>
        <v>406.60789698749392</v>
      </c>
      <c r="AU52" s="13">
        <f t="shared" si="7"/>
        <v>15057.303446742071</v>
      </c>
      <c r="AV52" s="339"/>
      <c r="AW52" s="339"/>
      <c r="AX52" s="339"/>
      <c r="AY52" s="339"/>
      <c r="AZ52" s="339"/>
      <c r="BA52" s="331"/>
      <c r="BB52" s="331"/>
      <c r="BC52" s="331"/>
      <c r="BD52" s="339"/>
      <c r="BE52" s="339"/>
      <c r="BF52" s="339"/>
      <c r="BG52" s="339"/>
      <c r="BH52" s="337"/>
      <c r="BI52" s="331"/>
      <c r="BJ52" s="331"/>
      <c r="BK52" s="331"/>
      <c r="BL52" s="23">
        <f t="shared" si="8"/>
        <v>-3.6891359021212198E-3</v>
      </c>
      <c r="BM52" s="24">
        <f t="shared" si="9"/>
        <v>101.50885932894282</v>
      </c>
      <c r="BN52" s="24">
        <f t="shared" si="10"/>
        <v>4722.5306131618836</v>
      </c>
      <c r="BO52" s="24">
        <f t="shared" si="11"/>
        <v>36.598917561065427</v>
      </c>
      <c r="BP52" s="24">
        <f t="shared" si="27"/>
        <v>42.088755195225239</v>
      </c>
      <c r="BQ52" s="23">
        <f t="shared" si="28"/>
        <v>151.58191996553393</v>
      </c>
      <c r="BR52" s="23">
        <f t="shared" si="12"/>
        <v>2.5742469766326788</v>
      </c>
      <c r="BS52" s="6">
        <f t="shared" si="13"/>
        <v>365.32645904441631</v>
      </c>
      <c r="BT52" s="23">
        <f t="shared" si="14"/>
        <v>372.78210106573096</v>
      </c>
      <c r="BU52" s="22">
        <f t="shared" si="15"/>
        <v>475.48737380833029</v>
      </c>
      <c r="BV52" s="22">
        <f t="shared" si="16"/>
        <v>22.642255895634776</v>
      </c>
      <c r="BW52" s="23">
        <f t="shared" si="29"/>
        <v>4.3194834255969082E-3</v>
      </c>
      <c r="BX52" s="331"/>
      <c r="BY52" s="362"/>
      <c r="BZ52" s="362"/>
      <c r="CA52" s="362"/>
    </row>
    <row r="53" spans="3:82" ht="15.75" x14ac:dyDescent="0.3">
      <c r="C53" s="13">
        <v>4</v>
      </c>
      <c r="D53" s="379"/>
      <c r="E53" s="379"/>
      <c r="F53" s="19" t="s">
        <v>128</v>
      </c>
      <c r="G53" s="255">
        <v>0.61805555555555503</v>
      </c>
      <c r="H53" s="54">
        <v>0.61805555555555503</v>
      </c>
      <c r="I53" s="13">
        <v>-8.6913049999999998</v>
      </c>
      <c r="J53" s="13">
        <v>115.97997100000001</v>
      </c>
      <c r="K53" s="13">
        <f t="shared" si="17"/>
        <v>-0.15169188854504576</v>
      </c>
      <c r="L53" s="13">
        <f t="shared" si="17"/>
        <v>2.0242323603175403</v>
      </c>
      <c r="M53" s="13">
        <v>3443</v>
      </c>
      <c r="N53" s="71">
        <f t="shared" si="30"/>
        <v>0.2884465397016876</v>
      </c>
      <c r="O53" s="398"/>
      <c r="P53" s="398"/>
      <c r="Q53" s="437"/>
      <c r="R53" s="15">
        <f t="shared" si="31"/>
        <v>3.3333333333319892E-2</v>
      </c>
      <c r="S53" s="358"/>
      <c r="T53" s="20">
        <f t="shared" si="18"/>
        <v>8.6533961910541173</v>
      </c>
      <c r="U53" s="348"/>
      <c r="V53" s="15">
        <f t="shared" si="19"/>
        <v>4.4513070006782378</v>
      </c>
      <c r="W53" s="15">
        <f t="shared" si="32"/>
        <v>5.3098406459601957E-5</v>
      </c>
      <c r="X53" s="15">
        <f t="shared" si="33"/>
        <v>6.6060712188065196E-5</v>
      </c>
      <c r="Y53" s="13">
        <f t="shared" si="34"/>
        <v>0.89375358281153849</v>
      </c>
      <c r="Z53" s="13">
        <f t="shared" si="35"/>
        <v>51.208308219797274</v>
      </c>
      <c r="AA53" s="13">
        <f t="shared" si="36"/>
        <v>308.79169178020271</v>
      </c>
      <c r="AB53" s="13">
        <v>120</v>
      </c>
      <c r="AC53" s="13">
        <v>13</v>
      </c>
      <c r="AD53" s="13">
        <f t="shared" si="20"/>
        <v>4</v>
      </c>
      <c r="AE53" s="16">
        <f t="shared" si="21"/>
        <v>171.20830821979729</v>
      </c>
      <c r="AF53" s="15">
        <f t="shared" si="0"/>
        <v>0.16901367255015948</v>
      </c>
      <c r="AG53" s="366"/>
      <c r="AH53" s="331"/>
      <c r="AI53" s="339"/>
      <c r="AJ53" s="13">
        <f t="shared" si="1"/>
        <v>1.6432882020612567</v>
      </c>
      <c r="AK53" s="13">
        <f t="shared" si="22"/>
        <v>-3.999999999999998E-2</v>
      </c>
      <c r="AL53" s="15">
        <f t="shared" si="37"/>
        <v>18.610006994007279</v>
      </c>
      <c r="AM53" s="15">
        <f t="shared" si="23"/>
        <v>-1.2232641973411849</v>
      </c>
      <c r="AN53" s="15">
        <f t="shared" si="3"/>
        <v>8.5488215181282552</v>
      </c>
      <c r="AO53" s="15">
        <f t="shared" si="24"/>
        <v>4.3975137889251741</v>
      </c>
      <c r="AP53" s="15">
        <f t="shared" si="25"/>
        <v>0.16697117395923589</v>
      </c>
      <c r="AQ53" s="20">
        <f t="shared" si="4"/>
        <v>3.374108806576679E-2</v>
      </c>
      <c r="AR53" s="13">
        <f t="shared" si="5"/>
        <v>261729804.27065012</v>
      </c>
      <c r="AS53" s="13">
        <f t="shared" si="26"/>
        <v>1.8208816031358784E-3</v>
      </c>
      <c r="AT53" s="15">
        <f t="shared" si="6"/>
        <v>589.94309203181547</v>
      </c>
      <c r="AU53" s="13">
        <f t="shared" si="7"/>
        <v>21846.48212404381</v>
      </c>
      <c r="AV53" s="339"/>
      <c r="AW53" s="339"/>
      <c r="AX53" s="339"/>
      <c r="AY53" s="339"/>
      <c r="AZ53" s="339"/>
      <c r="BA53" s="331"/>
      <c r="BB53" s="331"/>
      <c r="BC53" s="331"/>
      <c r="BD53" s="339"/>
      <c r="BE53" s="339"/>
      <c r="BF53" s="339"/>
      <c r="BG53" s="339"/>
      <c r="BH53" s="337"/>
      <c r="BI53" s="331"/>
      <c r="BJ53" s="331"/>
      <c r="BK53" s="331"/>
      <c r="BL53" s="23">
        <f t="shared" si="8"/>
        <v>-2.1460894360543055E-2</v>
      </c>
      <c r="BM53" s="24">
        <f t="shared" si="9"/>
        <v>1059.4203107331775</v>
      </c>
      <c r="BN53" s="24">
        <f t="shared" si="10"/>
        <v>7040.873752192334</v>
      </c>
      <c r="BO53" s="24">
        <f t="shared" si="11"/>
        <v>54.202128206801561</v>
      </c>
      <c r="BP53" s="24">
        <f t="shared" si="27"/>
        <v>62.332447437821799</v>
      </c>
      <c r="BQ53" s="23">
        <f t="shared" si="28"/>
        <v>274.10779710527498</v>
      </c>
      <c r="BR53" s="23">
        <f t="shared" si="12"/>
        <v>3.1432295523021963</v>
      </c>
      <c r="BS53" s="6">
        <f t="shared" si="13"/>
        <v>660.62516516286757</v>
      </c>
      <c r="BT53" s="23">
        <f t="shared" si="14"/>
        <v>674.10731139068116</v>
      </c>
      <c r="BU53" s="22">
        <f t="shared" si="15"/>
        <v>859.83075432484839</v>
      </c>
      <c r="BV53" s="22">
        <f t="shared" si="16"/>
        <v>40.944321634516591</v>
      </c>
      <c r="BW53" s="23">
        <f t="shared" si="29"/>
        <v>5.1988832364366277E-3</v>
      </c>
      <c r="BX53" s="331"/>
      <c r="BY53" s="360">
        <f t="shared" ref="BY53" si="49">SUM(BW54:BW59)*1000</f>
        <v>99.792248521425464</v>
      </c>
      <c r="BZ53" s="360">
        <v>70</v>
      </c>
      <c r="CA53" s="360">
        <f t="shared" ref="CA53" si="50">AVERAGE(AN53:AN59)</f>
        <v>10.314037178596811</v>
      </c>
    </row>
    <row r="54" spans="3:82" ht="15.75" x14ac:dyDescent="0.3">
      <c r="C54" s="13"/>
      <c r="D54" s="379"/>
      <c r="E54" s="379"/>
      <c r="F54" s="19" t="s">
        <v>128</v>
      </c>
      <c r="G54" s="256"/>
      <c r="H54" s="54">
        <v>0.62013888888888891</v>
      </c>
      <c r="I54" s="13">
        <v>-8.6885890000000003</v>
      </c>
      <c r="J54" s="13">
        <v>115.973703</v>
      </c>
      <c r="K54" s="13">
        <f t="shared" si="17"/>
        <v>-0.15164448540256159</v>
      </c>
      <c r="L54" s="13">
        <f t="shared" si="17"/>
        <v>2.0241229630800253</v>
      </c>
      <c r="M54" s="13">
        <v>3443</v>
      </c>
      <c r="N54" s="71">
        <f t="shared" si="30"/>
        <v>0.40653098819342998</v>
      </c>
      <c r="O54" s="357">
        <f t="shared" ref="O54" si="51">SUM(N54:N60)</f>
        <v>3.3293002826392786</v>
      </c>
      <c r="P54" s="338">
        <v>3.35</v>
      </c>
      <c r="Q54" s="437">
        <f t="shared" ref="Q54" si="52">ABS((O54-P54)/P54*100%)</f>
        <v>6.1790201076780639E-3</v>
      </c>
      <c r="R54" s="15">
        <f t="shared" si="31"/>
        <v>5.0000000000013145E-2</v>
      </c>
      <c r="S54" s="357">
        <f t="shared" ref="S54" si="53">SUM(R54:R60)</f>
        <v>0.33333333333333481</v>
      </c>
      <c r="T54" s="20">
        <f t="shared" si="18"/>
        <v>8.1306197638664628</v>
      </c>
      <c r="U54" s="346">
        <f t="shared" ref="U54" si="54">AVERAGE(T54:T60)</f>
        <v>9.9759010551480909</v>
      </c>
      <c r="V54" s="15">
        <f t="shared" si="19"/>
        <v>4.1823908065329078</v>
      </c>
      <c r="W54" s="15">
        <f t="shared" si="32"/>
        <v>4.7959482889809505E-5</v>
      </c>
      <c r="X54" s="15">
        <f t="shared" si="33"/>
        <v>1.0939723751501873E-4</v>
      </c>
      <c r="Y54" s="13">
        <f t="shared" si="34"/>
        <v>1.1576327648838884</v>
      </c>
      <c r="Z54" s="13">
        <f t="shared" si="35"/>
        <v>66.327471653907139</v>
      </c>
      <c r="AA54" s="13">
        <f t="shared" si="36"/>
        <v>293.67252834609286</v>
      </c>
      <c r="AB54" s="13">
        <v>120</v>
      </c>
      <c r="AC54" s="13">
        <v>13</v>
      </c>
      <c r="AD54" s="13">
        <f t="shared" si="20"/>
        <v>4</v>
      </c>
      <c r="AE54" s="16">
        <f t="shared" si="21"/>
        <v>173.67252834609286</v>
      </c>
      <c r="AF54" s="15">
        <f t="shared" si="0"/>
        <v>0.15880307292766913</v>
      </c>
      <c r="AG54" s="366"/>
      <c r="AH54" s="331"/>
      <c r="AI54" s="339"/>
      <c r="AJ54" s="13">
        <f t="shared" si="1"/>
        <v>1.7198950049008852</v>
      </c>
      <c r="AK54" s="13">
        <f t="shared" si="22"/>
        <v>-3.999999999999998E-2</v>
      </c>
      <c r="AL54" s="15">
        <f t="shared" si="37"/>
        <v>18.610006994007279</v>
      </c>
      <c r="AM54" s="15">
        <f t="shared" si="23"/>
        <v>-1.2802903228065456</v>
      </c>
      <c r="AN54" s="15">
        <f t="shared" si="3"/>
        <v>8.0278401038860281</v>
      </c>
      <c r="AO54" s="15">
        <f t="shared" si="24"/>
        <v>4.1295209494389722</v>
      </c>
      <c r="AP54" s="15">
        <f t="shared" si="25"/>
        <v>0.15679563360405324</v>
      </c>
      <c r="AQ54" s="20">
        <f t="shared" si="4"/>
        <v>5.0640145161416572E-2</v>
      </c>
      <c r="AR54" s="13">
        <f t="shared" si="5"/>
        <v>245779493.07405847</v>
      </c>
      <c r="AS54" s="13">
        <f t="shared" si="26"/>
        <v>1.8364765244096063E-3</v>
      </c>
      <c r="AT54" s="15">
        <f t="shared" si="6"/>
        <v>524.68508712910898</v>
      </c>
      <c r="AU54" s="13">
        <f t="shared" si="7"/>
        <v>19429.87981644215</v>
      </c>
      <c r="AV54" s="339"/>
      <c r="AW54" s="339"/>
      <c r="AX54" s="339"/>
      <c r="AY54" s="339"/>
      <c r="AZ54" s="339"/>
      <c r="BA54" s="331"/>
      <c r="BB54" s="331"/>
      <c r="BC54" s="331"/>
      <c r="BD54" s="339"/>
      <c r="BE54" s="339"/>
      <c r="BF54" s="339"/>
      <c r="BG54" s="339"/>
      <c r="BH54" s="337"/>
      <c r="BI54" s="331"/>
      <c r="BJ54" s="331"/>
      <c r="BK54" s="331"/>
      <c r="BL54" s="23">
        <f t="shared" si="8"/>
        <v>-1.3270870232181214E-2</v>
      </c>
      <c r="BM54" s="24">
        <f t="shared" si="9"/>
        <v>526.73079133994406</v>
      </c>
      <c r="BN54" s="24">
        <f t="shared" si="10"/>
        <v>6208.8545301369495</v>
      </c>
      <c r="BO54" s="24">
        <f t="shared" si="11"/>
        <v>47.737751786860017</v>
      </c>
      <c r="BP54" s="24">
        <f t="shared" si="27"/>
        <v>54.898414554889015</v>
      </c>
      <c r="BQ54" s="23">
        <f t="shared" si="28"/>
        <v>226.70415299539957</v>
      </c>
      <c r="BR54" s="23">
        <f t="shared" si="12"/>
        <v>2.9516751755996511</v>
      </c>
      <c r="BS54" s="6">
        <f t="shared" si="13"/>
        <v>546.37799470612617</v>
      </c>
      <c r="BT54" s="23">
        <f t="shared" si="14"/>
        <v>557.5285660266594</v>
      </c>
      <c r="BU54" s="22">
        <f t="shared" si="15"/>
        <v>711.1333750340043</v>
      </c>
      <c r="BV54" s="22">
        <f t="shared" si="16"/>
        <v>33.863494049238305</v>
      </c>
      <c r="BW54" s="23">
        <f t="shared" si="29"/>
        <v>6.4533320034803315E-3</v>
      </c>
      <c r="BX54" s="331"/>
      <c r="BY54" s="361"/>
      <c r="BZ54" s="361"/>
      <c r="CA54" s="361"/>
    </row>
    <row r="55" spans="3:82" ht="15.75" x14ac:dyDescent="0.3">
      <c r="C55" s="13"/>
      <c r="D55" s="379"/>
      <c r="E55" s="379"/>
      <c r="F55" s="19" t="s">
        <v>128</v>
      </c>
      <c r="G55" s="256"/>
      <c r="H55" s="54">
        <v>0.62222222222222301</v>
      </c>
      <c r="I55" s="13">
        <v>-8.6889090000000007</v>
      </c>
      <c r="J55" s="13">
        <v>115.963802</v>
      </c>
      <c r="K55" s="13">
        <f t="shared" si="17"/>
        <v>-0.15165007045616799</v>
      </c>
      <c r="L55" s="13">
        <f t="shared" si="17"/>
        <v>2.0239501580307855</v>
      </c>
      <c r="M55" s="13">
        <v>3443</v>
      </c>
      <c r="N55" s="71">
        <f t="shared" si="30"/>
        <v>0.58845394811941543</v>
      </c>
      <c r="O55" s="339"/>
      <c r="P55" s="339"/>
      <c r="Q55" s="437"/>
      <c r="R55" s="15">
        <f t="shared" si="31"/>
        <v>5.0000000000018474E-2</v>
      </c>
      <c r="S55" s="331"/>
      <c r="T55" s="20">
        <f t="shared" si="18"/>
        <v>11.76907896238396</v>
      </c>
      <c r="U55" s="347"/>
      <c r="V55" s="15">
        <f t="shared" si="19"/>
        <v>6.0540142182503081</v>
      </c>
      <c r="W55" s="15">
        <f t="shared" si="32"/>
        <v>-5.6505836597101218E-6</v>
      </c>
      <c r="X55" s="15">
        <f t="shared" si="33"/>
        <v>1.7280504923977702E-4</v>
      </c>
      <c r="Y55" s="13">
        <f t="shared" si="34"/>
        <v>1.6034838613252558</v>
      </c>
      <c r="Z55" s="13">
        <f t="shared" si="35"/>
        <v>91.872857771277722</v>
      </c>
      <c r="AA55" s="13">
        <f t="shared" si="36"/>
        <v>268.12714222872228</v>
      </c>
      <c r="AB55" s="13">
        <v>120</v>
      </c>
      <c r="AC55" s="13">
        <v>13</v>
      </c>
      <c r="AD55" s="13">
        <f t="shared" si="20"/>
        <v>4</v>
      </c>
      <c r="AE55" s="16">
        <f t="shared" si="21"/>
        <v>148.12714222872228</v>
      </c>
      <c r="AF55" s="15">
        <f t="shared" si="0"/>
        <v>0.22986758193525236</v>
      </c>
      <c r="AG55" s="366"/>
      <c r="AH55" s="331"/>
      <c r="AI55" s="339"/>
      <c r="AJ55" s="13">
        <f t="shared" si="1"/>
        <v>1.136556326232351</v>
      </c>
      <c r="AK55" s="13">
        <f t="shared" si="22"/>
        <v>0.33</v>
      </c>
      <c r="AL55" s="15">
        <f t="shared" si="37"/>
        <v>18.610006994007279</v>
      </c>
      <c r="AM55" s="15">
        <f t="shared" si="23"/>
        <v>6.9799359894882</v>
      </c>
      <c r="AN55" s="15">
        <f t="shared" si="3"/>
        <v>12.652194005213744</v>
      </c>
      <c r="AO55" s="15">
        <f t="shared" si="24"/>
        <v>6.5082885962819494</v>
      </c>
      <c r="AP55" s="15">
        <f t="shared" si="25"/>
        <v>0.24711612960111065</v>
      </c>
      <c r="AQ55" s="20">
        <f t="shared" si="4"/>
        <v>4.651003200527308E-2</v>
      </c>
      <c r="AR55" s="13">
        <f t="shared" si="5"/>
        <v>387358216.98426592</v>
      </c>
      <c r="AS55" s="13">
        <f t="shared" si="26"/>
        <v>1.7279819993823893E-3</v>
      </c>
      <c r="AT55" s="15">
        <f t="shared" si="6"/>
        <v>1226.2719982585031</v>
      </c>
      <c r="AU55" s="13">
        <f t="shared" si="7"/>
        <v>45410.700881170931</v>
      </c>
      <c r="AV55" s="339"/>
      <c r="AW55" s="339"/>
      <c r="AX55" s="339"/>
      <c r="AY55" s="339"/>
      <c r="AZ55" s="339"/>
      <c r="BA55" s="331"/>
      <c r="BB55" s="331"/>
      <c r="BC55" s="331"/>
      <c r="BD55" s="339"/>
      <c r="BE55" s="339"/>
      <c r="BF55" s="339"/>
      <c r="BG55" s="339"/>
      <c r="BH55" s="337"/>
      <c r="BI55" s="331"/>
      <c r="BJ55" s="331"/>
      <c r="BK55" s="331"/>
      <c r="BL55" s="23">
        <f t="shared" si="8"/>
        <v>-0.15073923580813328</v>
      </c>
      <c r="BM55" s="24">
        <f t="shared" si="9"/>
        <v>41673.822612314463</v>
      </c>
      <c r="BN55" s="24">
        <f t="shared" si="10"/>
        <v>15422.179104837853</v>
      </c>
      <c r="BO55" s="24">
        <f t="shared" si="11"/>
        <v>152.92454694901028</v>
      </c>
      <c r="BP55" s="24">
        <f t="shared" si="27"/>
        <v>175.86322899136181</v>
      </c>
      <c r="BQ55" s="23">
        <f t="shared" si="28"/>
        <v>1144.5686477498011</v>
      </c>
      <c r="BR55" s="23">
        <f t="shared" si="12"/>
        <v>4.6519569994901246</v>
      </c>
      <c r="BS55" s="6">
        <f t="shared" si="13"/>
        <v>2758.5163937148041</v>
      </c>
      <c r="BT55" s="23">
        <f t="shared" si="14"/>
        <v>2814.8126466477593</v>
      </c>
      <c r="BU55" s="22">
        <f t="shared" si="15"/>
        <v>3590.3222533772441</v>
      </c>
      <c r="BV55" s="22">
        <f t="shared" si="16"/>
        <v>170.96772635129733</v>
      </c>
      <c r="BW55" s="23">
        <f t="shared" si="29"/>
        <v>2.9923891722156506E-2</v>
      </c>
      <c r="BX55" s="331"/>
      <c r="BY55" s="361"/>
      <c r="BZ55" s="361"/>
      <c r="CA55" s="361"/>
    </row>
    <row r="56" spans="3:82" ht="15.75" x14ac:dyDescent="0.3">
      <c r="C56" s="13"/>
      <c r="D56" s="379"/>
      <c r="E56" s="379"/>
      <c r="F56" s="19" t="s">
        <v>128</v>
      </c>
      <c r="G56" s="256"/>
      <c r="H56" s="54">
        <v>0.624305555555557</v>
      </c>
      <c r="I56" s="13">
        <v>-8.6886989999999997</v>
      </c>
      <c r="J56" s="13">
        <v>115.95531099999999</v>
      </c>
      <c r="K56" s="13">
        <f t="shared" si="17"/>
        <v>-0.1516464052647388</v>
      </c>
      <c r="L56" s="13">
        <f t="shared" si="17"/>
        <v>2.0238019621239984</v>
      </c>
      <c r="M56" s="13">
        <v>3443</v>
      </c>
      <c r="N56" s="71">
        <f t="shared" si="30"/>
        <v>0.50454055390112951</v>
      </c>
      <c r="O56" s="339"/>
      <c r="P56" s="339"/>
      <c r="Q56" s="437"/>
      <c r="R56" s="15">
        <f t="shared" si="31"/>
        <v>5.000000000001581E-2</v>
      </c>
      <c r="S56" s="331"/>
      <c r="T56" s="20">
        <f t="shared" si="18"/>
        <v>10.090811078019399</v>
      </c>
      <c r="U56" s="347"/>
      <c r="V56" s="15">
        <f t="shared" si="19"/>
        <v>5.1907132185331788</v>
      </c>
      <c r="W56" s="15">
        <f t="shared" si="32"/>
        <v>3.7081960735590392E-6</v>
      </c>
      <c r="X56" s="15">
        <f t="shared" si="33"/>
        <v>1.4819590678705197E-4</v>
      </c>
      <c r="Y56" s="13">
        <f t="shared" si="34"/>
        <v>1.5457792900391325</v>
      </c>
      <c r="Z56" s="13">
        <f t="shared" si="35"/>
        <v>88.566629377971068</v>
      </c>
      <c r="AA56" s="13">
        <f t="shared" si="36"/>
        <v>271.43337062202892</v>
      </c>
      <c r="AB56" s="13">
        <v>120</v>
      </c>
      <c r="AC56" s="13">
        <v>13</v>
      </c>
      <c r="AD56" s="13">
        <f t="shared" si="20"/>
        <v>4</v>
      </c>
      <c r="AE56" s="16">
        <f t="shared" si="21"/>
        <v>151.43337062202892</v>
      </c>
      <c r="AF56" s="15">
        <f t="shared" si="0"/>
        <v>0.19708851896426785</v>
      </c>
      <c r="AG56" s="366"/>
      <c r="AH56" s="331"/>
      <c r="AI56" s="339"/>
      <c r="AJ56" s="13">
        <f t="shared" si="1"/>
        <v>1.4201834218648777</v>
      </c>
      <c r="AK56" s="13">
        <f t="shared" si="22"/>
        <v>-3.999999999999998E-2</v>
      </c>
      <c r="AL56" s="15">
        <f t="shared" si="37"/>
        <v>18.610006994007279</v>
      </c>
      <c r="AM56" s="15">
        <f t="shared" si="23"/>
        <v>-1.057184936547142</v>
      </c>
      <c r="AN56" s="15">
        <f t="shared" si="3"/>
        <v>9.9852485346344508</v>
      </c>
      <c r="AO56" s="15">
        <f t="shared" si="24"/>
        <v>5.1364118462159611</v>
      </c>
      <c r="AP56" s="15">
        <f t="shared" si="25"/>
        <v>0.19502672579690192</v>
      </c>
      <c r="AQ56" s="20">
        <f t="shared" si="4"/>
        <v>5.0528592468289543E-2</v>
      </c>
      <c r="AR56" s="13">
        <f t="shared" si="5"/>
        <v>305707300.00874746</v>
      </c>
      <c r="AS56" s="13">
        <f t="shared" si="26"/>
        <v>1.7832011845586662E-3</v>
      </c>
      <c r="AT56" s="15">
        <f t="shared" si="6"/>
        <v>788.19561418319631</v>
      </c>
      <c r="AU56" s="13">
        <f t="shared" si="7"/>
        <v>29188.071914187771</v>
      </c>
      <c r="AV56" s="339"/>
      <c r="AW56" s="339"/>
      <c r="AX56" s="339"/>
      <c r="AY56" s="339"/>
      <c r="AZ56" s="339"/>
      <c r="BA56" s="331"/>
      <c r="BB56" s="331"/>
      <c r="BC56" s="331"/>
      <c r="BD56" s="339"/>
      <c r="BE56" s="339"/>
      <c r="BF56" s="339"/>
      <c r="BG56" s="339"/>
      <c r="BH56" s="337"/>
      <c r="BI56" s="331"/>
      <c r="BJ56" s="331"/>
      <c r="BK56" s="331"/>
      <c r="BL56" s="23">
        <f t="shared" si="8"/>
        <v>-5.5923551073594514E-2</v>
      </c>
      <c r="BM56" s="24">
        <f t="shared" si="9"/>
        <v>5321.4973178009468</v>
      </c>
      <c r="BN56" s="24">
        <f t="shared" si="10"/>
        <v>9605.7618495147726</v>
      </c>
      <c r="BO56" s="24">
        <f t="shared" si="11"/>
        <v>76.521782382861019</v>
      </c>
      <c r="BP56" s="24">
        <f t="shared" si="27"/>
        <v>88.000049740290166</v>
      </c>
      <c r="BQ56" s="23">
        <f t="shared" si="28"/>
        <v>452.00449795362022</v>
      </c>
      <c r="BR56" s="23">
        <f t="shared" si="12"/>
        <v>3.6713748455959205</v>
      </c>
      <c r="BS56" s="6">
        <f t="shared" si="13"/>
        <v>1089.3726820922416</v>
      </c>
      <c r="BT56" s="23">
        <f t="shared" si="14"/>
        <v>1111.6047776451444</v>
      </c>
      <c r="BU56" s="22">
        <f t="shared" si="15"/>
        <v>1417.8632367922758</v>
      </c>
      <c r="BV56" s="22">
        <f t="shared" si="16"/>
        <v>67.517296990108363</v>
      </c>
      <c r="BW56" s="23">
        <f t="shared" si="29"/>
        <v>1.2838359953242309E-2</v>
      </c>
      <c r="BX56" s="331"/>
      <c r="BY56" s="361"/>
      <c r="BZ56" s="361"/>
      <c r="CA56" s="361"/>
    </row>
    <row r="57" spans="3:82" ht="15.75" x14ac:dyDescent="0.3">
      <c r="C57" s="13"/>
      <c r="D57" s="379"/>
      <c r="E57" s="379"/>
      <c r="F57" s="19" t="s">
        <v>128</v>
      </c>
      <c r="G57" s="256"/>
      <c r="H57" s="54">
        <v>0.62638888888889099</v>
      </c>
      <c r="I57" s="13">
        <v>-8.6902749999999997</v>
      </c>
      <c r="J57" s="13">
        <v>115.946624</v>
      </c>
      <c r="K57" s="13">
        <f t="shared" si="17"/>
        <v>-0.15167391165375022</v>
      </c>
      <c r="L57" s="13">
        <f t="shared" si="17"/>
        <v>2.0236503453718777</v>
      </c>
      <c r="M57" s="13">
        <v>3443</v>
      </c>
      <c r="N57" s="71">
        <f t="shared" si="30"/>
        <v>0.52464302648181294</v>
      </c>
      <c r="O57" s="339"/>
      <c r="P57" s="339"/>
      <c r="Q57" s="437"/>
      <c r="R57" s="15">
        <f t="shared" si="31"/>
        <v>5.000000000001581E-2</v>
      </c>
      <c r="S57" s="331"/>
      <c r="T57" s="20">
        <f t="shared" si="18"/>
        <v>10.49286052963294</v>
      </c>
      <c r="U57" s="347"/>
      <c r="V57" s="15">
        <f t="shared" si="19"/>
        <v>5.3975274564431839</v>
      </c>
      <c r="W57" s="15">
        <f t="shared" si="32"/>
        <v>-2.7829179598092431E-5</v>
      </c>
      <c r="X57" s="15">
        <f t="shared" si="33"/>
        <v>1.5161675212072012E-4</v>
      </c>
      <c r="Y57" s="13">
        <f t="shared" si="34"/>
        <v>1.7523252340430009</v>
      </c>
      <c r="Z57" s="13">
        <f t="shared" si="35"/>
        <v>100.40084024493815</v>
      </c>
      <c r="AA57" s="13">
        <f t="shared" si="36"/>
        <v>259.59915975506186</v>
      </c>
      <c r="AB57" s="13">
        <v>120</v>
      </c>
      <c r="AC57" s="13">
        <v>13</v>
      </c>
      <c r="AD57" s="13">
        <f t="shared" si="20"/>
        <v>4</v>
      </c>
      <c r="AE57" s="16">
        <f t="shared" si="21"/>
        <v>139.59915975506186</v>
      </c>
      <c r="AF57" s="15">
        <f t="shared" si="0"/>
        <v>0.20494114154893936</v>
      </c>
      <c r="AG57" s="366"/>
      <c r="AH57" s="331"/>
      <c r="AI57" s="339"/>
      <c r="AJ57" s="13">
        <f t="shared" si="1"/>
        <v>1.3545076668760885</v>
      </c>
      <c r="AK57" s="13">
        <f t="shared" si="22"/>
        <v>0.33</v>
      </c>
      <c r="AL57" s="15">
        <f t="shared" si="37"/>
        <v>18.610006994007279</v>
      </c>
      <c r="AM57" s="15">
        <f t="shared" si="23"/>
        <v>8.3184410608201613</v>
      </c>
      <c r="AN57" s="15">
        <f t="shared" si="3"/>
        <v>11.444897590139959</v>
      </c>
      <c r="AO57" s="15">
        <f t="shared" si="24"/>
        <v>5.8872553203679949</v>
      </c>
      <c r="AP57" s="15">
        <f t="shared" si="25"/>
        <v>0.22353583852658335</v>
      </c>
      <c r="AQ57" s="20">
        <f t="shared" si="4"/>
        <v>4.5840779469604416E-2</v>
      </c>
      <c r="AR57" s="13">
        <f t="shared" si="5"/>
        <v>350395759.20644772</v>
      </c>
      <c r="AS57" s="13">
        <f t="shared" si="26"/>
        <v>1.7510579133563147E-3</v>
      </c>
      <c r="AT57" s="15">
        <f t="shared" si="6"/>
        <v>1016.8110184754706</v>
      </c>
      <c r="AU57" s="13">
        <f t="shared" si="7"/>
        <v>37654.045006526096</v>
      </c>
      <c r="AV57" s="339"/>
      <c r="AW57" s="339"/>
      <c r="AX57" s="339"/>
      <c r="AY57" s="339"/>
      <c r="AZ57" s="339"/>
      <c r="BA57" s="331"/>
      <c r="BB57" s="331"/>
      <c r="BC57" s="331"/>
      <c r="BD57" s="339"/>
      <c r="BE57" s="339"/>
      <c r="BF57" s="339"/>
      <c r="BG57" s="339"/>
      <c r="BH57" s="337"/>
      <c r="BI57" s="331"/>
      <c r="BJ57" s="331"/>
      <c r="BK57" s="331"/>
      <c r="BL57" s="23">
        <f t="shared" si="8"/>
        <v>-0.10477798668156085</v>
      </c>
      <c r="BM57" s="24">
        <f t="shared" si="9"/>
        <v>18732.659223590839</v>
      </c>
      <c r="BN57" s="24">
        <f t="shared" si="10"/>
        <v>12619.375956285963</v>
      </c>
      <c r="BO57" s="24">
        <f t="shared" si="11"/>
        <v>110.81199252588769</v>
      </c>
      <c r="BP57" s="24">
        <f t="shared" si="27"/>
        <v>127.43379140477084</v>
      </c>
      <c r="BQ57" s="23">
        <f t="shared" si="28"/>
        <v>750.23526644240246</v>
      </c>
      <c r="BR57" s="23">
        <f t="shared" si="12"/>
        <v>4.2080584150827516</v>
      </c>
      <c r="BS57" s="6">
        <f t="shared" si="13"/>
        <v>1808.1364413510958</v>
      </c>
      <c r="BT57" s="23">
        <f t="shared" si="14"/>
        <v>1845.0371850521385</v>
      </c>
      <c r="BU57" s="22">
        <f t="shared" si="15"/>
        <v>2353.3637564440542</v>
      </c>
      <c r="BV57" s="22">
        <f t="shared" si="16"/>
        <v>112.0649407830502</v>
      </c>
      <c r="BW57" s="23">
        <f t="shared" si="29"/>
        <v>1.9332101191587382E-2</v>
      </c>
      <c r="BX57" s="331"/>
      <c r="BY57" s="361"/>
      <c r="BZ57" s="361"/>
      <c r="CA57" s="361"/>
    </row>
    <row r="58" spans="3:82" ht="15.75" x14ac:dyDescent="0.3">
      <c r="C58" s="13"/>
      <c r="D58" s="379"/>
      <c r="E58" s="379"/>
      <c r="F58" s="19" t="s">
        <v>128</v>
      </c>
      <c r="G58" s="256"/>
      <c r="H58" s="54">
        <v>0.62847222222222399</v>
      </c>
      <c r="I58" s="13">
        <v>-8.6904889999999995</v>
      </c>
      <c r="J58" s="13">
        <v>115.93895000000001</v>
      </c>
      <c r="K58" s="13">
        <f t="shared" si="17"/>
        <v>-0.15167764665834949</v>
      </c>
      <c r="L58" s="13">
        <f t="shared" si="17"/>
        <v>2.0235164088050799</v>
      </c>
      <c r="M58" s="13">
        <v>3443</v>
      </c>
      <c r="N58" s="71">
        <f t="shared" si="30"/>
        <v>0.4560306821820847</v>
      </c>
      <c r="O58" s="339"/>
      <c r="P58" s="339"/>
      <c r="Q58" s="437"/>
      <c r="R58" s="15">
        <f t="shared" si="31"/>
        <v>4.9999999999991829E-2</v>
      </c>
      <c r="S58" s="331"/>
      <c r="T58" s="20">
        <f t="shared" si="18"/>
        <v>9.1206136436431837</v>
      </c>
      <c r="U58" s="347"/>
      <c r="V58" s="15">
        <f t="shared" si="19"/>
        <v>4.6916436582900536</v>
      </c>
      <c r="W58" s="15">
        <f t="shared" si="32"/>
        <v>-3.7788443708399703E-6</v>
      </c>
      <c r="X58" s="15">
        <f t="shared" si="33"/>
        <v>1.3393656679783206E-4</v>
      </c>
      <c r="Y58" s="13">
        <f t="shared" si="34"/>
        <v>1.5990025312028093</v>
      </c>
      <c r="Z58" s="13">
        <f t="shared" si="35"/>
        <v>91.616096468656707</v>
      </c>
      <c r="AA58" s="13">
        <f t="shared" si="36"/>
        <v>268.38390353134332</v>
      </c>
      <c r="AB58" s="13">
        <v>120</v>
      </c>
      <c r="AC58" s="13">
        <v>13</v>
      </c>
      <c r="AD58" s="13">
        <f t="shared" si="20"/>
        <v>4</v>
      </c>
      <c r="AE58" s="16">
        <f t="shared" si="21"/>
        <v>148.38390353134332</v>
      </c>
      <c r="AF58" s="15">
        <f t="shared" si="0"/>
        <v>0.17813912292804041</v>
      </c>
      <c r="AG58" s="366"/>
      <c r="AH58" s="331"/>
      <c r="AI58" s="339"/>
      <c r="AJ58" s="13">
        <f t="shared" si="1"/>
        <v>1.5727760986024213</v>
      </c>
      <c r="AK58" s="13">
        <f t="shared" si="22"/>
        <v>0.33</v>
      </c>
      <c r="AL58" s="15">
        <f t="shared" si="37"/>
        <v>18.610006994007279</v>
      </c>
      <c r="AM58" s="15">
        <f t="shared" si="23"/>
        <v>9.6588934843495196</v>
      </c>
      <c r="AN58" s="15">
        <f t="shared" si="3"/>
        <v>10.09575153041008</v>
      </c>
      <c r="AO58" s="15">
        <f t="shared" si="24"/>
        <v>5.1932545872429445</v>
      </c>
      <c r="AP58" s="15">
        <f t="shared" si="25"/>
        <v>0.19718501333297261</v>
      </c>
      <c r="AQ58" s="20">
        <f t="shared" si="4"/>
        <v>4.517055325781786E-2</v>
      </c>
      <c r="AR58" s="13">
        <f t="shared" si="5"/>
        <v>309090447.89578027</v>
      </c>
      <c r="AS58" s="13">
        <f t="shared" si="26"/>
        <v>1.7805755917847945E-3</v>
      </c>
      <c r="AT58" s="15">
        <f t="shared" si="6"/>
        <v>804.55110320410074</v>
      </c>
      <c r="AU58" s="13">
        <f t="shared" si="7"/>
        <v>29793.740330940611</v>
      </c>
      <c r="AV58" s="339"/>
      <c r="AW58" s="339"/>
      <c r="AX58" s="339"/>
      <c r="AY58" s="339"/>
      <c r="AZ58" s="339"/>
      <c r="BA58" s="331"/>
      <c r="BB58" s="331"/>
      <c r="BC58" s="331"/>
      <c r="BD58" s="339"/>
      <c r="BE58" s="339"/>
      <c r="BF58" s="339"/>
      <c r="BG58" s="339"/>
      <c r="BH58" s="337"/>
      <c r="BI58" s="331"/>
      <c r="BJ58" s="331"/>
      <c r="BK58" s="331"/>
      <c r="BL58" s="23">
        <f t="shared" si="8"/>
        <v>-5.9217957615168966E-2</v>
      </c>
      <c r="BM58" s="24">
        <f t="shared" si="9"/>
        <v>5927.8783588431161</v>
      </c>
      <c r="BN58" s="24">
        <f t="shared" si="10"/>
        <v>9819.5449871501514</v>
      </c>
      <c r="BO58" s="24">
        <f t="shared" si="11"/>
        <v>78.620066523223031</v>
      </c>
      <c r="BP58" s="24">
        <f t="shared" si="27"/>
        <v>90.413076501706485</v>
      </c>
      <c r="BQ58" s="23">
        <f t="shared" si="28"/>
        <v>469.53812428923447</v>
      </c>
      <c r="BR58" s="23">
        <f t="shared" si="12"/>
        <v>3.7120045723019155</v>
      </c>
      <c r="BS58" s="6">
        <f t="shared" si="13"/>
        <v>1131.6303446476065</v>
      </c>
      <c r="BT58" s="23">
        <f t="shared" si="14"/>
        <v>1154.7248414771495</v>
      </c>
      <c r="BU58" s="22">
        <f t="shared" si="15"/>
        <v>1472.86331821065</v>
      </c>
      <c r="BV58" s="22">
        <f t="shared" si="16"/>
        <v>70.136348486221436</v>
      </c>
      <c r="BW58" s="23">
        <f t="shared" si="29"/>
        <v>1.1922185131444314E-2</v>
      </c>
      <c r="BX58" s="331"/>
      <c r="BY58" s="361"/>
      <c r="BZ58" s="361"/>
      <c r="CA58" s="361"/>
    </row>
    <row r="59" spans="3:82" ht="15.75" x14ac:dyDescent="0.3">
      <c r="C59" s="13"/>
      <c r="D59" s="379"/>
      <c r="E59" s="379"/>
      <c r="F59" s="19" t="s">
        <v>128</v>
      </c>
      <c r="G59" s="256"/>
      <c r="H59" s="54">
        <v>0.63055555555555798</v>
      </c>
      <c r="I59" s="13">
        <v>-8.6918620000000004</v>
      </c>
      <c r="J59" s="13">
        <v>115.930229</v>
      </c>
      <c r="K59" s="13">
        <f t="shared" si="17"/>
        <v>-0.15170161002897939</v>
      </c>
      <c r="L59" s="13">
        <f t="shared" si="17"/>
        <v>2.0233641986410134</v>
      </c>
      <c r="M59" s="13">
        <v>3443</v>
      </c>
      <c r="N59" s="71">
        <f t="shared" si="30"/>
        <v>0.5245709104368429</v>
      </c>
      <c r="O59" s="339"/>
      <c r="P59" s="339"/>
      <c r="Q59" s="437"/>
      <c r="R59" s="15">
        <f t="shared" si="31"/>
        <v>5.000000000001581E-2</v>
      </c>
      <c r="S59" s="331"/>
      <c r="T59" s="20">
        <f t="shared" si="18"/>
        <v>10.49141820873354</v>
      </c>
      <c r="U59" s="347"/>
      <c r="V59" s="15">
        <f t="shared" si="19"/>
        <v>5.3967855265725326</v>
      </c>
      <c r="W59" s="15">
        <f t="shared" si="32"/>
        <v>-2.4244693285621301E-5</v>
      </c>
      <c r="X59" s="15">
        <f t="shared" si="33"/>
        <v>1.522101640665241E-4</v>
      </c>
      <c r="Y59" s="13">
        <f t="shared" si="34"/>
        <v>1.7287537004208748</v>
      </c>
      <c r="Z59" s="13">
        <f t="shared" si="35"/>
        <v>99.050290851739618</v>
      </c>
      <c r="AA59" s="13">
        <f t="shared" si="36"/>
        <v>260.94970914826035</v>
      </c>
      <c r="AB59" s="13">
        <v>120</v>
      </c>
      <c r="AC59" s="13">
        <v>13</v>
      </c>
      <c r="AD59" s="13">
        <f t="shared" si="20"/>
        <v>4</v>
      </c>
      <c r="AE59" s="16">
        <f t="shared" si="21"/>
        <v>140.94970914826035</v>
      </c>
      <c r="AF59" s="15">
        <f t="shared" si="0"/>
        <v>0.20491297088082003</v>
      </c>
      <c r="AG59" s="366"/>
      <c r="AH59" s="331"/>
      <c r="AI59" s="339"/>
      <c r="AJ59" s="13">
        <f t="shared" si="1"/>
        <v>1.3547458303726019</v>
      </c>
      <c r="AK59" s="13">
        <f t="shared" si="22"/>
        <v>0.33</v>
      </c>
      <c r="AL59" s="15">
        <f t="shared" si="37"/>
        <v>18.610006994007279</v>
      </c>
      <c r="AM59" s="15">
        <f t="shared" si="23"/>
        <v>8.3199036948509857</v>
      </c>
      <c r="AN59" s="15">
        <f t="shared" si="3"/>
        <v>11.443506967765163</v>
      </c>
      <c r="AO59" s="15">
        <f t="shared" si="24"/>
        <v>5.8865399842184001</v>
      </c>
      <c r="AP59" s="15">
        <f t="shared" si="25"/>
        <v>0.22350867760738982</v>
      </c>
      <c r="AQ59" s="20">
        <f t="shared" si="4"/>
        <v>4.5840048152589005E-2</v>
      </c>
      <c r="AR59" s="13">
        <f t="shared" si="5"/>
        <v>350353184.06071591</v>
      </c>
      <c r="AS59" s="13">
        <f t="shared" si="26"/>
        <v>1.7510861532710402E-3</v>
      </c>
      <c r="AT59" s="15">
        <f t="shared" si="6"/>
        <v>1016.5803309254277</v>
      </c>
      <c r="AU59" s="13">
        <f t="shared" si="7"/>
        <v>37645.502298752552</v>
      </c>
      <c r="AV59" s="339"/>
      <c r="AW59" s="339"/>
      <c r="AX59" s="339"/>
      <c r="AY59" s="339"/>
      <c r="AZ59" s="339"/>
      <c r="BA59" s="331"/>
      <c r="BB59" s="331"/>
      <c r="BC59" s="331"/>
      <c r="BD59" s="339"/>
      <c r="BE59" s="339"/>
      <c r="BF59" s="339"/>
      <c r="BG59" s="339"/>
      <c r="BH59" s="337"/>
      <c r="BI59" s="331"/>
      <c r="BJ59" s="331"/>
      <c r="BK59" s="331"/>
      <c r="BL59" s="23">
        <f t="shared" si="8"/>
        <v>-0.10472703288338912</v>
      </c>
      <c r="BM59" s="24">
        <f t="shared" si="9"/>
        <v>18713.248863179309</v>
      </c>
      <c r="BN59" s="24">
        <f t="shared" si="10"/>
        <v>12616.309485785519</v>
      </c>
      <c r="BO59" s="24">
        <f t="shared" si="11"/>
        <v>110.77148833044721</v>
      </c>
      <c r="BP59" s="24">
        <f t="shared" si="27"/>
        <v>127.3872115800143</v>
      </c>
      <c r="BQ59" s="23">
        <f t="shared" si="28"/>
        <v>749.8699144438433</v>
      </c>
      <c r="BR59" s="23">
        <f t="shared" si="12"/>
        <v>4.2075471112339953</v>
      </c>
      <c r="BS59" s="6">
        <f t="shared" si="13"/>
        <v>1807.2559092139597</v>
      </c>
      <c r="BT59" s="23">
        <f t="shared" si="14"/>
        <v>1844.1386828713876</v>
      </c>
      <c r="BU59" s="22">
        <f t="shared" si="15"/>
        <v>2352.2177077441165</v>
      </c>
      <c r="BV59" s="22">
        <f t="shared" si="16"/>
        <v>112.01036703543411</v>
      </c>
      <c r="BW59" s="23">
        <f t="shared" si="29"/>
        <v>1.932237851951462E-2</v>
      </c>
      <c r="BX59" s="331"/>
      <c r="BY59" s="362"/>
      <c r="BZ59" s="362"/>
      <c r="CA59" s="362"/>
    </row>
    <row r="60" spans="3:82" s="203" customFormat="1" ht="15.75" x14ac:dyDescent="0.3">
      <c r="C60" s="195">
        <v>5</v>
      </c>
      <c r="D60" s="379"/>
      <c r="E60" s="379"/>
      <c r="F60" s="196" t="s">
        <v>128</v>
      </c>
      <c r="G60" s="438">
        <v>0.63194444444444398</v>
      </c>
      <c r="H60" s="197">
        <v>0.63194444444444398</v>
      </c>
      <c r="I60" s="195">
        <v>-8.6925329999999992</v>
      </c>
      <c r="J60" s="195">
        <v>115.924808</v>
      </c>
      <c r="K60" s="195">
        <f t="shared" si="17"/>
        <v>-0.15171332118826025</v>
      </c>
      <c r="L60" s="195">
        <f t="shared" si="17"/>
        <v>2.0232695843422626</v>
      </c>
      <c r="M60" s="195">
        <v>3443</v>
      </c>
      <c r="N60" s="198">
        <f t="shared" si="30"/>
        <v>0.3245301733245628</v>
      </c>
      <c r="O60" s="398"/>
      <c r="P60" s="398"/>
      <c r="Q60" s="437"/>
      <c r="R60" s="199">
        <f t="shared" si="31"/>
        <v>3.3333333333263937E-2</v>
      </c>
      <c r="S60" s="358"/>
      <c r="T60" s="200">
        <f t="shared" si="18"/>
        <v>9.7359051997571537</v>
      </c>
      <c r="U60" s="348"/>
      <c r="V60" s="199">
        <f t="shared" si="19"/>
        <v>5.00814963475508</v>
      </c>
      <c r="W60" s="199">
        <f t="shared" si="32"/>
        <v>-1.1848677196950552E-5</v>
      </c>
      <c r="X60" s="199">
        <f t="shared" si="33"/>
        <v>9.4614298750794745E-5</v>
      </c>
      <c r="Y60" s="195">
        <f t="shared" si="34"/>
        <v>1.6953791143109764</v>
      </c>
      <c r="Z60" s="195">
        <f t="shared" si="35"/>
        <v>97.138067924646492</v>
      </c>
      <c r="AA60" s="195">
        <f t="shared" si="36"/>
        <v>262.86193207535348</v>
      </c>
      <c r="AB60" s="13">
        <v>120</v>
      </c>
      <c r="AC60" s="195">
        <v>13</v>
      </c>
      <c r="AD60" s="195">
        <f t="shared" si="20"/>
        <v>4</v>
      </c>
      <c r="AE60" s="201">
        <f t="shared" si="21"/>
        <v>142.86193207535348</v>
      </c>
      <c r="AF60" s="199">
        <f t="shared" si="0"/>
        <v>0.19015668034618247</v>
      </c>
      <c r="AG60" s="366"/>
      <c r="AH60" s="331"/>
      <c r="AI60" s="339"/>
      <c r="AJ60" s="195">
        <f t="shared" si="1"/>
        <v>1.4769693509878745</v>
      </c>
      <c r="AK60" s="195">
        <f t="shared" si="22"/>
        <v>0.33</v>
      </c>
      <c r="AL60" s="199">
        <f t="shared" si="37"/>
        <v>18.610006994007279</v>
      </c>
      <c r="AM60" s="199">
        <f t="shared" si="23"/>
        <v>9.0705152841001837</v>
      </c>
      <c r="AN60" s="199">
        <f t="shared" si="3"/>
        <v>10.707093777311098</v>
      </c>
      <c r="AO60" s="199">
        <f t="shared" si="24"/>
        <v>5.5077290390488285</v>
      </c>
      <c r="AP60" s="199">
        <f t="shared" si="25"/>
        <v>0.20912543487990526</v>
      </c>
      <c r="AQ60" s="200">
        <f t="shared" si="4"/>
        <v>3.0309828238570164E-2</v>
      </c>
      <c r="AR60" s="195">
        <f t="shared" si="5"/>
        <v>327807236.67005521</v>
      </c>
      <c r="AS60" s="195">
        <f t="shared" si="26"/>
        <v>1.7666477434187644E-3</v>
      </c>
      <c r="AT60" s="199">
        <f t="shared" si="6"/>
        <v>897.86095892323647</v>
      </c>
      <c r="AU60" s="195">
        <f t="shared" si="7"/>
        <v>33249.144966571585</v>
      </c>
      <c r="AV60" s="339"/>
      <c r="AW60" s="339"/>
      <c r="AX60" s="339"/>
      <c r="AY60" s="339"/>
      <c r="AZ60" s="339"/>
      <c r="BA60" s="331"/>
      <c r="BB60" s="331"/>
      <c r="BC60" s="331"/>
      <c r="BD60" s="339"/>
      <c r="BE60" s="339"/>
      <c r="BF60" s="339"/>
      <c r="BG60" s="339"/>
      <c r="BH60" s="337"/>
      <c r="BI60" s="331"/>
      <c r="BJ60" s="331"/>
      <c r="BK60" s="331"/>
      <c r="BL60" s="199">
        <f t="shared" si="8"/>
        <v>-7.8770161560448318E-2</v>
      </c>
      <c r="BM60" s="200">
        <f t="shared" si="9"/>
        <v>10362.577686357547</v>
      </c>
      <c r="BN60" s="200">
        <f t="shared" si="10"/>
        <v>11044.785097159998</v>
      </c>
      <c r="BO60" s="200">
        <f t="shared" si="11"/>
        <v>91.57182029073121</v>
      </c>
      <c r="BP60" s="200">
        <f t="shared" si="27"/>
        <v>105.30759333434089</v>
      </c>
      <c r="BQ60" s="199">
        <f t="shared" si="28"/>
        <v>580.00568983989422</v>
      </c>
      <c r="BR60" s="199">
        <f t="shared" si="12"/>
        <v>3.9367828078698555</v>
      </c>
      <c r="BS60" s="202">
        <f t="shared" si="13"/>
        <v>1397.8674035993313</v>
      </c>
      <c r="BT60" s="199">
        <f t="shared" si="14"/>
        <v>1426.395309795236</v>
      </c>
      <c r="BU60" s="195">
        <f t="shared" si="15"/>
        <v>1819.3817726980051</v>
      </c>
      <c r="BV60" s="195">
        <f t="shared" si="16"/>
        <v>86.637227271333572</v>
      </c>
      <c r="BW60" s="199">
        <f t="shared" si="29"/>
        <v>9.8820107063304404E-3</v>
      </c>
      <c r="BX60" s="331"/>
      <c r="BY60" s="448">
        <f t="shared" ref="BY60" si="55">SUM(BW61:BW66)*1000</f>
        <v>155.48478237255591</v>
      </c>
      <c r="BZ60" s="448">
        <v>125</v>
      </c>
      <c r="CA60" s="360">
        <f t="shared" ref="CA60" si="56">AVERAGE(AN60:AN66)</f>
        <v>11.588721375940461</v>
      </c>
    </row>
    <row r="61" spans="3:82" s="203" customFormat="1" ht="15.75" x14ac:dyDescent="0.3">
      <c r="C61" s="195"/>
      <c r="D61" s="379"/>
      <c r="E61" s="379"/>
      <c r="F61" s="196" t="s">
        <v>128</v>
      </c>
      <c r="G61" s="439"/>
      <c r="H61" s="204">
        <v>0.63402777777777775</v>
      </c>
      <c r="I61" s="195">
        <v>-8.6936789999999995</v>
      </c>
      <c r="J61" s="195">
        <v>115.917322</v>
      </c>
      <c r="K61" s="195">
        <f t="shared" si="17"/>
        <v>-0.15173332266148809</v>
      </c>
      <c r="L61" s="195">
        <f t="shared" si="17"/>
        <v>2.0231389289944586</v>
      </c>
      <c r="M61" s="195">
        <v>3443</v>
      </c>
      <c r="N61" s="198">
        <f t="shared" si="30"/>
        <v>0.44997935830542241</v>
      </c>
      <c r="O61" s="357">
        <f t="shared" ref="O61" si="57">SUM(N61:N67)</f>
        <v>3.5923657787116059</v>
      </c>
      <c r="P61" s="338">
        <v>3.51</v>
      </c>
      <c r="Q61" s="437">
        <f t="shared" ref="Q61" si="58">ABS((O61-P61)/P61*100%)</f>
        <v>2.3466033820970403E-2</v>
      </c>
      <c r="R61" s="199">
        <f t="shared" si="31"/>
        <v>5.0000000000010481E-2</v>
      </c>
      <c r="S61" s="357">
        <f t="shared" ref="S61" si="59">SUM(R61:R67)</f>
        <v>0.33333333333333748</v>
      </c>
      <c r="T61" s="200">
        <f t="shared" si="18"/>
        <v>8.9995871661065614</v>
      </c>
      <c r="U61" s="346">
        <f t="shared" ref="U61" si="60">AVERAGE(T61:T67)</f>
        <v>10.671829220134219</v>
      </c>
      <c r="V61" s="199">
        <f t="shared" si="19"/>
        <v>4.6293876382452153</v>
      </c>
      <c r="W61" s="199">
        <f t="shared" si="32"/>
        <v>-2.0236389212909366E-5</v>
      </c>
      <c r="X61" s="199">
        <f t="shared" si="33"/>
        <v>1.3065534780398735E-4</v>
      </c>
      <c r="Y61" s="195">
        <f t="shared" si="34"/>
        <v>1.7244590947301872</v>
      </c>
      <c r="Z61" s="195">
        <f t="shared" si="35"/>
        <v>98.804228070990348</v>
      </c>
      <c r="AA61" s="195">
        <f t="shared" si="36"/>
        <v>261.19577192900965</v>
      </c>
      <c r="AB61" s="13">
        <v>120</v>
      </c>
      <c r="AC61" s="195">
        <v>13</v>
      </c>
      <c r="AD61" s="195">
        <f t="shared" si="20"/>
        <v>4</v>
      </c>
      <c r="AE61" s="201">
        <f t="shared" si="21"/>
        <v>141.19577192900965</v>
      </c>
      <c r="AF61" s="199">
        <f t="shared" si="0"/>
        <v>0.17577529617231871</v>
      </c>
      <c r="AG61" s="366"/>
      <c r="AH61" s="331"/>
      <c r="AI61" s="339"/>
      <c r="AJ61" s="195">
        <f t="shared" si="1"/>
        <v>1.5912267291266113</v>
      </c>
      <c r="AK61" s="195">
        <f t="shared" si="22"/>
        <v>0.33</v>
      </c>
      <c r="AL61" s="199">
        <f t="shared" si="37"/>
        <v>18.610006994007279</v>
      </c>
      <c r="AM61" s="199">
        <f t="shared" si="23"/>
        <v>9.7722043841721966</v>
      </c>
      <c r="AN61" s="199">
        <f t="shared" si="3"/>
        <v>9.9742957308023268</v>
      </c>
      <c r="AO61" s="199">
        <f t="shared" si="24"/>
        <v>5.1307777239247168</v>
      </c>
      <c r="AP61" s="199">
        <f t="shared" si="25"/>
        <v>0.19481280127992412</v>
      </c>
      <c r="AQ61" s="200">
        <f t="shared" si="4"/>
        <v>4.511389780792336E-2</v>
      </c>
      <c r="AR61" s="195">
        <f t="shared" si="5"/>
        <v>305371970.13934767</v>
      </c>
      <c r="AS61" s="195">
        <f t="shared" si="26"/>
        <v>1.7834633266735535E-3</v>
      </c>
      <c r="AT61" s="199">
        <f t="shared" si="6"/>
        <v>786.58303720499339</v>
      </c>
      <c r="AU61" s="195">
        <f t="shared" si="7"/>
        <v>29128.355757487599</v>
      </c>
      <c r="AV61" s="339"/>
      <c r="AW61" s="339"/>
      <c r="AX61" s="339"/>
      <c r="AY61" s="339"/>
      <c r="AZ61" s="339"/>
      <c r="BA61" s="331"/>
      <c r="BB61" s="331"/>
      <c r="BC61" s="331"/>
      <c r="BD61" s="339"/>
      <c r="BE61" s="339"/>
      <c r="BF61" s="339"/>
      <c r="BG61" s="339"/>
      <c r="BH61" s="337"/>
      <c r="BI61" s="331"/>
      <c r="BJ61" s="331"/>
      <c r="BK61" s="331"/>
      <c r="BL61" s="199">
        <f t="shared" si="8"/>
        <v>-5.560139671265095E-2</v>
      </c>
      <c r="BM61" s="200">
        <f t="shared" si="9"/>
        <v>5264.2563743317451</v>
      </c>
      <c r="BN61" s="200">
        <f t="shared" si="10"/>
        <v>9584.7003160990917</v>
      </c>
      <c r="BO61" s="200">
        <f t="shared" si="11"/>
        <v>76.317463079272883</v>
      </c>
      <c r="BP61" s="200">
        <f t="shared" si="27"/>
        <v>87.765082541163821</v>
      </c>
      <c r="BQ61" s="199">
        <f t="shared" si="28"/>
        <v>450.30313044061739</v>
      </c>
      <c r="BR61" s="199">
        <f t="shared" si="12"/>
        <v>3.6673477201479634</v>
      </c>
      <c r="BS61" s="202">
        <f t="shared" si="13"/>
        <v>1085.2722288904358</v>
      </c>
      <c r="BT61" s="199">
        <f t="shared" si="14"/>
        <v>1107.4206417249345</v>
      </c>
      <c r="BU61" s="195">
        <f t="shared" si="15"/>
        <v>1412.5263287307839</v>
      </c>
      <c r="BV61" s="195">
        <f t="shared" si="16"/>
        <v>67.263158510989712</v>
      </c>
      <c r="BW61" s="199">
        <f t="shared" si="29"/>
        <v>1.1419442665408824E-2</v>
      </c>
      <c r="BX61" s="331"/>
      <c r="BY61" s="449"/>
      <c r="BZ61" s="449"/>
      <c r="CA61" s="361"/>
    </row>
    <row r="62" spans="3:82" s="203" customFormat="1" ht="15.75" x14ac:dyDescent="0.3">
      <c r="C62" s="195"/>
      <c r="D62" s="379"/>
      <c r="E62" s="379"/>
      <c r="F62" s="196" t="s">
        <v>128</v>
      </c>
      <c r="G62" s="439"/>
      <c r="H62" s="197">
        <v>0.63611111111111196</v>
      </c>
      <c r="I62" s="195">
        <v>-8.6945730000000001</v>
      </c>
      <c r="J62" s="195">
        <v>115.90585400000001</v>
      </c>
      <c r="K62" s="195">
        <f t="shared" si="17"/>
        <v>-0.15174892590500094</v>
      </c>
      <c r="L62" s="195">
        <f t="shared" si="17"/>
        <v>2.0229387746358398</v>
      </c>
      <c r="M62" s="195">
        <v>3443</v>
      </c>
      <c r="N62" s="198">
        <f t="shared" si="30"/>
        <v>0.68332794877843861</v>
      </c>
      <c r="O62" s="339"/>
      <c r="P62" s="339"/>
      <c r="Q62" s="437"/>
      <c r="R62" s="199">
        <f t="shared" si="31"/>
        <v>5.0000000000021139E-2</v>
      </c>
      <c r="S62" s="331"/>
      <c r="T62" s="200">
        <f t="shared" si="18"/>
        <v>13.666558975562994</v>
      </c>
      <c r="U62" s="347"/>
      <c r="V62" s="199">
        <f t="shared" si="19"/>
        <v>7.0300779370296036</v>
      </c>
      <c r="W62" s="199">
        <f t="shared" si="32"/>
        <v>-1.5786545781248921E-5</v>
      </c>
      <c r="X62" s="199">
        <f t="shared" si="33"/>
        <v>2.0015435861875375E-4</v>
      </c>
      <c r="Y62" s="195">
        <f t="shared" si="34"/>
        <v>1.6495052428000174</v>
      </c>
      <c r="Z62" s="195">
        <f t="shared" si="35"/>
        <v>94.509688697143119</v>
      </c>
      <c r="AA62" s="195">
        <f t="shared" si="36"/>
        <v>265.49031130285687</v>
      </c>
      <c r="AB62" s="13">
        <v>120</v>
      </c>
      <c r="AC62" s="195">
        <v>13</v>
      </c>
      <c r="AD62" s="195">
        <f t="shared" si="20"/>
        <v>4</v>
      </c>
      <c r="AE62" s="201">
        <f t="shared" si="21"/>
        <v>145.49031130285687</v>
      </c>
      <c r="AF62" s="199">
        <f t="shared" si="0"/>
        <v>0.26692818317635275</v>
      </c>
      <c r="AG62" s="366"/>
      <c r="AH62" s="331"/>
      <c r="AI62" s="339"/>
      <c r="AJ62" s="195">
        <f t="shared" si="1"/>
        <v>0.78585812455108384</v>
      </c>
      <c r="AK62" s="195">
        <f t="shared" si="22"/>
        <v>0.33</v>
      </c>
      <c r="AL62" s="199">
        <f t="shared" si="37"/>
        <v>18.610006994007279</v>
      </c>
      <c r="AM62" s="199">
        <f t="shared" si="23"/>
        <v>4.8261923140837268</v>
      </c>
      <c r="AN62" s="199">
        <f t="shared" si="3"/>
        <v>14.359579917895159</v>
      </c>
      <c r="AO62" s="199">
        <f t="shared" si="24"/>
        <v>7.3865679097652697</v>
      </c>
      <c r="AP62" s="199">
        <f t="shared" si="25"/>
        <v>0.28046391088737804</v>
      </c>
      <c r="AQ62" s="200">
        <f t="shared" si="4"/>
        <v>4.7586903842978263E-2</v>
      </c>
      <c r="AR62" s="195">
        <f t="shared" si="5"/>
        <v>439631361.27590322</v>
      </c>
      <c r="AS62" s="195">
        <f t="shared" si="26"/>
        <v>1.6994999860673523E-3</v>
      </c>
      <c r="AT62" s="199">
        <f t="shared" si="6"/>
        <v>1553.5332305869813</v>
      </c>
      <c r="AU62" s="195">
        <f t="shared" si="7"/>
        <v>57529.677708805473</v>
      </c>
      <c r="AV62" s="339"/>
      <c r="AW62" s="339"/>
      <c r="AX62" s="339"/>
      <c r="AY62" s="339"/>
      <c r="AZ62" s="339"/>
      <c r="BA62" s="331"/>
      <c r="BB62" s="331"/>
      <c r="BC62" s="331"/>
      <c r="BD62" s="339"/>
      <c r="BE62" s="339"/>
      <c r="BF62" s="339"/>
      <c r="BG62" s="339"/>
      <c r="BH62" s="337"/>
      <c r="BI62" s="331"/>
      <c r="BJ62" s="331"/>
      <c r="BK62" s="331"/>
      <c r="BL62" s="199">
        <f t="shared" si="8"/>
        <v>-0.21741752192793476</v>
      </c>
      <c r="BM62" s="200">
        <f t="shared" si="9"/>
        <v>97909.233355220029</v>
      </c>
      <c r="BN62" s="200">
        <f t="shared" si="10"/>
        <v>19865.409744355387</v>
      </c>
      <c r="BO62" s="200">
        <f t="shared" si="11"/>
        <v>239.17742296238035</v>
      </c>
      <c r="BP62" s="200">
        <f t="shared" si="27"/>
        <v>275.0540364067374</v>
      </c>
      <c r="BQ62" s="199">
        <f t="shared" si="28"/>
        <v>2031.7053187734145</v>
      </c>
      <c r="BR62" s="199">
        <f t="shared" si="12"/>
        <v>5.2797284234863184</v>
      </c>
      <c r="BS62" s="202">
        <f t="shared" si="13"/>
        <v>4896.5978930598394</v>
      </c>
      <c r="BT62" s="199">
        <f t="shared" si="14"/>
        <v>4996.5284623059588</v>
      </c>
      <c r="BU62" s="195">
        <f t="shared" si="15"/>
        <v>6373.1230386555599</v>
      </c>
      <c r="BV62" s="195">
        <f t="shared" si="16"/>
        <v>303.48204945978858</v>
      </c>
      <c r="BW62" s="199">
        <f t="shared" si="29"/>
        <v>5.4347273025018898E-2</v>
      </c>
      <c r="BX62" s="331"/>
      <c r="BY62" s="449"/>
      <c r="BZ62" s="449"/>
      <c r="CA62" s="361"/>
    </row>
    <row r="63" spans="3:82" s="203" customFormat="1" ht="15.75" x14ac:dyDescent="0.3">
      <c r="C63" s="195"/>
      <c r="D63" s="379"/>
      <c r="E63" s="379"/>
      <c r="F63" s="196" t="s">
        <v>128</v>
      </c>
      <c r="G63" s="439"/>
      <c r="H63" s="204">
        <v>0.63819444444444495</v>
      </c>
      <c r="I63" s="195">
        <v>-8.6946949999999994</v>
      </c>
      <c r="J63" s="195">
        <v>115.896315</v>
      </c>
      <c r="K63" s="195">
        <f t="shared" si="17"/>
        <v>-0.15175105520668836</v>
      </c>
      <c r="L63" s="195">
        <f t="shared" si="17"/>
        <v>2.0227722876784919</v>
      </c>
      <c r="M63" s="195">
        <v>3443</v>
      </c>
      <c r="N63" s="198">
        <f t="shared" si="30"/>
        <v>0.56667466444588777</v>
      </c>
      <c r="O63" s="339"/>
      <c r="P63" s="339"/>
      <c r="Q63" s="437"/>
      <c r="R63" s="199">
        <f t="shared" si="31"/>
        <v>4.9999999999991829E-2</v>
      </c>
      <c r="S63" s="331"/>
      <c r="T63" s="200">
        <f t="shared" si="18"/>
        <v>11.333493288919607</v>
      </c>
      <c r="U63" s="347"/>
      <c r="V63" s="199">
        <f t="shared" si="19"/>
        <v>5.8299489478202453</v>
      </c>
      <c r="W63" s="199">
        <f t="shared" si="32"/>
        <v>-2.154319027347452E-6</v>
      </c>
      <c r="X63" s="199">
        <f t="shared" si="33"/>
        <v>1.6648695734788888E-4</v>
      </c>
      <c r="Y63" s="195">
        <f t="shared" si="34"/>
        <v>1.5837354713015226</v>
      </c>
      <c r="Z63" s="195">
        <f t="shared" si="35"/>
        <v>90.741358370739562</v>
      </c>
      <c r="AA63" s="195">
        <f t="shared" si="36"/>
        <v>269.25864162926041</v>
      </c>
      <c r="AB63" s="13">
        <v>120</v>
      </c>
      <c r="AC63" s="195">
        <v>13</v>
      </c>
      <c r="AD63" s="195">
        <f t="shared" si="20"/>
        <v>4</v>
      </c>
      <c r="AE63" s="201">
        <f t="shared" si="21"/>
        <v>149.25864162926041</v>
      </c>
      <c r="AF63" s="199">
        <f t="shared" ref="AF63:AF94" si="61">V63/((9.81*$D$3)^0.5)</f>
        <v>0.22135994715729629</v>
      </c>
      <c r="AG63" s="366"/>
      <c r="AH63" s="331"/>
      <c r="AI63" s="339"/>
      <c r="AJ63" s="195">
        <f t="shared" ref="AJ63:AJ94" si="62">IF(AND(F63="NORMAL",AND($D$6&gt;=0.55,$D$6&lt;0.6)),1.7-1.4*AF63-7.4*AF63^2,IF(AND(F63="NORMAL",AND($D$6&gt;=0.6,$D$6&lt;0.65)),2.2-2.5*AF63-9.7*AF63^2,IF(AND(F63="NORMAL",AND($D$6&gt;=0.65,$D$6&lt;0.7)),2.6-3.7*AF63-11.6*AF63^2,IF(AND(F63="NORMAL",AND($D$6&gt;=0.7,$D$6&lt;0.75)),3.1-5.3*AF63-12.4*AF63^2,IF(AND(F63="NORMAL OR LOADED",AND($D$6&gt;=0.75,$D$6&lt;0.8)),2.4-10.6*AF63-9.5*AF63^2,IF(AND(F63="NORMAL OR LOADED",AND($D$6&gt;=0.8,$D$6&lt;0.85)),2.6-13.1*AF63-15.1*AF63^2,IF(AND(F63="NORMAL OR LOADED",AND($D$6&gt;=0.85,$D$6&lt;0.9)),3.1-18.7*AF63+28*AF63^2,IF(AND(F63="BALLAST",AND($D$6&gt;=0.75,$D$6&lt;0.8)),2.6-12.5*AF63-13.5*AF63^2,IF(AND(F63="BALLAST",AND($D$6&gt;=0.8,$D$6&lt;0.85)),IF(AND(F63="BALLAST",AND($D$6&gt;=0.85,$D$6&lt;0.9)),3.4-20.9*AF63+31.8*AF63^2))))))))))</f>
        <v>1.2125655715344239</v>
      </c>
      <c r="AK63" s="195">
        <f t="shared" si="22"/>
        <v>0.33</v>
      </c>
      <c r="AL63" s="199">
        <f t="shared" si="37"/>
        <v>18.610006994007279</v>
      </c>
      <c r="AM63" s="199">
        <f t="shared" si="23"/>
        <v>7.4467317430928608</v>
      </c>
      <c r="AN63" s="199">
        <f t="shared" ref="AN63:AN94" si="63">T63/(1-(0.01*AM63))</f>
        <v>12.245373396712873</v>
      </c>
      <c r="AO63" s="199">
        <f t="shared" si="24"/>
        <v>6.2990200752691017</v>
      </c>
      <c r="AP63" s="199">
        <f t="shared" si="25"/>
        <v>0.23917031924021384</v>
      </c>
      <c r="AQ63" s="200">
        <f t="shared" ref="AQ63:AQ94" si="64">N63/AN63</f>
        <v>4.6276634128446008E-2</v>
      </c>
      <c r="AR63" s="195">
        <f t="shared" ref="AR63:AR94" si="65">(AO63*$D$3)/$U$3</f>
        <v>374903040.79297346</v>
      </c>
      <c r="AS63" s="195">
        <f t="shared" si="26"/>
        <v>1.7354518590929635E-3</v>
      </c>
      <c r="AT63" s="199">
        <f t="shared" ref="AT63:AT94" si="66">0.5*1024*(AO63^2)*$W$5*$W$6*AS63</f>
        <v>1153.6459560539959</v>
      </c>
      <c r="AU63" s="195">
        <f t="shared" ref="AU63:AU94" si="67">0.5*1024*AS63*$U$10*(AO63)^2</f>
        <v>42721.249043882104</v>
      </c>
      <c r="AV63" s="339"/>
      <c r="AW63" s="339"/>
      <c r="AX63" s="339"/>
      <c r="AY63" s="339"/>
      <c r="AZ63" s="339"/>
      <c r="BA63" s="331"/>
      <c r="BB63" s="331"/>
      <c r="BC63" s="331"/>
      <c r="BD63" s="339"/>
      <c r="BE63" s="339"/>
      <c r="BF63" s="339"/>
      <c r="BG63" s="339"/>
      <c r="BH63" s="337"/>
      <c r="BI63" s="331"/>
      <c r="BJ63" s="331"/>
      <c r="BK63" s="331"/>
      <c r="BL63" s="199">
        <f t="shared" ref="BL63:BL94" si="68">$BI$31*($G$6^2)*EXP(-0.1*(AP63^-2))</f>
        <v>-0.13495434474133805</v>
      </c>
      <c r="BM63" s="200">
        <f t="shared" ref="BM63:BM94" si="69">$BC$31*$BD$31*$BG$31*($D$3*$D$4*$AI$31*$AH$31)*1025*9.81*(EXP(($BK$31*(AP63^-0.9))+(BL63*COS($Y$10*(AP63^-2)))))</f>
        <v>32513.019820731741</v>
      </c>
      <c r="BN63" s="200">
        <f t="shared" ref="BN63:BN94" si="70">0.5*1025*(AO63^2)*$AY$31*$W$3</f>
        <v>14446.349658740293</v>
      </c>
      <c r="BO63" s="200">
        <f t="shared" ref="BO63:BO94" si="71">((AU63*$U$8)+AT63+BM63+BN63)/1000</f>
        <v>137.11246262542309</v>
      </c>
      <c r="BP63" s="200">
        <f t="shared" si="27"/>
        <v>157.67933201923654</v>
      </c>
      <c r="BQ63" s="199">
        <f t="shared" si="28"/>
        <v>993.22527784419299</v>
      </c>
      <c r="BR63" s="199">
        <f t="shared" ref="BR63:BR94" si="72">(1-$AJ$5)*AO63</f>
        <v>4.5023772525725079</v>
      </c>
      <c r="BS63" s="202">
        <f t="shared" ref="BS63:BS94" si="73">BQ63/$AJ$11</f>
        <v>2393.764862397371</v>
      </c>
      <c r="BT63" s="199">
        <f t="shared" ref="BT63:BT94" si="74">BS63/$AO$5</f>
        <v>2442.6172065279297</v>
      </c>
      <c r="BU63" s="195">
        <f t="shared" ref="BU63:BU94" si="75">((BT63/$AO$6)/80%)</f>
        <v>3115.5831715917466</v>
      </c>
      <c r="BV63" s="195">
        <f t="shared" ref="BV63:BV94" si="76">(BU63/$AK$19)*100</f>
        <v>148.36110340913078</v>
      </c>
      <c r="BW63" s="199">
        <f t="shared" si="29"/>
        <v>2.5836823493106242E-2</v>
      </c>
      <c r="BX63" s="331"/>
      <c r="BY63" s="449"/>
      <c r="BZ63" s="449"/>
      <c r="CA63" s="361"/>
    </row>
    <row r="64" spans="3:82" s="203" customFormat="1" ht="15.75" x14ac:dyDescent="0.3">
      <c r="C64" s="195"/>
      <c r="D64" s="379"/>
      <c r="E64" s="379"/>
      <c r="F64" s="196" t="s">
        <v>128</v>
      </c>
      <c r="G64" s="439"/>
      <c r="H64" s="197">
        <v>0.64027777777777894</v>
      </c>
      <c r="I64" s="195">
        <v>-8.6950789999999998</v>
      </c>
      <c r="J64" s="195">
        <v>115.886026</v>
      </c>
      <c r="K64" s="195">
        <f t="shared" si="17"/>
        <v>-0.15175775727101604</v>
      </c>
      <c r="L64" s="195">
        <f t="shared" si="17"/>
        <v>2.0225927107517543</v>
      </c>
      <c r="M64" s="195">
        <v>3443</v>
      </c>
      <c r="N64" s="198">
        <f t="shared" si="30"/>
        <v>0.61161311456022671</v>
      </c>
      <c r="O64" s="339"/>
      <c r="P64" s="339"/>
      <c r="Q64" s="437"/>
      <c r="R64" s="199">
        <f t="shared" si="31"/>
        <v>5.000000000001581E-2</v>
      </c>
      <c r="S64" s="331"/>
      <c r="T64" s="200">
        <f t="shared" si="18"/>
        <v>12.232262291200666</v>
      </c>
      <c r="U64" s="347"/>
      <c r="V64" s="199">
        <f t="shared" si="19"/>
        <v>6.2922757225936223</v>
      </c>
      <c r="W64" s="199">
        <f t="shared" si="32"/>
        <v>-6.7808120340233635E-6</v>
      </c>
      <c r="X64" s="199">
        <f t="shared" si="33"/>
        <v>1.7957692673764569E-4</v>
      </c>
      <c r="Y64" s="195">
        <f t="shared" si="34"/>
        <v>1.6085383251112784</v>
      </c>
      <c r="Z64" s="195">
        <f t="shared" si="35"/>
        <v>92.162457213918529</v>
      </c>
      <c r="AA64" s="195">
        <f t="shared" si="36"/>
        <v>267.83754278608149</v>
      </c>
      <c r="AB64" s="13">
        <v>120</v>
      </c>
      <c r="AC64" s="195">
        <v>13</v>
      </c>
      <c r="AD64" s="195">
        <f t="shared" si="20"/>
        <v>4</v>
      </c>
      <c r="AE64" s="201">
        <f t="shared" si="21"/>
        <v>147.83754278608149</v>
      </c>
      <c r="AF64" s="199">
        <f t="shared" si="61"/>
        <v>0.23891423988768151</v>
      </c>
      <c r="AG64" s="366"/>
      <c r="AH64" s="331"/>
      <c r="AI64" s="339"/>
      <c r="AJ64" s="195">
        <f t="shared" si="62"/>
        <v>1.0538891497707183</v>
      </c>
      <c r="AK64" s="195">
        <f t="shared" si="22"/>
        <v>0.33</v>
      </c>
      <c r="AL64" s="199">
        <f t="shared" si="37"/>
        <v>18.610006994007279</v>
      </c>
      <c r="AM64" s="199">
        <f t="shared" si="23"/>
        <v>6.4722518678866789</v>
      </c>
      <c r="AN64" s="199">
        <f t="shared" si="63"/>
        <v>13.078752066094751</v>
      </c>
      <c r="AO64" s="199">
        <f t="shared" si="24"/>
        <v>6.7277100627991393</v>
      </c>
      <c r="AP64" s="199">
        <f t="shared" si="25"/>
        <v>0.25544744170489531</v>
      </c>
      <c r="AQ64" s="200">
        <f t="shared" si="64"/>
        <v>4.6763874066071451E-2</v>
      </c>
      <c r="AR64" s="195">
        <f t="shared" si="65"/>
        <v>400417672.90432566</v>
      </c>
      <c r="AS64" s="195">
        <f t="shared" si="26"/>
        <v>1.7204525615039325E-3</v>
      </c>
      <c r="AT64" s="199">
        <f t="shared" si="66"/>
        <v>1304.6416169969491</v>
      </c>
      <c r="AU64" s="195">
        <f t="shared" si="67"/>
        <v>48312.846016799122</v>
      </c>
      <c r="AV64" s="339"/>
      <c r="AW64" s="339"/>
      <c r="AX64" s="339"/>
      <c r="AY64" s="339"/>
      <c r="AZ64" s="339"/>
      <c r="BA64" s="331"/>
      <c r="BB64" s="331"/>
      <c r="BC64" s="331"/>
      <c r="BD64" s="339"/>
      <c r="BE64" s="339"/>
      <c r="BF64" s="339"/>
      <c r="BG64" s="339"/>
      <c r="BH64" s="337"/>
      <c r="BI64" s="331"/>
      <c r="BJ64" s="331"/>
      <c r="BK64" s="331"/>
      <c r="BL64" s="199">
        <f t="shared" si="68"/>
        <v>-0.16744021436049761</v>
      </c>
      <c r="BM64" s="200">
        <f t="shared" si="69"/>
        <v>52968.344375443194</v>
      </c>
      <c r="BN64" s="200">
        <f t="shared" si="70"/>
        <v>16479.600187927364</v>
      </c>
      <c r="BO64" s="200">
        <f t="shared" si="71"/>
        <v>171.40078078837368</v>
      </c>
      <c r="BP64" s="200">
        <f t="shared" si="27"/>
        <v>197.11089790662973</v>
      </c>
      <c r="BQ64" s="199">
        <f t="shared" si="28"/>
        <v>1326.1049713338066</v>
      </c>
      <c r="BR64" s="199">
        <f t="shared" si="72"/>
        <v>4.8087938102588046</v>
      </c>
      <c r="BS64" s="202">
        <f t="shared" si="73"/>
        <v>3196.0357383567352</v>
      </c>
      <c r="BT64" s="199">
        <f t="shared" si="74"/>
        <v>3261.2609575068727</v>
      </c>
      <c r="BU64" s="195">
        <f t="shared" si="75"/>
        <v>4159.7716294730517</v>
      </c>
      <c r="BV64" s="195">
        <f t="shared" si="76"/>
        <v>198.08436330824054</v>
      </c>
      <c r="BW64" s="199">
        <f t="shared" ref="BW64:BW95" si="77">((($AK$21*BU64*AQ64)/1000000))</f>
        <v>3.4859244963073591E-2</v>
      </c>
      <c r="BX64" s="331"/>
      <c r="BY64" s="449"/>
      <c r="BZ64" s="449"/>
      <c r="CA64" s="361"/>
    </row>
    <row r="65" spans="3:79" s="203" customFormat="1" ht="15.75" x14ac:dyDescent="0.3">
      <c r="C65" s="195"/>
      <c r="D65" s="379"/>
      <c r="E65" s="379"/>
      <c r="F65" s="196" t="s">
        <v>128</v>
      </c>
      <c r="G65" s="439"/>
      <c r="H65" s="204">
        <v>0.64236111111111305</v>
      </c>
      <c r="I65" s="195">
        <v>-8.6957989999999992</v>
      </c>
      <c r="J65" s="195">
        <v>115.877359</v>
      </c>
      <c r="K65" s="195">
        <f t="shared" si="17"/>
        <v>-0.15177032364163037</v>
      </c>
      <c r="L65" s="195">
        <f t="shared" si="17"/>
        <v>2.022441443065484</v>
      </c>
      <c r="M65" s="195">
        <v>3443</v>
      </c>
      <c r="N65" s="198">
        <f t="shared" si="30"/>
        <v>0.51664319346091481</v>
      </c>
      <c r="O65" s="339"/>
      <c r="P65" s="339"/>
      <c r="Q65" s="437"/>
      <c r="R65" s="199">
        <f t="shared" si="31"/>
        <v>5.0000000000018474E-2</v>
      </c>
      <c r="S65" s="331"/>
      <c r="T65" s="200">
        <f t="shared" si="18"/>
        <v>10.332863869214478</v>
      </c>
      <c r="U65" s="347"/>
      <c r="V65" s="199">
        <f t="shared" si="19"/>
        <v>5.3152251743239267</v>
      </c>
      <c r="W65" s="199">
        <f t="shared" si="32"/>
        <v>-1.2714041396422406E-5</v>
      </c>
      <c r="X65" s="199">
        <f t="shared" si="33"/>
        <v>1.5126768627027332E-4</v>
      </c>
      <c r="Y65" s="195">
        <f t="shared" si="34"/>
        <v>1.6546491903743059</v>
      </c>
      <c r="Z65" s="195">
        <f t="shared" si="35"/>
        <v>94.804415183186407</v>
      </c>
      <c r="AA65" s="195">
        <f t="shared" si="36"/>
        <v>265.19558481681361</v>
      </c>
      <c r="AB65" s="13">
        <v>120</v>
      </c>
      <c r="AC65" s="195">
        <v>13</v>
      </c>
      <c r="AD65" s="195">
        <f t="shared" si="20"/>
        <v>4</v>
      </c>
      <c r="AE65" s="201">
        <f t="shared" si="21"/>
        <v>145.19558481681361</v>
      </c>
      <c r="AF65" s="199">
        <f t="shared" si="61"/>
        <v>0.20181616927492738</v>
      </c>
      <c r="AG65" s="366"/>
      <c r="AH65" s="331"/>
      <c r="AI65" s="339"/>
      <c r="AJ65" s="195">
        <f t="shared" si="62"/>
        <v>1.3808148859854177</v>
      </c>
      <c r="AK65" s="195">
        <f t="shared" si="22"/>
        <v>0.33</v>
      </c>
      <c r="AL65" s="199">
        <f t="shared" si="37"/>
        <v>18.610006994007279</v>
      </c>
      <c r="AM65" s="199">
        <f t="shared" si="23"/>
        <v>8.4800016462539354</v>
      </c>
      <c r="AN65" s="199">
        <f t="shared" si="63"/>
        <v>11.290279780464546</v>
      </c>
      <c r="AO65" s="199">
        <f t="shared" si="24"/>
        <v>5.8077199190709621</v>
      </c>
      <c r="AP65" s="199">
        <f t="shared" si="25"/>
        <v>0.22051592319184818</v>
      </c>
      <c r="AQ65" s="200">
        <f t="shared" si="64"/>
        <v>4.5759999176889943E-2</v>
      </c>
      <c r="AR65" s="195">
        <f t="shared" si="65"/>
        <v>345661996.90046346</v>
      </c>
      <c r="AS65" s="195">
        <f t="shared" si="26"/>
        <v>1.7542232551447381E-3</v>
      </c>
      <c r="AT65" s="199">
        <f t="shared" si="66"/>
        <v>991.31159113016861</v>
      </c>
      <c r="AU65" s="195">
        <f t="shared" si="67"/>
        <v>36709.762767786953</v>
      </c>
      <c r="AV65" s="339"/>
      <c r="AW65" s="339"/>
      <c r="AX65" s="339"/>
      <c r="AY65" s="339"/>
      <c r="AZ65" s="339"/>
      <c r="BA65" s="331"/>
      <c r="BB65" s="331"/>
      <c r="BC65" s="331"/>
      <c r="BD65" s="339"/>
      <c r="BE65" s="339"/>
      <c r="BF65" s="339"/>
      <c r="BG65" s="339"/>
      <c r="BH65" s="337"/>
      <c r="BI65" s="331"/>
      <c r="BJ65" s="331"/>
      <c r="BK65" s="331"/>
      <c r="BL65" s="199">
        <f t="shared" si="68"/>
        <v>-9.9152046465864785E-2</v>
      </c>
      <c r="BM65" s="200">
        <f t="shared" si="69"/>
        <v>16663.558177970906</v>
      </c>
      <c r="BN65" s="200">
        <f t="shared" si="70"/>
        <v>12280.709704912633</v>
      </c>
      <c r="BO65" s="200">
        <f t="shared" si="71"/>
        <v>106.41154087320824</v>
      </c>
      <c r="BP65" s="200">
        <f t="shared" si="27"/>
        <v>122.37327200418947</v>
      </c>
      <c r="BQ65" s="199">
        <f t="shared" si="28"/>
        <v>710.70968938062015</v>
      </c>
      <c r="BR65" s="199">
        <f t="shared" si="72"/>
        <v>4.1512085595028445</v>
      </c>
      <c r="BS65" s="202">
        <f t="shared" si="73"/>
        <v>1712.8761417523613</v>
      </c>
      <c r="BT65" s="199">
        <f t="shared" si="74"/>
        <v>1747.8327977064912</v>
      </c>
      <c r="BU65" s="195">
        <f t="shared" si="75"/>
        <v>2229.3785685031776</v>
      </c>
      <c r="BV65" s="195">
        <f t="shared" si="76"/>
        <v>106.16088421443703</v>
      </c>
      <c r="BW65" s="199">
        <f t="shared" si="77"/>
        <v>1.828133197357492E-2</v>
      </c>
      <c r="BX65" s="331"/>
      <c r="BY65" s="449"/>
      <c r="BZ65" s="449"/>
      <c r="CA65" s="361"/>
    </row>
    <row r="66" spans="3:79" s="203" customFormat="1" ht="15.75" x14ac:dyDescent="0.3">
      <c r="C66" s="195"/>
      <c r="D66" s="379"/>
      <c r="E66" s="379"/>
      <c r="F66" s="196" t="s">
        <v>128</v>
      </c>
      <c r="G66" s="440"/>
      <c r="H66" s="197">
        <v>0.64444444444444704</v>
      </c>
      <c r="I66" s="195">
        <v>-8.6944029999999994</v>
      </c>
      <c r="J66" s="195">
        <v>115.869427</v>
      </c>
      <c r="K66" s="195">
        <f t="shared" si="17"/>
        <v>-0.15174595884527253</v>
      </c>
      <c r="L66" s="195">
        <f t="shared" si="17"/>
        <v>2.0223030035492155</v>
      </c>
      <c r="M66" s="195">
        <v>3443</v>
      </c>
      <c r="N66" s="198">
        <f t="shared" si="30"/>
        <v>0.47857860249010303</v>
      </c>
      <c r="O66" s="339"/>
      <c r="P66" s="339"/>
      <c r="Q66" s="437"/>
      <c r="R66" s="199">
        <f t="shared" si="31"/>
        <v>5.000000000001581E-2</v>
      </c>
      <c r="S66" s="331"/>
      <c r="T66" s="200">
        <f t="shared" si="18"/>
        <v>9.571572049799034</v>
      </c>
      <c r="U66" s="347"/>
      <c r="V66" s="199">
        <f t="shared" si="19"/>
        <v>4.9236166624166229</v>
      </c>
      <c r="W66" s="199">
        <f t="shared" si="32"/>
        <v>2.4651091238143385E-5</v>
      </c>
      <c r="X66" s="199">
        <f t="shared" si="33"/>
        <v>1.3843951626846263E-4</v>
      </c>
      <c r="Y66" s="195">
        <f t="shared" si="34"/>
        <v>1.394579281217891</v>
      </c>
      <c r="Z66" s="195">
        <f t="shared" si="35"/>
        <v>79.903507010173115</v>
      </c>
      <c r="AA66" s="195">
        <f t="shared" si="36"/>
        <v>280.09649298982686</v>
      </c>
      <c r="AB66" s="13">
        <v>120</v>
      </c>
      <c r="AC66" s="195">
        <v>13</v>
      </c>
      <c r="AD66" s="195">
        <f t="shared" si="20"/>
        <v>4</v>
      </c>
      <c r="AE66" s="201">
        <f t="shared" si="21"/>
        <v>160.09649298982686</v>
      </c>
      <c r="AF66" s="199">
        <f t="shared" si="61"/>
        <v>0.18694700999445729</v>
      </c>
      <c r="AG66" s="366"/>
      <c r="AH66" s="331"/>
      <c r="AI66" s="339"/>
      <c r="AJ66" s="195">
        <f t="shared" si="62"/>
        <v>1.5028855222884425</v>
      </c>
      <c r="AK66" s="195">
        <f t="shared" si="22"/>
        <v>-3.999999999999998E-2</v>
      </c>
      <c r="AL66" s="199">
        <f t="shared" si="37"/>
        <v>18.610006994007279</v>
      </c>
      <c r="AM66" s="199">
        <f t="shared" si="23"/>
        <v>-1.1187484032392074</v>
      </c>
      <c r="AN66" s="199">
        <f t="shared" si="63"/>
        <v>9.4656749623024616</v>
      </c>
      <c r="AO66" s="199">
        <f t="shared" si="24"/>
        <v>4.8691432006083861</v>
      </c>
      <c r="AP66" s="199">
        <f t="shared" si="25"/>
        <v>0.18487868268400034</v>
      </c>
      <c r="AQ66" s="200">
        <f t="shared" si="64"/>
        <v>5.0559374201635594E-2</v>
      </c>
      <c r="AR66" s="195">
        <f t="shared" si="65"/>
        <v>289800091.14934111</v>
      </c>
      <c r="AS66" s="195">
        <f t="shared" si="26"/>
        <v>1.7960321804388582E-3</v>
      </c>
      <c r="AT66" s="199">
        <f t="shared" si="66"/>
        <v>713.40015691800545</v>
      </c>
      <c r="AU66" s="195">
        <f t="shared" si="67"/>
        <v>26418.283366489082</v>
      </c>
      <c r="AV66" s="339"/>
      <c r="AW66" s="339"/>
      <c r="AX66" s="339"/>
      <c r="AY66" s="339"/>
      <c r="AZ66" s="339"/>
      <c r="BA66" s="331"/>
      <c r="BB66" s="331"/>
      <c r="BC66" s="331"/>
      <c r="BD66" s="339"/>
      <c r="BE66" s="339"/>
      <c r="BF66" s="339"/>
      <c r="BG66" s="339"/>
      <c r="BH66" s="337"/>
      <c r="BI66" s="331"/>
      <c r="BJ66" s="331"/>
      <c r="BK66" s="331"/>
      <c r="BL66" s="199">
        <f t="shared" si="68"/>
        <v>-4.1572422280775886E-2</v>
      </c>
      <c r="BM66" s="200">
        <f t="shared" si="69"/>
        <v>3109.9187470361908</v>
      </c>
      <c r="BN66" s="200">
        <f t="shared" si="70"/>
        <v>8632.1152848721849</v>
      </c>
      <c r="BO66" s="200">
        <f t="shared" si="71"/>
        <v>67.491573532703711</v>
      </c>
      <c r="BP66" s="200">
        <f t="shared" si="27"/>
        <v>77.615309562609269</v>
      </c>
      <c r="BQ66" s="199">
        <f t="shared" si="28"/>
        <v>377.920056819894</v>
      </c>
      <c r="BR66" s="199">
        <f t="shared" si="72"/>
        <v>3.4803381040186205</v>
      </c>
      <c r="BS66" s="202">
        <f t="shared" si="73"/>
        <v>910.82232096854932</v>
      </c>
      <c r="BT66" s="199">
        <f t="shared" si="74"/>
        <v>929.4105316005606</v>
      </c>
      <c r="BU66" s="195">
        <f t="shared" si="75"/>
        <v>1185.4726168374498</v>
      </c>
      <c r="BV66" s="195">
        <f t="shared" si="76"/>
        <v>56.451076992259509</v>
      </c>
      <c r="BW66" s="199">
        <f t="shared" si="77"/>
        <v>1.0740666252373441E-2</v>
      </c>
      <c r="BX66" s="331"/>
      <c r="BY66" s="450"/>
      <c r="BZ66" s="450"/>
      <c r="CA66" s="362"/>
    </row>
    <row r="67" spans="3:79" ht="15.75" x14ac:dyDescent="0.3">
      <c r="C67" s="13">
        <v>6</v>
      </c>
      <c r="D67" s="379"/>
      <c r="E67" s="379"/>
      <c r="F67" s="19" t="s">
        <v>128</v>
      </c>
      <c r="G67" s="255">
        <v>0.64583333333333304</v>
      </c>
      <c r="H67" s="55">
        <v>0.64583333333333304</v>
      </c>
      <c r="I67" s="13">
        <v>-8.6934430000000003</v>
      </c>
      <c r="J67" s="13">
        <v>115.86471899999999</v>
      </c>
      <c r="K67" s="13">
        <f t="shared" si="17"/>
        <v>-0.15172920368445342</v>
      </c>
      <c r="L67" s="13">
        <f t="shared" si="17"/>
        <v>2.0222208334480318</v>
      </c>
      <c r="M67" s="13">
        <v>3443</v>
      </c>
      <c r="N67" s="71">
        <f t="shared" si="30"/>
        <v>0.28554889667061251</v>
      </c>
      <c r="O67" s="398"/>
      <c r="P67" s="398"/>
      <c r="Q67" s="437"/>
      <c r="R67" s="15">
        <f t="shared" si="31"/>
        <v>3.3333333333263937E-2</v>
      </c>
      <c r="S67" s="358"/>
      <c r="T67" s="20">
        <f t="shared" si="18"/>
        <v>8.5664669001362093</v>
      </c>
      <c r="U67" s="348"/>
      <c r="V67" s="15">
        <f t="shared" si="19"/>
        <v>4.4065905734300657</v>
      </c>
      <c r="W67" s="15">
        <f t="shared" si="32"/>
        <v>1.6951986236523544E-5</v>
      </c>
      <c r="X67" s="15">
        <f t="shared" si="33"/>
        <v>8.217010118372059E-5</v>
      </c>
      <c r="Y67" s="13">
        <f t="shared" si="34"/>
        <v>1.3673470425995267</v>
      </c>
      <c r="Z67" s="13">
        <f t="shared" si="35"/>
        <v>78.343214670647669</v>
      </c>
      <c r="AA67" s="13">
        <f t="shared" si="36"/>
        <v>281.65678532935232</v>
      </c>
      <c r="AB67" s="13">
        <v>120</v>
      </c>
      <c r="AC67" s="13">
        <v>13</v>
      </c>
      <c r="AD67" s="13">
        <f t="shared" si="20"/>
        <v>4</v>
      </c>
      <c r="AE67" s="16">
        <f t="shared" si="21"/>
        <v>161.65678532935232</v>
      </c>
      <c r="AF67" s="15">
        <f t="shared" si="61"/>
        <v>0.16731581446232505</v>
      </c>
      <c r="AG67" s="366"/>
      <c r="AH67" s="331"/>
      <c r="AI67" s="339"/>
      <c r="AJ67" s="13">
        <f t="shared" si="62"/>
        <v>1.6561943379667796</v>
      </c>
      <c r="AK67" s="13">
        <f t="shared" si="22"/>
        <v>-3.999999999999998E-2</v>
      </c>
      <c r="AL67" s="15">
        <f t="shared" si="37"/>
        <v>18.610006994007279</v>
      </c>
      <c r="AM67" s="15">
        <f t="shared" si="23"/>
        <v>-1.2328715285198804</v>
      </c>
      <c r="AN67" s="15">
        <f t="shared" si="63"/>
        <v>8.462139590422284</v>
      </c>
      <c r="AO67" s="15">
        <f t="shared" si="24"/>
        <v>4.3529246053132225</v>
      </c>
      <c r="AP67" s="15">
        <f t="shared" si="25"/>
        <v>0.16527814724211187</v>
      </c>
      <c r="AQ67" s="20">
        <f t="shared" si="64"/>
        <v>3.3744290509436378E-2</v>
      </c>
      <c r="AR67" s="13">
        <f t="shared" si="65"/>
        <v>259075959.65309942</v>
      </c>
      <c r="AS67" s="13">
        <f t="shared" si="26"/>
        <v>1.8233957413441675E-3</v>
      </c>
      <c r="AT67" s="15">
        <f t="shared" si="66"/>
        <v>578.83824534754626</v>
      </c>
      <c r="AU67" s="13">
        <f t="shared" si="67"/>
        <v>21435.252909133276</v>
      </c>
      <c r="AV67" s="339"/>
      <c r="AW67" s="339"/>
      <c r="AX67" s="339"/>
      <c r="AY67" s="339"/>
      <c r="AZ67" s="339"/>
      <c r="BA67" s="331"/>
      <c r="BB67" s="331"/>
      <c r="BC67" s="331"/>
      <c r="BD67" s="339"/>
      <c r="BE67" s="339"/>
      <c r="BF67" s="339"/>
      <c r="BG67" s="339"/>
      <c r="BH67" s="337"/>
      <c r="BI67" s="331"/>
      <c r="BJ67" s="331"/>
      <c r="BK67" s="331"/>
      <c r="BL67" s="23">
        <f t="shared" si="68"/>
        <v>-1.9932899469097588E-2</v>
      </c>
      <c r="BM67" s="24">
        <f t="shared" si="69"/>
        <v>947.78323345646641</v>
      </c>
      <c r="BN67" s="24">
        <f t="shared" si="70"/>
        <v>6898.813863576489</v>
      </c>
      <c r="BO67" s="24">
        <f t="shared" si="71"/>
        <v>53.080629232637101</v>
      </c>
      <c r="BP67" s="24">
        <f t="shared" si="27"/>
        <v>61.042723617532666</v>
      </c>
      <c r="BQ67" s="23">
        <f t="shared" si="28"/>
        <v>265.71437361009248</v>
      </c>
      <c r="BR67" s="23">
        <f t="shared" si="72"/>
        <v>3.1113583527177666</v>
      </c>
      <c r="BS67" s="6">
        <f t="shared" si="73"/>
        <v>640.39623756086564</v>
      </c>
      <c r="BT67" s="23">
        <f t="shared" si="74"/>
        <v>653.46554853149553</v>
      </c>
      <c r="BU67" s="22">
        <f t="shared" si="75"/>
        <v>833.50197516772391</v>
      </c>
      <c r="BV67" s="22">
        <f t="shared" si="76"/>
        <v>39.690570246082089</v>
      </c>
      <c r="BW67" s="23">
        <f t="shared" si="77"/>
        <v>5.0401671560125665E-3</v>
      </c>
      <c r="BX67" s="331"/>
      <c r="BY67" s="360">
        <f t="shared" ref="BY67" si="78">SUM(BW68:BW73)*1000</f>
        <v>67.969259408486707</v>
      </c>
      <c r="BZ67" s="360">
        <v>80</v>
      </c>
      <c r="CA67" s="360">
        <f t="shared" ref="CA67" si="79">AVERAGE(AN67:AN73)</f>
        <v>9.1971932962624265</v>
      </c>
    </row>
    <row r="68" spans="3:79" ht="15.75" x14ac:dyDescent="0.3">
      <c r="C68" s="13"/>
      <c r="D68" s="379"/>
      <c r="E68" s="379"/>
      <c r="F68" s="19" t="s">
        <v>128</v>
      </c>
      <c r="G68" s="256"/>
      <c r="H68" s="55">
        <v>0.6479166666666667</v>
      </c>
      <c r="I68" s="13">
        <v>-8.6909740000000006</v>
      </c>
      <c r="J68" s="13">
        <v>115.856313</v>
      </c>
      <c r="K68" s="13">
        <f t="shared" si="17"/>
        <v>-0.15168611150522168</v>
      </c>
      <c r="L68" s="13">
        <f t="shared" si="17"/>
        <v>2.0220741210711091</v>
      </c>
      <c r="M68" s="13">
        <v>3443</v>
      </c>
      <c r="N68" s="71">
        <f t="shared" si="30"/>
        <v>0.52090501928576338</v>
      </c>
      <c r="O68" s="357">
        <f t="shared" ref="O68" si="80">SUM(N68:N74)</f>
        <v>3.126346464753786</v>
      </c>
      <c r="P68" s="338">
        <v>3.22</v>
      </c>
      <c r="Q68" s="437">
        <f t="shared" ref="Q68" si="81">ABS((O68-P68)/P68*100%)</f>
        <v>2.9084948834228019E-2</v>
      </c>
      <c r="R68" s="15">
        <f t="shared" si="31"/>
        <v>5.0000000000007816E-2</v>
      </c>
      <c r="S68" s="357">
        <f t="shared" ref="S68" si="82">SUM(R68:R74)</f>
        <v>0.33333333333333481</v>
      </c>
      <c r="T68" s="20">
        <f t="shared" si="18"/>
        <v>10.41810038571364</v>
      </c>
      <c r="U68" s="346">
        <f t="shared" ref="U68" si="83">AVERAGE(T68:T74)</f>
        <v>9.3601411989019017</v>
      </c>
      <c r="V68" s="15">
        <f t="shared" si="19"/>
        <v>5.3590708384110961</v>
      </c>
      <c r="W68" s="15">
        <f t="shared" si="32"/>
        <v>4.3598189068739511E-5</v>
      </c>
      <c r="X68" s="15">
        <f t="shared" si="33"/>
        <v>1.4671237692276407E-4</v>
      </c>
      <c r="Y68" s="13">
        <f t="shared" si="34"/>
        <v>1.281939934740677</v>
      </c>
      <c r="Z68" s="13">
        <f t="shared" si="35"/>
        <v>73.449747849916974</v>
      </c>
      <c r="AA68" s="13">
        <f t="shared" si="36"/>
        <v>286.550252150083</v>
      </c>
      <c r="AB68" s="13">
        <v>120</v>
      </c>
      <c r="AC68" s="13">
        <v>13</v>
      </c>
      <c r="AD68" s="13">
        <f t="shared" si="20"/>
        <v>4</v>
      </c>
      <c r="AE68" s="16">
        <f t="shared" si="21"/>
        <v>166.550252150083</v>
      </c>
      <c r="AF68" s="15">
        <f t="shared" si="61"/>
        <v>0.20348096496564114</v>
      </c>
      <c r="AG68" s="366"/>
      <c r="AH68" s="331"/>
      <c r="AI68" s="339"/>
      <c r="AJ68" s="13">
        <f t="shared" si="62"/>
        <v>1.3668281936282856</v>
      </c>
      <c r="AK68" s="13">
        <f t="shared" si="22"/>
        <v>-3.999999999999998E-2</v>
      </c>
      <c r="AL68" s="15">
        <f t="shared" si="37"/>
        <v>18.610006994007279</v>
      </c>
      <c r="AM68" s="15">
        <f t="shared" si="23"/>
        <v>-1.0174672897211487</v>
      </c>
      <c r="AN68" s="15">
        <f t="shared" si="63"/>
        <v>10.31316728208421</v>
      </c>
      <c r="AO68" s="15">
        <f t="shared" si="24"/>
        <v>5.3050932499041172</v>
      </c>
      <c r="AP68" s="15">
        <f t="shared" si="25"/>
        <v>0.20143146569102904</v>
      </c>
      <c r="AQ68" s="20">
        <f t="shared" si="64"/>
        <v>5.0508733644868464E-2</v>
      </c>
      <c r="AR68" s="13">
        <f t="shared" si="65"/>
        <v>315746825.27017719</v>
      </c>
      <c r="AS68" s="13">
        <f t="shared" si="26"/>
        <v>1.7755090259163326E-3</v>
      </c>
      <c r="AT68" s="15">
        <f t="shared" si="66"/>
        <v>837.18785745058096</v>
      </c>
      <c r="AU68" s="13">
        <f t="shared" si="67"/>
        <v>31002.328545401964</v>
      </c>
      <c r="AV68" s="339"/>
      <c r="AW68" s="339"/>
      <c r="AX68" s="339"/>
      <c r="AY68" s="339"/>
      <c r="AZ68" s="339"/>
      <c r="BA68" s="331"/>
      <c r="BB68" s="331"/>
      <c r="BC68" s="331"/>
      <c r="BD68" s="339"/>
      <c r="BE68" s="339"/>
      <c r="BF68" s="339"/>
      <c r="BG68" s="339"/>
      <c r="BH68" s="337"/>
      <c r="BI68" s="331"/>
      <c r="BJ68" s="331"/>
      <c r="BK68" s="331"/>
      <c r="BL68" s="23">
        <f t="shared" si="68"/>
        <v>-6.5925131825468872E-2</v>
      </c>
      <c r="BM68" s="24">
        <f t="shared" si="69"/>
        <v>7284.0288669606207</v>
      </c>
      <c r="BN68" s="24">
        <f t="shared" si="70"/>
        <v>10247.034101796184</v>
      </c>
      <c r="BO68" s="24">
        <f t="shared" si="71"/>
        <v>82.954145758871363</v>
      </c>
      <c r="BP68" s="24">
        <f t="shared" si="27"/>
        <v>95.39726762270206</v>
      </c>
      <c r="BQ68" s="23">
        <f t="shared" si="28"/>
        <v>506.09140052449328</v>
      </c>
      <c r="BR68" s="23">
        <f t="shared" si="72"/>
        <v>3.791943966796111</v>
      </c>
      <c r="BS68" s="6">
        <f t="shared" si="73"/>
        <v>1219.7271241087446</v>
      </c>
      <c r="BT68" s="23">
        <f t="shared" si="74"/>
        <v>1244.6195143966781</v>
      </c>
      <c r="BU68" s="22">
        <f t="shared" si="75"/>
        <v>1587.5248908120893</v>
      </c>
      <c r="BV68" s="22">
        <f t="shared" si="76"/>
        <v>75.596423372004253</v>
      </c>
      <c r="BW68" s="23">
        <f t="shared" si="77"/>
        <v>1.4368949838141106E-2</v>
      </c>
      <c r="BX68" s="331"/>
      <c r="BY68" s="361"/>
      <c r="BZ68" s="361"/>
      <c r="CA68" s="361"/>
    </row>
    <row r="69" spans="3:79" ht="15.75" x14ac:dyDescent="0.3">
      <c r="C69" s="13"/>
      <c r="D69" s="379"/>
      <c r="E69" s="379"/>
      <c r="F69" s="19" t="s">
        <v>128</v>
      </c>
      <c r="G69" s="256"/>
      <c r="H69" s="55">
        <v>0.65</v>
      </c>
      <c r="I69" s="13">
        <v>-8.6874839999999995</v>
      </c>
      <c r="J69" s="13">
        <v>115.847088</v>
      </c>
      <c r="K69" s="13">
        <f t="shared" si="17"/>
        <v>-0.15162519951432704</v>
      </c>
      <c r="L69" s="13">
        <f t="shared" si="17"/>
        <v>2.0219131144476128</v>
      </c>
      <c r="M69" s="13">
        <v>3443</v>
      </c>
      <c r="N69" s="71">
        <f t="shared" si="30"/>
        <v>0.58674359912330643</v>
      </c>
      <c r="O69" s="339"/>
      <c r="P69" s="339"/>
      <c r="Q69" s="437"/>
      <c r="R69" s="15">
        <f t="shared" si="31"/>
        <v>4.9999999999999822E-2</v>
      </c>
      <c r="S69" s="331"/>
      <c r="T69" s="20">
        <f t="shared" si="18"/>
        <v>11.734871982466171</v>
      </c>
      <c r="U69" s="347"/>
      <c r="V69" s="15">
        <f t="shared" si="19"/>
        <v>6.0364181477805978</v>
      </c>
      <c r="W69" s="15">
        <f t="shared" si="32"/>
        <v>6.1626757369233202E-5</v>
      </c>
      <c r="X69" s="15">
        <f t="shared" si="33"/>
        <v>1.610066234962737E-4</v>
      </c>
      <c r="Y69" s="13">
        <f t="shared" si="34"/>
        <v>1.2052405323337498</v>
      </c>
      <c r="Z69" s="13">
        <f t="shared" si="35"/>
        <v>69.055195800824492</v>
      </c>
      <c r="AA69" s="13">
        <f t="shared" si="36"/>
        <v>290.94480419917551</v>
      </c>
      <c r="AB69" s="13">
        <v>120</v>
      </c>
      <c r="AC69" s="13">
        <v>13</v>
      </c>
      <c r="AD69" s="13">
        <f t="shared" si="20"/>
        <v>4</v>
      </c>
      <c r="AE69" s="16">
        <f t="shared" si="21"/>
        <v>170.94480419917551</v>
      </c>
      <c r="AF69" s="15">
        <f t="shared" si="61"/>
        <v>0.22919946884125908</v>
      </c>
      <c r="AG69" s="366"/>
      <c r="AH69" s="331"/>
      <c r="AI69" s="339"/>
      <c r="AJ69" s="13">
        <f t="shared" si="62"/>
        <v>1.1425861656888041</v>
      </c>
      <c r="AK69" s="13">
        <f t="shared" si="22"/>
        <v>-3.999999999999998E-2</v>
      </c>
      <c r="AL69" s="15">
        <f t="shared" si="37"/>
        <v>18.610006994007279</v>
      </c>
      <c r="AM69" s="15">
        <f t="shared" si="23"/>
        <v>-0.85054146138898379</v>
      </c>
      <c r="AN69" s="15">
        <f t="shared" si="63"/>
        <v>11.635903796271545</v>
      </c>
      <c r="AO69" s="15">
        <f t="shared" si="24"/>
        <v>5.9855089128020822</v>
      </c>
      <c r="AP69" s="15">
        <f t="shared" si="25"/>
        <v>0.22726647325836019</v>
      </c>
      <c r="AQ69" s="20">
        <f t="shared" si="64"/>
        <v>5.0425270730694312E-2</v>
      </c>
      <c r="AR69" s="13">
        <f t="shared" si="65"/>
        <v>356243584.7622028</v>
      </c>
      <c r="AS69" s="13">
        <f t="shared" si="26"/>
        <v>1.7472176952367932E-3</v>
      </c>
      <c r="AT69" s="15">
        <f t="shared" si="66"/>
        <v>1048.7287530400615</v>
      </c>
      <c r="AU69" s="13">
        <f t="shared" si="67"/>
        <v>38836.006838139001</v>
      </c>
      <c r="AV69" s="339"/>
      <c r="AW69" s="339"/>
      <c r="AX69" s="339"/>
      <c r="AY69" s="339"/>
      <c r="AZ69" s="339"/>
      <c r="BA69" s="331"/>
      <c r="BB69" s="331"/>
      <c r="BC69" s="331"/>
      <c r="BD69" s="339"/>
      <c r="BE69" s="339"/>
      <c r="BF69" s="339"/>
      <c r="BG69" s="339"/>
      <c r="BH69" s="337"/>
      <c r="BI69" s="331"/>
      <c r="BJ69" s="331"/>
      <c r="BK69" s="331"/>
      <c r="BL69" s="23">
        <f t="shared" si="68"/>
        <v>-0.11183304706265475</v>
      </c>
      <c r="BM69" s="24">
        <f t="shared" si="69"/>
        <v>21541.142482904153</v>
      </c>
      <c r="BN69" s="24">
        <f t="shared" si="70"/>
        <v>13044.105449565113</v>
      </c>
      <c r="BO69" s="24">
        <f t="shared" si="71"/>
        <v>116.53945620712003</v>
      </c>
      <c r="BP69" s="24">
        <f t="shared" si="27"/>
        <v>134.02037463818803</v>
      </c>
      <c r="BQ69" s="23">
        <f t="shared" si="28"/>
        <v>802.18014689394863</v>
      </c>
      <c r="BR69" s="23">
        <f t="shared" si="72"/>
        <v>4.2782875514043832</v>
      </c>
      <c r="BS69" s="6">
        <f t="shared" si="73"/>
        <v>1933.3284117731866</v>
      </c>
      <c r="BT69" s="23">
        <f t="shared" si="74"/>
        <v>1972.7840936461089</v>
      </c>
      <c r="BU69" s="22">
        <f t="shared" si="75"/>
        <v>2516.3062418955469</v>
      </c>
      <c r="BV69" s="22">
        <f t="shared" si="76"/>
        <v>119.8241067569308</v>
      </c>
      <c r="BW69" s="23">
        <f t="shared" si="77"/>
        <v>2.273786788921427E-2</v>
      </c>
      <c r="BX69" s="331"/>
      <c r="BY69" s="361"/>
      <c r="BZ69" s="361"/>
      <c r="CA69" s="361"/>
    </row>
    <row r="70" spans="3:79" ht="15.75" x14ac:dyDescent="0.3">
      <c r="C70" s="13"/>
      <c r="D70" s="379"/>
      <c r="E70" s="379"/>
      <c r="F70" s="19" t="s">
        <v>128</v>
      </c>
      <c r="G70" s="256"/>
      <c r="H70" s="55">
        <v>0.65208333333333401</v>
      </c>
      <c r="I70" s="13">
        <v>-8.6842070000000007</v>
      </c>
      <c r="J70" s="13">
        <v>115.84090999999999</v>
      </c>
      <c r="K70" s="13">
        <f t="shared" si="17"/>
        <v>-0.15156800507473922</v>
      </c>
      <c r="L70" s="13">
        <f t="shared" si="17"/>
        <v>2.0218052880064246</v>
      </c>
      <c r="M70" s="13">
        <v>3443</v>
      </c>
      <c r="N70" s="71">
        <f t="shared" si="30"/>
        <v>0.41648333459115716</v>
      </c>
      <c r="O70" s="339"/>
      <c r="P70" s="339"/>
      <c r="Q70" s="437"/>
      <c r="R70" s="15">
        <f t="shared" si="31"/>
        <v>5.000000000001581E-2</v>
      </c>
      <c r="S70" s="331"/>
      <c r="T70" s="20">
        <f t="shared" si="18"/>
        <v>8.3296666918205098</v>
      </c>
      <c r="U70" s="347"/>
      <c r="V70" s="15">
        <f t="shared" si="19"/>
        <v>4.2847805462724704</v>
      </c>
      <c r="W70" s="15">
        <f t="shared" si="32"/>
        <v>5.7865057858444201E-5</v>
      </c>
      <c r="X70" s="15">
        <f t="shared" si="33"/>
        <v>1.0782644118823015E-4</v>
      </c>
      <c r="Y70" s="13">
        <f t="shared" si="34"/>
        <v>1.0782603905153052</v>
      </c>
      <c r="Z70" s="13">
        <f t="shared" si="35"/>
        <v>61.779769592654972</v>
      </c>
      <c r="AA70" s="13">
        <f t="shared" si="36"/>
        <v>298.22023040734501</v>
      </c>
      <c r="AB70" s="13">
        <v>120</v>
      </c>
      <c r="AC70" s="13">
        <v>13</v>
      </c>
      <c r="AD70" s="13">
        <f t="shared" si="20"/>
        <v>4</v>
      </c>
      <c r="AE70" s="16">
        <f t="shared" si="21"/>
        <v>178.22023040734501</v>
      </c>
      <c r="AF70" s="15">
        <f t="shared" si="61"/>
        <v>0.16269075489213522</v>
      </c>
      <c r="AG70" s="366"/>
      <c r="AH70" s="331"/>
      <c r="AI70" s="339"/>
      <c r="AJ70" s="13">
        <f t="shared" si="62"/>
        <v>1.6910121388615751</v>
      </c>
      <c r="AK70" s="13">
        <f t="shared" si="22"/>
        <v>-3.999999999999998E-2</v>
      </c>
      <c r="AL70" s="15">
        <f t="shared" ref="AL70:AL101" si="84">IF($T$21="ALL SHIP TYPE LOADED",(0.5*AD70+AD70^6.5)/(2.2*$G$5^(2/3)),IF($T$22="ALL SHIP TYPE BALLAST",(0.7*AD70+AD70^6.5)/(2.7*I44^(2/3)),IF($T$23="CONTAINER NORMAL",(0.7*AD70+AD70^6.5)/(2.2*$G$5^(2/3)))))</f>
        <v>18.610006994007279</v>
      </c>
      <c r="AM70" s="15">
        <f t="shared" si="23"/>
        <v>-1.2587899092466042</v>
      </c>
      <c r="AN70" s="15">
        <f t="shared" si="63"/>
        <v>8.226117159098969</v>
      </c>
      <c r="AO70" s="15">
        <f t="shared" si="24"/>
        <v>4.2315146666405097</v>
      </c>
      <c r="AP70" s="15">
        <f t="shared" si="25"/>
        <v>0.16066827881110088</v>
      </c>
      <c r="AQ70" s="20">
        <f t="shared" si="64"/>
        <v>5.0629394954639306E-2</v>
      </c>
      <c r="AR70" s="13">
        <f t="shared" si="65"/>
        <v>251849922.16679341</v>
      </c>
      <c r="AS70" s="13">
        <f t="shared" si="26"/>
        <v>1.8304015071019097E-3</v>
      </c>
      <c r="AT70" s="15">
        <f t="shared" si="66"/>
        <v>549.10077647396395</v>
      </c>
      <c r="AU70" s="13">
        <f t="shared" si="67"/>
        <v>20334.029603130071</v>
      </c>
      <c r="AV70" s="339"/>
      <c r="AW70" s="339"/>
      <c r="AX70" s="339"/>
      <c r="AY70" s="339"/>
      <c r="AZ70" s="339"/>
      <c r="BA70" s="331"/>
      <c r="BB70" s="331"/>
      <c r="BC70" s="331"/>
      <c r="BD70" s="339"/>
      <c r="BE70" s="339"/>
      <c r="BF70" s="339"/>
      <c r="BG70" s="339"/>
      <c r="BH70" s="337"/>
      <c r="BI70" s="331"/>
      <c r="BJ70" s="331"/>
      <c r="BK70" s="331"/>
      <c r="BL70" s="23">
        <f t="shared" si="68"/>
        <v>-1.6107599172992645E-2</v>
      </c>
      <c r="BM70" s="24">
        <f t="shared" si="69"/>
        <v>693.18590372729079</v>
      </c>
      <c r="BN70" s="24">
        <f t="shared" si="70"/>
        <v>6519.3431099664203</v>
      </c>
      <c r="BO70" s="24">
        <f t="shared" si="71"/>
        <v>50.122689785456807</v>
      </c>
      <c r="BP70" s="24">
        <f t="shared" si="27"/>
        <v>57.641093253275329</v>
      </c>
      <c r="BQ70" s="23">
        <f t="shared" si="28"/>
        <v>243.9091315024279</v>
      </c>
      <c r="BR70" s="23">
        <f t="shared" si="72"/>
        <v>3.0245776567389733</v>
      </c>
      <c r="BS70" s="6">
        <f t="shared" si="73"/>
        <v>587.8435855716931</v>
      </c>
      <c r="BT70" s="23">
        <f t="shared" si="74"/>
        <v>599.84039344050314</v>
      </c>
      <c r="BU70" s="22">
        <f t="shared" si="75"/>
        <v>765.10254265370293</v>
      </c>
      <c r="BV70" s="22">
        <f t="shared" si="76"/>
        <v>36.43345441208109</v>
      </c>
      <c r="BW70" s="23">
        <f t="shared" si="77"/>
        <v>6.9416128432561054E-3</v>
      </c>
      <c r="BX70" s="331"/>
      <c r="BY70" s="361"/>
      <c r="BZ70" s="361"/>
      <c r="CA70" s="361"/>
    </row>
    <row r="71" spans="3:79" ht="15.75" x14ac:dyDescent="0.3">
      <c r="C71" s="13"/>
      <c r="D71" s="379"/>
      <c r="E71" s="379"/>
      <c r="F71" s="19" t="s">
        <v>128</v>
      </c>
      <c r="G71" s="256"/>
      <c r="H71" s="55">
        <v>0.65416666666666801</v>
      </c>
      <c r="I71" s="13">
        <v>-8.6800329999999999</v>
      </c>
      <c r="J71" s="13">
        <v>115.835036</v>
      </c>
      <c r="K71" s="13">
        <f t="shared" si="17"/>
        <v>-0.15149515503176095</v>
      </c>
      <c r="L71" s="13">
        <f t="shared" si="17"/>
        <v>2.0217027673661625</v>
      </c>
      <c r="M71" s="13">
        <v>3443</v>
      </c>
      <c r="N71" s="71">
        <f t="shared" si="30"/>
        <v>0.42972877612149696</v>
      </c>
      <c r="O71" s="339"/>
      <c r="P71" s="339"/>
      <c r="Q71" s="437"/>
      <c r="R71" s="15">
        <f t="shared" si="31"/>
        <v>5.000000000001581E-2</v>
      </c>
      <c r="S71" s="331"/>
      <c r="T71" s="20">
        <f t="shared" si="18"/>
        <v>8.5945755224272222</v>
      </c>
      <c r="U71" s="347"/>
      <c r="V71" s="15">
        <f t="shared" si="19"/>
        <v>4.4210496487365631</v>
      </c>
      <c r="W71" s="15">
        <f t="shared" si="32"/>
        <v>7.37034910179169E-5</v>
      </c>
      <c r="X71" s="15">
        <f t="shared" si="33"/>
        <v>1.0252064026206043E-4</v>
      </c>
      <c r="Y71" s="13">
        <f t="shared" si="34"/>
        <v>0.94748907810550587</v>
      </c>
      <c r="Z71" s="13">
        <f t="shared" si="35"/>
        <v>54.287125310186703</v>
      </c>
      <c r="AA71" s="13">
        <f t="shared" si="36"/>
        <v>305.7128746898133</v>
      </c>
      <c r="AB71" s="13">
        <v>120</v>
      </c>
      <c r="AC71" s="13">
        <v>13</v>
      </c>
      <c r="AD71" s="13">
        <f t="shared" si="20"/>
        <v>4</v>
      </c>
      <c r="AE71" s="16">
        <f t="shared" si="21"/>
        <v>174.2871253101867</v>
      </c>
      <c r="AF71" s="15">
        <f t="shared" si="61"/>
        <v>0.16786481757957986</v>
      </c>
      <c r="AG71" s="366"/>
      <c r="AH71" s="331"/>
      <c r="AI71" s="339"/>
      <c r="AJ71" s="13">
        <f t="shared" si="62"/>
        <v>1.6520284499756575</v>
      </c>
      <c r="AK71" s="13">
        <f t="shared" si="22"/>
        <v>-3.999999999999998E-2</v>
      </c>
      <c r="AL71" s="15">
        <f t="shared" si="84"/>
        <v>18.610006994007279</v>
      </c>
      <c r="AM71" s="15">
        <f t="shared" si="23"/>
        <v>-1.229770440333839</v>
      </c>
      <c r="AN71" s="15">
        <f t="shared" si="63"/>
        <v>8.4901659709808186</v>
      </c>
      <c r="AO71" s="15">
        <f t="shared" si="24"/>
        <v>4.3673413754725328</v>
      </c>
      <c r="AP71" s="15">
        <f t="shared" si="25"/>
        <v>0.16582554405625327</v>
      </c>
      <c r="AQ71" s="20">
        <f t="shared" si="64"/>
        <v>5.0614885220182912E-2</v>
      </c>
      <c r="AR71" s="13">
        <f t="shared" si="65"/>
        <v>259934012.31947511</v>
      </c>
      <c r="AS71" s="13">
        <f t="shared" si="26"/>
        <v>1.8225794825521683E-3</v>
      </c>
      <c r="AT71" s="15">
        <f t="shared" si="66"/>
        <v>582.41794719918698</v>
      </c>
      <c r="AU71" s="13">
        <f t="shared" si="67"/>
        <v>21567.814665627338</v>
      </c>
      <c r="AV71" s="339"/>
      <c r="AW71" s="339"/>
      <c r="AX71" s="339"/>
      <c r="AY71" s="339"/>
      <c r="AZ71" s="339"/>
      <c r="BA71" s="331"/>
      <c r="BB71" s="331"/>
      <c r="BC71" s="331"/>
      <c r="BD71" s="339"/>
      <c r="BE71" s="339"/>
      <c r="BF71" s="339"/>
      <c r="BG71" s="339"/>
      <c r="BH71" s="337"/>
      <c r="BI71" s="331"/>
      <c r="BJ71" s="331"/>
      <c r="BK71" s="331"/>
      <c r="BL71" s="23">
        <f t="shared" si="68"/>
        <v>-2.0419702227317149E-2</v>
      </c>
      <c r="BM71" s="24">
        <f t="shared" si="69"/>
        <v>982.72424985581267</v>
      </c>
      <c r="BN71" s="24">
        <f t="shared" si="70"/>
        <v>6944.5869127394462</v>
      </c>
      <c r="BO71" s="24">
        <f t="shared" si="71"/>
        <v>53.441083536330652</v>
      </c>
      <c r="BP71" s="24">
        <f t="shared" si="27"/>
        <v>61.45724606678025</v>
      </c>
      <c r="BQ71" s="23">
        <f t="shared" si="28"/>
        <v>268.40477357004596</v>
      </c>
      <c r="BR71" s="23">
        <f t="shared" si="72"/>
        <v>3.1216630885727437</v>
      </c>
      <c r="BS71" s="6">
        <f t="shared" si="73"/>
        <v>646.88035051448526</v>
      </c>
      <c r="BT71" s="23">
        <f t="shared" si="74"/>
        <v>660.08199032090329</v>
      </c>
      <c r="BU71" s="22">
        <f t="shared" si="75"/>
        <v>841.94131418482561</v>
      </c>
      <c r="BV71" s="22">
        <f t="shared" si="76"/>
        <v>40.092443532610744</v>
      </c>
      <c r="BW71" s="23">
        <f t="shared" si="77"/>
        <v>7.6365655259434057E-3</v>
      </c>
      <c r="BX71" s="331"/>
      <c r="BY71" s="361"/>
      <c r="BZ71" s="361"/>
      <c r="CA71" s="361"/>
    </row>
    <row r="72" spans="3:79" ht="15.75" x14ac:dyDescent="0.3">
      <c r="C72" s="13"/>
      <c r="D72" s="379"/>
      <c r="E72" s="379"/>
      <c r="F72" s="19" t="s">
        <v>128</v>
      </c>
      <c r="G72" s="256"/>
      <c r="H72" s="55">
        <v>0.656250000000001</v>
      </c>
      <c r="I72" s="13">
        <v>-8.6757690000000007</v>
      </c>
      <c r="J72" s="13">
        <v>115.829663</v>
      </c>
      <c r="K72" s="13">
        <f t="shared" si="17"/>
        <v>-0.15142073419245594</v>
      </c>
      <c r="L72" s="13">
        <f t="shared" si="17"/>
        <v>2.0216089908254524</v>
      </c>
      <c r="M72" s="13">
        <v>3443</v>
      </c>
      <c r="N72" s="71">
        <f t="shared" si="30"/>
        <v>0.40930171681957411</v>
      </c>
      <c r="O72" s="339"/>
      <c r="P72" s="339"/>
      <c r="Q72" s="437"/>
      <c r="R72" s="15">
        <f t="shared" si="31"/>
        <v>4.9999999999991829E-2</v>
      </c>
      <c r="S72" s="331"/>
      <c r="T72" s="20">
        <f t="shared" si="18"/>
        <v>8.1860343363928205</v>
      </c>
      <c r="U72" s="347"/>
      <c r="V72" s="15">
        <f t="shared" si="19"/>
        <v>4.210896062640467</v>
      </c>
      <c r="W72" s="15">
        <f t="shared" si="32"/>
        <v>7.5291838517976497E-5</v>
      </c>
      <c r="X72" s="15">
        <f t="shared" si="33"/>
        <v>9.3776540710077683E-5</v>
      </c>
      <c r="Y72" s="13">
        <f t="shared" si="34"/>
        <v>0.89429831911334523</v>
      </c>
      <c r="Z72" s="13">
        <f t="shared" si="35"/>
        <v>51.239519310838361</v>
      </c>
      <c r="AA72" s="13">
        <f t="shared" si="36"/>
        <v>308.76048068916162</v>
      </c>
      <c r="AB72" s="13">
        <v>120</v>
      </c>
      <c r="AC72" s="13">
        <v>13</v>
      </c>
      <c r="AD72" s="13">
        <f t="shared" si="20"/>
        <v>4</v>
      </c>
      <c r="AE72" s="16">
        <f t="shared" si="21"/>
        <v>171.23951931083838</v>
      </c>
      <c r="AF72" s="15">
        <f t="shared" si="61"/>
        <v>0.15988540178546018</v>
      </c>
      <c r="AG72" s="366"/>
      <c r="AH72" s="331"/>
      <c r="AI72" s="339"/>
      <c r="AJ72" s="13">
        <f t="shared" si="62"/>
        <v>1.7118892496262603</v>
      </c>
      <c r="AK72" s="13">
        <f t="shared" si="22"/>
        <v>-3.999999999999998E-2</v>
      </c>
      <c r="AL72" s="15">
        <f t="shared" si="84"/>
        <v>18.610006994007279</v>
      </c>
      <c r="AM72" s="15">
        <f t="shared" si="23"/>
        <v>-1.2743308363404224</v>
      </c>
      <c r="AN72" s="15">
        <f t="shared" si="63"/>
        <v>8.083029795201977</v>
      </c>
      <c r="AO72" s="15">
        <f t="shared" si="24"/>
        <v>4.1579105266518965</v>
      </c>
      <c r="AP72" s="15">
        <f t="shared" si="25"/>
        <v>0.15787357019799556</v>
      </c>
      <c r="AQ72" s="20">
        <f t="shared" si="64"/>
        <v>5.063716541816194E-2</v>
      </c>
      <c r="AR72" s="13">
        <f t="shared" si="65"/>
        <v>247469174.7541883</v>
      </c>
      <c r="AS72" s="13">
        <f t="shared" si="26"/>
        <v>1.8347675750876504E-3</v>
      </c>
      <c r="AT72" s="15">
        <f t="shared" si="66"/>
        <v>531.42909504799889</v>
      </c>
      <c r="AU72" s="13">
        <f t="shared" si="67"/>
        <v>19679.620597263925</v>
      </c>
      <c r="AV72" s="339"/>
      <c r="AW72" s="339"/>
      <c r="AX72" s="339"/>
      <c r="AY72" s="339"/>
      <c r="AZ72" s="339"/>
      <c r="BA72" s="331"/>
      <c r="BB72" s="331"/>
      <c r="BC72" s="331"/>
      <c r="BD72" s="339"/>
      <c r="BE72" s="339"/>
      <c r="BF72" s="339"/>
      <c r="BG72" s="339"/>
      <c r="BH72" s="337"/>
      <c r="BI72" s="331"/>
      <c r="BJ72" s="331"/>
      <c r="BK72" s="331"/>
      <c r="BL72" s="23">
        <f t="shared" si="68"/>
        <v>-1.4026198622309098E-2</v>
      </c>
      <c r="BM72" s="24">
        <f t="shared" si="69"/>
        <v>569.22615095267952</v>
      </c>
      <c r="BN72" s="24">
        <f t="shared" si="70"/>
        <v>6294.5170829883682</v>
      </c>
      <c r="BO72" s="24">
        <f t="shared" si="71"/>
        <v>48.392928557144579</v>
      </c>
      <c r="BP72" s="24">
        <f t="shared" si="27"/>
        <v>55.651867840716264</v>
      </c>
      <c r="BQ72" s="23">
        <f t="shared" si="28"/>
        <v>231.3954871227543</v>
      </c>
      <c r="BR72" s="23">
        <f t="shared" si="72"/>
        <v>2.9719673139205725</v>
      </c>
      <c r="BS72" s="6">
        <f t="shared" si="73"/>
        <v>557.68454422951538</v>
      </c>
      <c r="BT72" s="23">
        <f t="shared" si="74"/>
        <v>569.06586145868914</v>
      </c>
      <c r="BU72" s="22">
        <f t="shared" si="75"/>
        <v>725.8493130850627</v>
      </c>
      <c r="BV72" s="22">
        <f t="shared" si="76"/>
        <v>34.564253004050606</v>
      </c>
      <c r="BW72" s="23">
        <f t="shared" si="77"/>
        <v>6.5864873509742777E-3</v>
      </c>
      <c r="BX72" s="331"/>
      <c r="BY72" s="361"/>
      <c r="BZ72" s="361"/>
      <c r="CA72" s="361"/>
    </row>
    <row r="73" spans="3:79" ht="15.75" x14ac:dyDescent="0.3">
      <c r="C73" s="13"/>
      <c r="D73" s="379"/>
      <c r="E73" s="379"/>
      <c r="F73" s="19" t="s">
        <v>128</v>
      </c>
      <c r="G73" s="256"/>
      <c r="H73" s="55">
        <v>0.65833333333333499</v>
      </c>
      <c r="I73" s="13">
        <v>-8.6705109999999994</v>
      </c>
      <c r="J73" s="13">
        <v>115.823948</v>
      </c>
      <c r="K73" s="13">
        <f t="shared" si="17"/>
        <v>-0.15132896478038604</v>
      </c>
      <c r="L73" s="13">
        <f t="shared" si="17"/>
        <v>2.0215092452587013</v>
      </c>
      <c r="M73" s="13">
        <v>3443</v>
      </c>
      <c r="N73" s="71">
        <f t="shared" si="30"/>
        <v>0.46377810908909983</v>
      </c>
      <c r="O73" s="339"/>
      <c r="P73" s="339"/>
      <c r="Q73" s="437"/>
      <c r="R73" s="15">
        <f t="shared" si="31"/>
        <v>5.000000000001581E-2</v>
      </c>
      <c r="S73" s="331"/>
      <c r="T73" s="20">
        <f t="shared" si="18"/>
        <v>9.2755621817790637</v>
      </c>
      <c r="U73" s="347"/>
      <c r="V73" s="15">
        <f t="shared" si="19"/>
        <v>4.77134918630715</v>
      </c>
      <c r="W73" s="15">
        <f t="shared" si="32"/>
        <v>9.2842270350857508E-5</v>
      </c>
      <c r="X73" s="15">
        <f t="shared" si="33"/>
        <v>9.9745566751074932E-5</v>
      </c>
      <c r="Y73" s="13">
        <f t="shared" si="34"/>
        <v>0.82122774741842863</v>
      </c>
      <c r="Z73" s="13">
        <f t="shared" si="35"/>
        <v>47.05288394611155</v>
      </c>
      <c r="AA73" s="13">
        <f t="shared" si="36"/>
        <v>312.94711605388846</v>
      </c>
      <c r="AB73" s="13">
        <v>120</v>
      </c>
      <c r="AC73" s="13">
        <v>13</v>
      </c>
      <c r="AD73" s="13">
        <f t="shared" si="20"/>
        <v>4</v>
      </c>
      <c r="AE73" s="16">
        <f t="shared" si="21"/>
        <v>167.05288394611154</v>
      </c>
      <c r="AF73" s="15">
        <f t="shared" si="61"/>
        <v>0.1811654978805356</v>
      </c>
      <c r="AG73" s="366"/>
      <c r="AH73" s="331"/>
      <c r="AI73" s="339"/>
      <c r="AJ73" s="13">
        <f t="shared" si="62"/>
        <v>1.5489647814233112</v>
      </c>
      <c r="AK73" s="13">
        <f t="shared" si="22"/>
        <v>-3.999999999999998E-2</v>
      </c>
      <c r="AL73" s="15">
        <f t="shared" si="84"/>
        <v>18.610006994007279</v>
      </c>
      <c r="AM73" s="15">
        <f t="shared" si="23"/>
        <v>-1.1530498166303504</v>
      </c>
      <c r="AN73" s="15">
        <f t="shared" si="63"/>
        <v>9.1698294797771762</v>
      </c>
      <c r="AO73" s="15">
        <f t="shared" si="24"/>
        <v>4.7169602843973788</v>
      </c>
      <c r="AP73" s="15">
        <f t="shared" si="25"/>
        <v>0.17910038126280059</v>
      </c>
      <c r="AQ73" s="20">
        <f t="shared" si="64"/>
        <v>5.0576524908331172E-2</v>
      </c>
      <c r="AR73" s="13">
        <f t="shared" si="65"/>
        <v>280742517.53273195</v>
      </c>
      <c r="AS73" s="13">
        <f t="shared" si="26"/>
        <v>1.8037223700926148E-3</v>
      </c>
      <c r="AT73" s="15">
        <f t="shared" si="66"/>
        <v>672.36968285898433</v>
      </c>
      <c r="AU73" s="13">
        <f t="shared" si="67"/>
        <v>24898.863052600391</v>
      </c>
      <c r="AV73" s="339"/>
      <c r="AW73" s="339"/>
      <c r="AX73" s="339"/>
      <c r="AY73" s="339"/>
      <c r="AZ73" s="339"/>
      <c r="BA73" s="331"/>
      <c r="BB73" s="331"/>
      <c r="BC73" s="331"/>
      <c r="BD73" s="339"/>
      <c r="BE73" s="339"/>
      <c r="BF73" s="339"/>
      <c r="BG73" s="339"/>
      <c r="BH73" s="337"/>
      <c r="BI73" s="331"/>
      <c r="BJ73" s="331"/>
      <c r="BK73" s="331"/>
      <c r="BL73" s="23">
        <f t="shared" si="68"/>
        <v>-3.4315939292459137E-2</v>
      </c>
      <c r="BM73" s="24">
        <f t="shared" si="69"/>
        <v>2238.9133770701237</v>
      </c>
      <c r="BN73" s="24">
        <f t="shared" si="70"/>
        <v>8100.9616566562972</v>
      </c>
      <c r="BO73" s="24">
        <f t="shared" si="71"/>
        <v>62.883037283118007</v>
      </c>
      <c r="BP73" s="24">
        <f t="shared" si="27"/>
        <v>72.315492875585704</v>
      </c>
      <c r="BQ73" s="23">
        <f t="shared" si="28"/>
        <v>341.10930784075936</v>
      </c>
      <c r="BR73" s="23">
        <f t="shared" si="72"/>
        <v>3.3715616765757668</v>
      </c>
      <c r="BS73" s="6">
        <f t="shared" si="73"/>
        <v>822.10500836043707</v>
      </c>
      <c r="BT73" s="23">
        <f t="shared" si="74"/>
        <v>838.88266159228272</v>
      </c>
      <c r="BU73" s="22">
        <f t="shared" si="75"/>
        <v>1070.0033948881157</v>
      </c>
      <c r="BV73" s="22">
        <f t="shared" si="76"/>
        <v>50.9525426137198</v>
      </c>
      <c r="BW73" s="23">
        <f t="shared" si="77"/>
        <v>9.6977759609575397E-3</v>
      </c>
      <c r="BX73" s="331"/>
      <c r="BY73" s="362"/>
      <c r="BZ73" s="362"/>
      <c r="CA73" s="362"/>
    </row>
    <row r="74" spans="3:79" ht="15.75" x14ac:dyDescent="0.3">
      <c r="C74" s="13">
        <v>7</v>
      </c>
      <c r="D74" s="379"/>
      <c r="E74" s="379"/>
      <c r="F74" s="19" t="s">
        <v>128</v>
      </c>
      <c r="G74" s="255">
        <v>0.65972222222222199</v>
      </c>
      <c r="H74" s="54">
        <v>0.65972222222222199</v>
      </c>
      <c r="I74" s="13">
        <v>-8.6674720000000001</v>
      </c>
      <c r="J74" s="13">
        <v>115.819954</v>
      </c>
      <c r="K74" s="13">
        <f t="shared" si="17"/>
        <v>-0.15127592422441796</v>
      </c>
      <c r="L74" s="13">
        <f t="shared" si="17"/>
        <v>2.0214395368083764</v>
      </c>
      <c r="M74" s="13">
        <v>3443</v>
      </c>
      <c r="N74" s="71">
        <f t="shared" si="30"/>
        <v>0.29940590972338793</v>
      </c>
      <c r="O74" s="398"/>
      <c r="P74" s="398"/>
      <c r="Q74" s="437"/>
      <c r="R74" s="15">
        <f t="shared" si="31"/>
        <v>3.3333333333287918E-2</v>
      </c>
      <c r="S74" s="358"/>
      <c r="T74" s="20">
        <f t="shared" si="18"/>
        <v>8.9821772917138762</v>
      </c>
      <c r="U74" s="348"/>
      <c r="V74" s="15">
        <f t="shared" si="19"/>
        <v>4.6204319988576179</v>
      </c>
      <c r="W74" s="15">
        <f t="shared" si="32"/>
        <v>5.3660047050691635E-5</v>
      </c>
      <c r="X74" s="15">
        <f t="shared" si="33"/>
        <v>6.9708450324945659E-5</v>
      </c>
      <c r="Y74" s="13">
        <f t="shared" si="34"/>
        <v>0.91475685189808054</v>
      </c>
      <c r="Z74" s="13">
        <f t="shared" si="35"/>
        <v>52.411706894433721</v>
      </c>
      <c r="AA74" s="13">
        <f t="shared" si="36"/>
        <v>307.58829310556627</v>
      </c>
      <c r="AB74" s="13">
        <v>120</v>
      </c>
      <c r="AC74" s="13">
        <v>13</v>
      </c>
      <c r="AD74" s="13">
        <f t="shared" si="20"/>
        <v>4</v>
      </c>
      <c r="AE74" s="16">
        <f t="shared" si="21"/>
        <v>172.41170689443373</v>
      </c>
      <c r="AF74" s="15">
        <f t="shared" si="61"/>
        <v>0.17543525548253883</v>
      </c>
      <c r="AG74" s="366"/>
      <c r="AH74" s="331"/>
      <c r="AI74" s="339"/>
      <c r="AJ74" s="13">
        <f t="shared" si="62"/>
        <v>1.5938702198664116</v>
      </c>
      <c r="AK74" s="13">
        <f t="shared" si="22"/>
        <v>-3.999999999999998E-2</v>
      </c>
      <c r="AL74" s="15">
        <f t="shared" si="84"/>
        <v>18.610006994007279</v>
      </c>
      <c r="AM74" s="15">
        <f t="shared" si="23"/>
        <v>-1.186477437570153</v>
      </c>
      <c r="AN74" s="15">
        <f t="shared" si="63"/>
        <v>8.8768554051658572</v>
      </c>
      <c r="AO74" s="15">
        <f t="shared" si="24"/>
        <v>4.5662544204173168</v>
      </c>
      <c r="AP74" s="15">
        <f t="shared" si="25"/>
        <v>0.17337816270042464</v>
      </c>
      <c r="AQ74" s="20">
        <f t="shared" si="64"/>
        <v>3.372882581247743E-2</v>
      </c>
      <c r="AR74" s="13">
        <f t="shared" si="65"/>
        <v>271772854.63337314</v>
      </c>
      <c r="AS74" s="13">
        <f t="shared" si="26"/>
        <v>1.8116376196258724E-3</v>
      </c>
      <c r="AT74" s="15">
        <f t="shared" si="66"/>
        <v>632.85692089652332</v>
      </c>
      <c r="AU74" s="13">
        <f t="shared" si="67"/>
        <v>23435.64590582185</v>
      </c>
      <c r="AV74" s="339"/>
      <c r="AW74" s="339"/>
      <c r="AX74" s="339"/>
      <c r="AY74" s="339"/>
      <c r="AZ74" s="339"/>
      <c r="BA74" s="331"/>
      <c r="BB74" s="331"/>
      <c r="BC74" s="331"/>
      <c r="BD74" s="339"/>
      <c r="BE74" s="339"/>
      <c r="BF74" s="339"/>
      <c r="BG74" s="339"/>
      <c r="BH74" s="337"/>
      <c r="BI74" s="331"/>
      <c r="BJ74" s="331"/>
      <c r="BK74" s="331"/>
      <c r="BL74" s="23">
        <f t="shared" si="68"/>
        <v>-2.7838843175937992E-2</v>
      </c>
      <c r="BM74" s="24">
        <f t="shared" si="69"/>
        <v>1589.3511525316239</v>
      </c>
      <c r="BN74" s="24">
        <f t="shared" si="70"/>
        <v>7591.5830706684546</v>
      </c>
      <c r="BO74" s="24">
        <f t="shared" si="71"/>
        <v>58.636322714132945</v>
      </c>
      <c r="BP74" s="24">
        <f t="shared" si="27"/>
        <v>67.431771121252893</v>
      </c>
      <c r="BQ74" s="23">
        <f t="shared" si="28"/>
        <v>307.91062295898979</v>
      </c>
      <c r="BR74" s="23">
        <f t="shared" si="72"/>
        <v>3.2638410080106439</v>
      </c>
      <c r="BS74" s="6">
        <f t="shared" si="73"/>
        <v>742.09310459548965</v>
      </c>
      <c r="BT74" s="23">
        <f t="shared" si="74"/>
        <v>757.23786183213235</v>
      </c>
      <c r="BU74" s="22">
        <f t="shared" si="75"/>
        <v>965.86461968384219</v>
      </c>
      <c r="BV74" s="22">
        <f t="shared" si="76"/>
        <v>45.993553318278202</v>
      </c>
      <c r="BW74" s="23">
        <f t="shared" si="77"/>
        <v>5.8378843292225917E-3</v>
      </c>
      <c r="BX74" s="331"/>
      <c r="BY74" s="360">
        <f t="shared" ref="BY74" si="85">SUM(BW75:BW80)*1000</f>
        <v>50.936019514770749</v>
      </c>
      <c r="BZ74" s="360">
        <v>80</v>
      </c>
      <c r="CA74" s="360">
        <f t="shared" ref="CA74" si="86">AVERAGE(AN74:AN80)</f>
        <v>8.4980278600715629</v>
      </c>
    </row>
    <row r="75" spans="3:79" ht="15.75" x14ac:dyDescent="0.3">
      <c r="C75" s="13"/>
      <c r="D75" s="379"/>
      <c r="E75" s="379"/>
      <c r="F75" s="19" t="s">
        <v>128</v>
      </c>
      <c r="G75" s="256"/>
      <c r="H75" s="54">
        <v>0.66180555555555554</v>
      </c>
      <c r="I75" s="13">
        <v>-8.6640979999999992</v>
      </c>
      <c r="J75" s="13">
        <v>115.81549699999999</v>
      </c>
      <c r="K75" s="13">
        <f t="shared" si="17"/>
        <v>-0.15121703681545565</v>
      </c>
      <c r="L75" s="13">
        <f t="shared" si="17"/>
        <v>2.0213617474836152</v>
      </c>
      <c r="M75" s="13">
        <v>3443</v>
      </c>
      <c r="N75" s="71">
        <f t="shared" si="30"/>
        <v>0.33348320255699454</v>
      </c>
      <c r="O75" s="357">
        <f t="shared" ref="O75" si="87">SUM(N75:N81)</f>
        <v>2.8414375084289061</v>
      </c>
      <c r="P75" s="338">
        <v>2.84</v>
      </c>
      <c r="Q75" s="437">
        <f t="shared" ref="Q75" si="88">ABS((O75-P75)/P75*100%)</f>
        <v>5.0616493975571132E-4</v>
      </c>
      <c r="R75" s="15">
        <f t="shared" si="31"/>
        <v>5.0000000000005151E-2</v>
      </c>
      <c r="S75" s="357">
        <f t="shared" ref="S75" si="89">SUM(R75:R81)</f>
        <v>0.33333333333333748</v>
      </c>
      <c r="T75" s="20">
        <f t="shared" si="18"/>
        <v>6.669664051139204</v>
      </c>
      <c r="U75" s="346">
        <f t="shared" ref="U75" si="90">AVERAGE(T75:T81)</f>
        <v>8.5193183749823458</v>
      </c>
      <c r="V75" s="15">
        <f t="shared" si="19"/>
        <v>3.4308751879060062</v>
      </c>
      <c r="W75" s="15">
        <f t="shared" si="32"/>
        <v>5.9574677840558628E-5</v>
      </c>
      <c r="X75" s="15">
        <f t="shared" si="33"/>
        <v>7.7789324761212697E-5</v>
      </c>
      <c r="Y75" s="13">
        <f t="shared" si="34"/>
        <v>0.9172303915754173</v>
      </c>
      <c r="Z75" s="13">
        <f t="shared" si="35"/>
        <v>52.553430278403269</v>
      </c>
      <c r="AA75" s="13">
        <f t="shared" si="36"/>
        <v>307.44656972159675</v>
      </c>
      <c r="AB75" s="13">
        <v>120</v>
      </c>
      <c r="AC75" s="13">
        <v>13</v>
      </c>
      <c r="AD75" s="13">
        <f t="shared" si="20"/>
        <v>4</v>
      </c>
      <c r="AE75" s="16">
        <f t="shared" si="21"/>
        <v>172.55343027840325</v>
      </c>
      <c r="AF75" s="15">
        <f t="shared" si="61"/>
        <v>0.13026843924286949</v>
      </c>
      <c r="AG75" s="366"/>
      <c r="AH75" s="331"/>
      <c r="AI75" s="339"/>
      <c r="AJ75" s="13">
        <f t="shared" si="62"/>
        <v>1.9211563261532141</v>
      </c>
      <c r="AK75" s="13">
        <f t="shared" si="22"/>
        <v>-3.999999999999998E-2</v>
      </c>
      <c r="AL75" s="15">
        <f t="shared" si="84"/>
        <v>18.610006994007279</v>
      </c>
      <c r="AM75" s="15">
        <f t="shared" si="23"/>
        <v>-1.430109306651705</v>
      </c>
      <c r="AN75" s="15">
        <f t="shared" si="63"/>
        <v>6.5756254200367037</v>
      </c>
      <c r="AO75" s="15">
        <f t="shared" si="24"/>
        <v>3.38250171606688</v>
      </c>
      <c r="AP75" s="15">
        <f t="shared" si="25"/>
        <v>0.12843172518825885</v>
      </c>
      <c r="AQ75" s="20">
        <f t="shared" si="64"/>
        <v>5.0715054653331079E-2</v>
      </c>
      <c r="AR75" s="13">
        <f t="shared" si="65"/>
        <v>201318643.8029806</v>
      </c>
      <c r="AS75" s="13">
        <f t="shared" si="26"/>
        <v>1.8873169400579271E-3</v>
      </c>
      <c r="AT75" s="15">
        <f t="shared" si="66"/>
        <v>361.77194215961572</v>
      </c>
      <c r="AU75" s="13">
        <f t="shared" si="67"/>
        <v>13396.96044265982</v>
      </c>
      <c r="AV75" s="339"/>
      <c r="AW75" s="339"/>
      <c r="AX75" s="339"/>
      <c r="AY75" s="339"/>
      <c r="AZ75" s="339"/>
      <c r="BA75" s="331"/>
      <c r="BB75" s="331"/>
      <c r="BC75" s="331"/>
      <c r="BD75" s="339"/>
      <c r="BE75" s="339"/>
      <c r="BF75" s="339"/>
      <c r="BG75" s="339"/>
      <c r="BH75" s="337"/>
      <c r="BI75" s="331"/>
      <c r="BJ75" s="331"/>
      <c r="BK75" s="331"/>
      <c r="BL75" s="23">
        <f t="shared" si="68"/>
        <v>-1.8050046855360574E-3</v>
      </c>
      <c r="BM75" s="24">
        <f t="shared" si="69"/>
        <v>44.290248530680984</v>
      </c>
      <c r="BN75" s="24">
        <f t="shared" si="70"/>
        <v>4165.7019019141571</v>
      </c>
      <c r="BO75" s="24">
        <f t="shared" si="71"/>
        <v>32.481108976152257</v>
      </c>
      <c r="BP75" s="24">
        <f t="shared" si="27"/>
        <v>37.353275322575094</v>
      </c>
      <c r="BQ75" s="23">
        <f t="shared" si="28"/>
        <v>126.34751787932889</v>
      </c>
      <c r="BR75" s="23">
        <f t="shared" si="72"/>
        <v>2.4177250748889505</v>
      </c>
      <c r="BS75" s="6">
        <f t="shared" si="73"/>
        <v>304.5092140698676</v>
      </c>
      <c r="BT75" s="23">
        <f t="shared" si="74"/>
        <v>310.72368782639552</v>
      </c>
      <c r="BU75" s="22">
        <f t="shared" si="75"/>
        <v>396.33123447244327</v>
      </c>
      <c r="BV75" s="22">
        <f t="shared" si="76"/>
        <v>18.872915927259204</v>
      </c>
      <c r="BW75" s="23">
        <f t="shared" si="77"/>
        <v>3.6019128709029106E-3</v>
      </c>
      <c r="BX75" s="331"/>
      <c r="BY75" s="361"/>
      <c r="BZ75" s="361"/>
      <c r="CA75" s="361"/>
    </row>
    <row r="76" spans="3:79" ht="15.75" x14ac:dyDescent="0.3">
      <c r="C76" s="13"/>
      <c r="D76" s="379"/>
      <c r="E76" s="379"/>
      <c r="F76" s="19" t="s">
        <v>128</v>
      </c>
      <c r="G76" s="256"/>
      <c r="H76" s="54">
        <v>0.66388888888888897</v>
      </c>
      <c r="I76" s="13">
        <v>-8.659815</v>
      </c>
      <c r="J76" s="13">
        <v>115.81026799999999</v>
      </c>
      <c r="K76" s="13">
        <f t="shared" si="17"/>
        <v>-0.15114228436359275</v>
      </c>
      <c r="L76" s="13">
        <f t="shared" si="17"/>
        <v>2.0212704842170282</v>
      </c>
      <c r="M76" s="13">
        <v>3443</v>
      </c>
      <c r="N76" s="71">
        <f t="shared" si="30"/>
        <v>0.40340438680619567</v>
      </c>
      <c r="O76" s="339"/>
      <c r="P76" s="339"/>
      <c r="Q76" s="437"/>
      <c r="R76" s="15">
        <f t="shared" si="31"/>
        <v>5.0000000000002487E-2</v>
      </c>
      <c r="S76" s="331"/>
      <c r="T76" s="20">
        <f t="shared" si="18"/>
        <v>8.0680877361235126</v>
      </c>
      <c r="U76" s="347"/>
      <c r="V76" s="15">
        <f t="shared" si="19"/>
        <v>4.1502243314619349</v>
      </c>
      <c r="W76" s="15">
        <f t="shared" si="32"/>
        <v>7.5624105919231522E-5</v>
      </c>
      <c r="X76" s="15">
        <f t="shared" si="33"/>
        <v>9.1263266587038316E-5</v>
      </c>
      <c r="Y76" s="13">
        <f t="shared" si="34"/>
        <v>0.87883615413615945</v>
      </c>
      <c r="Z76" s="13">
        <f t="shared" si="35"/>
        <v>50.353602515510623</v>
      </c>
      <c r="AA76" s="13">
        <f t="shared" si="36"/>
        <v>309.6463974844894</v>
      </c>
      <c r="AB76" s="13">
        <v>120</v>
      </c>
      <c r="AC76" s="13">
        <v>13</v>
      </c>
      <c r="AD76" s="13">
        <f t="shared" si="20"/>
        <v>4</v>
      </c>
      <c r="AE76" s="16">
        <f t="shared" si="21"/>
        <v>170.3536025155106</v>
      </c>
      <c r="AF76" s="15">
        <f t="shared" si="61"/>
        <v>0.15758172960448114</v>
      </c>
      <c r="AG76" s="366"/>
      <c r="AH76" s="331"/>
      <c r="AI76" s="339"/>
      <c r="AJ76" s="13">
        <f t="shared" si="62"/>
        <v>1.7288963830037982</v>
      </c>
      <c r="AK76" s="13">
        <f t="shared" si="22"/>
        <v>-3.999999999999998E-2</v>
      </c>
      <c r="AL76" s="15">
        <f t="shared" si="84"/>
        <v>18.610006994007279</v>
      </c>
      <c r="AM76" s="15">
        <f t="shared" si="23"/>
        <v>-1.2869909511845823</v>
      </c>
      <c r="AN76" s="15">
        <f t="shared" si="63"/>
        <v>7.9655715510513483</v>
      </c>
      <c r="AO76" s="15">
        <f t="shared" si="24"/>
        <v>4.0974900058608137</v>
      </c>
      <c r="AP76" s="15">
        <f t="shared" si="25"/>
        <v>0.15557943633692101</v>
      </c>
      <c r="AQ76" s="20">
        <f t="shared" si="64"/>
        <v>5.064349547559481E-2</v>
      </c>
      <c r="AR76" s="13">
        <f t="shared" si="65"/>
        <v>243873085.72760993</v>
      </c>
      <c r="AS76" s="13">
        <f t="shared" si="26"/>
        <v>1.8384217341362702E-3</v>
      </c>
      <c r="AT76" s="15">
        <f t="shared" si="66"/>
        <v>517.12429727836457</v>
      </c>
      <c r="AU76" s="13">
        <f t="shared" si="67"/>
        <v>19149.892369264737</v>
      </c>
      <c r="AV76" s="339"/>
      <c r="AW76" s="339"/>
      <c r="AX76" s="339"/>
      <c r="AY76" s="339"/>
      <c r="AZ76" s="339"/>
      <c r="BA76" s="331"/>
      <c r="BB76" s="331"/>
      <c r="BC76" s="331"/>
      <c r="BD76" s="339"/>
      <c r="BE76" s="339"/>
      <c r="BF76" s="339"/>
      <c r="BG76" s="339"/>
      <c r="BH76" s="337"/>
      <c r="BI76" s="331"/>
      <c r="BJ76" s="331"/>
      <c r="BK76" s="331"/>
      <c r="BL76" s="23">
        <f t="shared" si="68"/>
        <v>-1.2450106678817867E-2</v>
      </c>
      <c r="BM76" s="24">
        <f t="shared" si="69"/>
        <v>482.04309051190035</v>
      </c>
      <c r="BN76" s="24">
        <f t="shared" si="70"/>
        <v>6112.9091770521263</v>
      </c>
      <c r="BO76" s="24">
        <f t="shared" si="71"/>
        <v>47.006271438684884</v>
      </c>
      <c r="BP76" s="24">
        <f t="shared" si="27"/>
        <v>54.057212154487615</v>
      </c>
      <c r="BQ76" s="23">
        <f t="shared" si="28"/>
        <v>221.4988865477107</v>
      </c>
      <c r="BR76" s="23">
        <f t="shared" si="72"/>
        <v>2.9287802824223861</v>
      </c>
      <c r="BS76" s="6">
        <f t="shared" si="73"/>
        <v>533.83282071605356</v>
      </c>
      <c r="BT76" s="23">
        <f t="shared" si="74"/>
        <v>544.72736807760566</v>
      </c>
      <c r="BU76" s="22">
        <f t="shared" si="75"/>
        <v>694.80531642551739</v>
      </c>
      <c r="BV76" s="22">
        <f t="shared" si="76"/>
        <v>33.085967448834161</v>
      </c>
      <c r="BW76" s="23">
        <f t="shared" si="77"/>
        <v>6.3055766858676312E-3</v>
      </c>
      <c r="BX76" s="331"/>
      <c r="BY76" s="361"/>
      <c r="BZ76" s="361"/>
      <c r="CA76" s="361"/>
    </row>
    <row r="77" spans="3:79" ht="15.75" x14ac:dyDescent="0.3">
      <c r="C77" s="13"/>
      <c r="D77" s="379"/>
      <c r="E77" s="379"/>
      <c r="F77" s="19" t="s">
        <v>128</v>
      </c>
      <c r="G77" s="256"/>
      <c r="H77" s="54">
        <v>0.66597222222222296</v>
      </c>
      <c r="I77" s="13">
        <v>-8.6549510000000005</v>
      </c>
      <c r="J77" s="13">
        <v>115.803234</v>
      </c>
      <c r="K77" s="13">
        <f t="shared" si="17"/>
        <v>-0.15105739154877576</v>
      </c>
      <c r="L77" s="13">
        <f t="shared" si="17"/>
        <v>2.0211477177574433</v>
      </c>
      <c r="M77" s="13">
        <v>3443</v>
      </c>
      <c r="N77" s="71">
        <f t="shared" si="30"/>
        <v>0.50994656654437731</v>
      </c>
      <c r="O77" s="339"/>
      <c r="P77" s="339"/>
      <c r="Q77" s="437"/>
      <c r="R77" s="15">
        <f t="shared" si="31"/>
        <v>5.000000000001581E-2</v>
      </c>
      <c r="S77" s="331"/>
      <c r="T77" s="20">
        <f t="shared" si="18"/>
        <v>10.198931330884321</v>
      </c>
      <c r="U77" s="347"/>
      <c r="V77" s="15">
        <f t="shared" si="19"/>
        <v>5.2463302766068942</v>
      </c>
      <c r="W77" s="15">
        <f t="shared" si="32"/>
        <v>8.5881661337666555E-5</v>
      </c>
      <c r="X77" s="15">
        <f t="shared" si="33"/>
        <v>1.2276645958486654E-4</v>
      </c>
      <c r="Y77" s="13">
        <f t="shared" si="34"/>
        <v>0.96037033661517812</v>
      </c>
      <c r="Z77" s="13">
        <f t="shared" si="35"/>
        <v>55.025167057607895</v>
      </c>
      <c r="AA77" s="13">
        <f t="shared" si="36"/>
        <v>304.97483294239208</v>
      </c>
      <c r="AB77" s="13">
        <v>120</v>
      </c>
      <c r="AC77" s="13">
        <v>13</v>
      </c>
      <c r="AD77" s="13">
        <f t="shared" si="20"/>
        <v>4</v>
      </c>
      <c r="AE77" s="16">
        <f t="shared" si="21"/>
        <v>175.02516705760792</v>
      </c>
      <c r="AF77" s="15">
        <f t="shared" si="61"/>
        <v>0.19920026799439358</v>
      </c>
      <c r="AG77" s="366"/>
      <c r="AH77" s="331"/>
      <c r="AI77" s="339"/>
      <c r="AJ77" s="13">
        <f t="shared" si="62"/>
        <v>1.4026623458999004</v>
      </c>
      <c r="AK77" s="13">
        <f t="shared" si="22"/>
        <v>-3.999999999999998E-2</v>
      </c>
      <c r="AL77" s="15">
        <f t="shared" si="84"/>
        <v>18.610006994007279</v>
      </c>
      <c r="AM77" s="15">
        <f t="shared" si="23"/>
        <v>-1.0441422426971116</v>
      </c>
      <c r="AN77" s="15">
        <f t="shared" si="63"/>
        <v>10.093540411662449</v>
      </c>
      <c r="AO77" s="15">
        <f t="shared" si="24"/>
        <v>5.1921171877591634</v>
      </c>
      <c r="AP77" s="15">
        <f t="shared" si="25"/>
        <v>0.19714182690168824</v>
      </c>
      <c r="AQ77" s="20">
        <f t="shared" si="64"/>
        <v>5.0522071121364531E-2</v>
      </c>
      <c r="AR77" s="13">
        <f t="shared" si="65"/>
        <v>309022752.52094889</v>
      </c>
      <c r="AS77" s="13">
        <f t="shared" si="26"/>
        <v>1.7806277899002419E-3</v>
      </c>
      <c r="AT77" s="15">
        <f t="shared" si="66"/>
        <v>804.22229996945043</v>
      </c>
      <c r="AU77" s="13">
        <f t="shared" si="67"/>
        <v>29781.5642514422</v>
      </c>
      <c r="AV77" s="339"/>
      <c r="AW77" s="339"/>
      <c r="AX77" s="339"/>
      <c r="AY77" s="339"/>
      <c r="AZ77" s="339"/>
      <c r="BA77" s="331"/>
      <c r="BB77" s="331"/>
      <c r="BC77" s="331"/>
      <c r="BD77" s="339"/>
      <c r="BE77" s="339"/>
      <c r="BF77" s="339"/>
      <c r="BG77" s="339"/>
      <c r="BH77" s="337"/>
      <c r="BI77" s="331"/>
      <c r="BJ77" s="331"/>
      <c r="BK77" s="331"/>
      <c r="BL77" s="23">
        <f t="shared" si="68"/>
        <v>-5.9151260502801735E-2</v>
      </c>
      <c r="BM77" s="24">
        <f t="shared" si="69"/>
        <v>5915.2183534877322</v>
      </c>
      <c r="BN77" s="24">
        <f t="shared" si="70"/>
        <v>9815.2442073013644</v>
      </c>
      <c r="BO77" s="24">
        <f t="shared" si="71"/>
        <v>78.577411001705201</v>
      </c>
      <c r="BP77" s="24">
        <f t="shared" si="27"/>
        <v>90.36402265196098</v>
      </c>
      <c r="BQ77" s="23">
        <f t="shared" si="28"/>
        <v>469.18059516630501</v>
      </c>
      <c r="BR77" s="23">
        <f t="shared" si="72"/>
        <v>3.7111915884565443</v>
      </c>
      <c r="BS77" s="6">
        <f t="shared" si="73"/>
        <v>1130.7686663649013</v>
      </c>
      <c r="BT77" s="23">
        <f t="shared" si="74"/>
        <v>1153.8455779233686</v>
      </c>
      <c r="BU77" s="22">
        <f t="shared" si="75"/>
        <v>1471.7418085757254</v>
      </c>
      <c r="BV77" s="22">
        <f t="shared" si="76"/>
        <v>70.082943265510735</v>
      </c>
      <c r="BW77" s="23">
        <f t="shared" si="77"/>
        <v>1.3324495623066604E-2</v>
      </c>
      <c r="BX77" s="331"/>
      <c r="BY77" s="361"/>
      <c r="BZ77" s="361"/>
      <c r="CA77" s="361"/>
    </row>
    <row r="78" spans="3:79" ht="15.75" x14ac:dyDescent="0.3">
      <c r="C78" s="13"/>
      <c r="D78" s="379"/>
      <c r="E78" s="379"/>
      <c r="F78" s="19" t="s">
        <v>128</v>
      </c>
      <c r="G78" s="256"/>
      <c r="H78" s="54">
        <v>0.66805555555555596</v>
      </c>
      <c r="I78" s="13">
        <v>-8.6491249999999997</v>
      </c>
      <c r="J78" s="13">
        <v>115.796413</v>
      </c>
      <c r="K78" s="13">
        <f t="shared" si="17"/>
        <v>-0.15095570866655456</v>
      </c>
      <c r="L78" s="13">
        <f t="shared" si="17"/>
        <v>2.0210286688491648</v>
      </c>
      <c r="M78" s="13">
        <v>3443</v>
      </c>
      <c r="N78" s="71">
        <f t="shared" si="30"/>
        <v>0.53550905729889808</v>
      </c>
      <c r="O78" s="339"/>
      <c r="P78" s="339"/>
      <c r="Q78" s="437"/>
      <c r="R78" s="15">
        <f t="shared" si="31"/>
        <v>4.9999999999991829E-2</v>
      </c>
      <c r="S78" s="331"/>
      <c r="T78" s="20">
        <f t="shared" si="18"/>
        <v>10.710181145979712</v>
      </c>
      <c r="U78" s="347"/>
      <c r="V78" s="15">
        <f t="shared" si="19"/>
        <v>5.5093171814919639</v>
      </c>
      <c r="W78" s="15">
        <f t="shared" si="32"/>
        <v>1.028658339476809E-4</v>
      </c>
      <c r="X78" s="15">
        <f t="shared" si="33"/>
        <v>1.1904890827851844E-4</v>
      </c>
      <c r="Y78" s="13">
        <f t="shared" si="34"/>
        <v>0.85819404017525802</v>
      </c>
      <c r="Z78" s="13">
        <f t="shared" si="35"/>
        <v>49.170896505322894</v>
      </c>
      <c r="AA78" s="13">
        <f t="shared" si="36"/>
        <v>310.8291034946771</v>
      </c>
      <c r="AB78" s="13">
        <v>120</v>
      </c>
      <c r="AC78" s="13">
        <v>13</v>
      </c>
      <c r="AD78" s="13">
        <f t="shared" si="20"/>
        <v>4</v>
      </c>
      <c r="AE78" s="16">
        <f t="shared" si="21"/>
        <v>169.1708965053229</v>
      </c>
      <c r="AF78" s="15">
        <f t="shared" si="61"/>
        <v>0.20918573577283542</v>
      </c>
      <c r="AG78" s="366"/>
      <c r="AH78" s="331"/>
      <c r="AI78" s="339"/>
      <c r="AJ78" s="13">
        <f t="shared" si="62"/>
        <v>1.3184121818509675</v>
      </c>
      <c r="AK78" s="13">
        <f t="shared" si="22"/>
        <v>-3.999999999999998E-2</v>
      </c>
      <c r="AL78" s="15">
        <f t="shared" si="84"/>
        <v>18.610006994007279</v>
      </c>
      <c r="AM78" s="15">
        <f t="shared" si="23"/>
        <v>-0.98142639700923551</v>
      </c>
      <c r="AN78" s="15">
        <f t="shared" si="63"/>
        <v>10.606090177289191</v>
      </c>
      <c r="AO78" s="15">
        <f t="shared" si="24"/>
        <v>5.4557727871975601</v>
      </c>
      <c r="AP78" s="15">
        <f t="shared" si="25"/>
        <v>0.20715268464362951</v>
      </c>
      <c r="AQ78" s="20">
        <f t="shared" si="64"/>
        <v>5.0490713198496372E-2</v>
      </c>
      <c r="AR78" s="13">
        <f t="shared" si="65"/>
        <v>324714921.26631141</v>
      </c>
      <c r="AS78" s="13">
        <f t="shared" si="26"/>
        <v>1.768882046537059E-3</v>
      </c>
      <c r="AT78" s="15">
        <f t="shared" si="66"/>
        <v>882.11542565278467</v>
      </c>
      <c r="AU78" s="13">
        <f t="shared" si="67"/>
        <v>32666.064130856146</v>
      </c>
      <c r="AV78" s="339"/>
      <c r="AW78" s="339"/>
      <c r="AX78" s="339"/>
      <c r="AY78" s="339"/>
      <c r="AZ78" s="339"/>
      <c r="BA78" s="331"/>
      <c r="BB78" s="331"/>
      <c r="BC78" s="331"/>
      <c r="BD78" s="339"/>
      <c r="BE78" s="339"/>
      <c r="BF78" s="339"/>
      <c r="BG78" s="339"/>
      <c r="BH78" s="337"/>
      <c r="BI78" s="331"/>
      <c r="BJ78" s="331"/>
      <c r="BK78" s="331"/>
      <c r="BL78" s="23">
        <f t="shared" si="68"/>
        <v>-7.5397636200947166E-2</v>
      </c>
      <c r="BM78" s="24">
        <f t="shared" si="69"/>
        <v>9490.754559489349</v>
      </c>
      <c r="BN78" s="24">
        <f t="shared" si="70"/>
        <v>10837.389637758977</v>
      </c>
      <c r="BO78" s="24">
        <f t="shared" si="71"/>
        <v>89.262147490918778</v>
      </c>
      <c r="BP78" s="24">
        <f t="shared" si="27"/>
        <v>102.65146961455659</v>
      </c>
      <c r="BQ78" s="23">
        <f t="shared" si="28"/>
        <v>560.04309448893503</v>
      </c>
      <c r="BR78" s="23">
        <f t="shared" si="72"/>
        <v>3.8996458177239584</v>
      </c>
      <c r="BS78" s="6">
        <f t="shared" si="73"/>
        <v>1349.7557008674971</v>
      </c>
      <c r="BT78" s="23">
        <f t="shared" si="74"/>
        <v>1377.3017355790787</v>
      </c>
      <c r="BU78" s="22">
        <f t="shared" si="75"/>
        <v>1756.7624178304575</v>
      </c>
      <c r="BV78" s="22">
        <f t="shared" si="76"/>
        <v>83.655353230021788</v>
      </c>
      <c r="BW78" s="23">
        <f t="shared" si="77"/>
        <v>1.589507358146618E-2</v>
      </c>
      <c r="BX78" s="331"/>
      <c r="BY78" s="361"/>
      <c r="BZ78" s="361"/>
      <c r="CA78" s="361"/>
    </row>
    <row r="79" spans="3:79" ht="15.75" x14ac:dyDescent="0.3">
      <c r="C79" s="13"/>
      <c r="D79" s="379"/>
      <c r="E79" s="379"/>
      <c r="F79" s="19" t="s">
        <v>128</v>
      </c>
      <c r="G79" s="256"/>
      <c r="H79" s="54">
        <v>0.67013888888888995</v>
      </c>
      <c r="I79" s="13">
        <v>-8.6452749999999998</v>
      </c>
      <c r="J79" s="13">
        <v>115.792096</v>
      </c>
      <c r="K79" s="13">
        <f t="shared" si="17"/>
        <v>-0.15088851349035276</v>
      </c>
      <c r="L79" s="13">
        <f t="shared" si="17"/>
        <v>2.0209533229853558</v>
      </c>
      <c r="M79" s="13">
        <v>3443</v>
      </c>
      <c r="N79" s="71">
        <f t="shared" si="30"/>
        <v>0.34539763350929137</v>
      </c>
      <c r="O79" s="339"/>
      <c r="P79" s="339"/>
      <c r="Q79" s="437"/>
      <c r="R79" s="15">
        <f t="shared" si="31"/>
        <v>5.000000000001581E-2</v>
      </c>
      <c r="S79" s="331"/>
      <c r="T79" s="20">
        <f t="shared" si="18"/>
        <v>6.9079526701836436</v>
      </c>
      <c r="U79" s="347"/>
      <c r="V79" s="15">
        <f t="shared" si="19"/>
        <v>3.5534508535424658</v>
      </c>
      <c r="W79" s="15">
        <f t="shared" si="32"/>
        <v>6.7976029235588398E-5</v>
      </c>
      <c r="X79" s="15">
        <f t="shared" si="33"/>
        <v>7.5345863808973235E-5</v>
      </c>
      <c r="Y79" s="13">
        <f t="shared" si="34"/>
        <v>0.83677446738751238</v>
      </c>
      <c r="Z79" s="13">
        <f t="shared" si="35"/>
        <v>47.943645385611802</v>
      </c>
      <c r="AA79" s="13">
        <f t="shared" si="36"/>
        <v>312.05635461438817</v>
      </c>
      <c r="AB79" s="13">
        <v>120</v>
      </c>
      <c r="AC79" s="13">
        <v>13</v>
      </c>
      <c r="AD79" s="13">
        <f t="shared" si="20"/>
        <v>4</v>
      </c>
      <c r="AE79" s="16">
        <f t="shared" si="21"/>
        <v>167.94364538561183</v>
      </c>
      <c r="AF79" s="15">
        <f t="shared" si="61"/>
        <v>0.13492256968396057</v>
      </c>
      <c r="AG79" s="366"/>
      <c r="AH79" s="331"/>
      <c r="AI79" s="339"/>
      <c r="AJ79" s="13">
        <f t="shared" si="62"/>
        <v>1.889618934371917</v>
      </c>
      <c r="AK79" s="13">
        <f t="shared" si="22"/>
        <v>-3.999999999999998E-2</v>
      </c>
      <c r="AL79" s="15">
        <f t="shared" si="84"/>
        <v>18.610006994007279</v>
      </c>
      <c r="AM79" s="15">
        <f t="shared" si="23"/>
        <v>-1.4066328633867977</v>
      </c>
      <c r="AN79" s="15">
        <f t="shared" si="63"/>
        <v>6.8121309968845072</v>
      </c>
      <c r="AO79" s="15">
        <f t="shared" si="24"/>
        <v>3.5041601847973904</v>
      </c>
      <c r="AP79" s="15">
        <f t="shared" si="25"/>
        <v>0.13305103016853528</v>
      </c>
      <c r="AQ79" s="20">
        <f t="shared" si="64"/>
        <v>5.070331643170943E-2</v>
      </c>
      <c r="AR79" s="13">
        <f t="shared" si="65"/>
        <v>208559473.22093362</v>
      </c>
      <c r="AS79" s="13">
        <f t="shared" si="26"/>
        <v>1.8781615658371674E-3</v>
      </c>
      <c r="AT79" s="15">
        <f t="shared" si="66"/>
        <v>386.3801819389775</v>
      </c>
      <c r="AU79" s="13">
        <f t="shared" si="67"/>
        <v>14308.240662235676</v>
      </c>
      <c r="AV79" s="339"/>
      <c r="AW79" s="339"/>
      <c r="AX79" s="339"/>
      <c r="AY79" s="339"/>
      <c r="AZ79" s="339"/>
      <c r="BA79" s="331"/>
      <c r="BB79" s="331"/>
      <c r="BC79" s="331"/>
      <c r="BD79" s="339"/>
      <c r="BE79" s="339"/>
      <c r="BF79" s="339"/>
      <c r="BG79" s="339"/>
      <c r="BH79" s="337"/>
      <c r="BI79" s="331"/>
      <c r="BJ79" s="331"/>
      <c r="BK79" s="331"/>
      <c r="BL79" s="23">
        <f t="shared" si="68"/>
        <v>-2.7297730367478582E-3</v>
      </c>
      <c r="BM79" s="24">
        <f t="shared" si="69"/>
        <v>71.106808230091531</v>
      </c>
      <c r="BN79" s="24">
        <f t="shared" si="70"/>
        <v>4470.7464343168831</v>
      </c>
      <c r="BO79" s="24">
        <f t="shared" si="71"/>
        <v>34.7360114669995</v>
      </c>
      <c r="BP79" s="24">
        <f t="shared" si="27"/>
        <v>39.946413187049423</v>
      </c>
      <c r="BQ79" s="23">
        <f t="shared" si="28"/>
        <v>139.97863061552403</v>
      </c>
      <c r="BR79" s="23">
        <f t="shared" si="72"/>
        <v>2.5046834137495635</v>
      </c>
      <c r="BS79" s="6">
        <f t="shared" si="73"/>
        <v>337.36145759522799</v>
      </c>
      <c r="BT79" s="23">
        <f t="shared" si="74"/>
        <v>344.24638530125304</v>
      </c>
      <c r="BU79" s="22">
        <f t="shared" si="75"/>
        <v>439.0897771699656</v>
      </c>
      <c r="BV79" s="22">
        <f t="shared" si="76"/>
        <v>20.909037008093602</v>
      </c>
      <c r="BW79" s="23">
        <f t="shared" si="77"/>
        <v>3.9895847781489368E-3</v>
      </c>
      <c r="BX79" s="331"/>
      <c r="BY79" s="361"/>
      <c r="BZ79" s="361"/>
      <c r="CA79" s="361"/>
    </row>
    <row r="80" spans="3:79" ht="15.75" x14ac:dyDescent="0.3">
      <c r="C80" s="13"/>
      <c r="D80" s="379"/>
      <c r="E80" s="379"/>
      <c r="F80" s="19" t="s">
        <v>128</v>
      </c>
      <c r="G80" s="257"/>
      <c r="H80" s="54">
        <v>0.67222222222222305</v>
      </c>
      <c r="I80" s="13">
        <v>-8.6402389999999993</v>
      </c>
      <c r="J80" s="13">
        <v>115.78688200000001</v>
      </c>
      <c r="K80" s="13">
        <f t="shared" si="17"/>
        <v>-0.15080061870922232</v>
      </c>
      <c r="L80" s="13">
        <f t="shared" si="17"/>
        <v>2.0208623215181571</v>
      </c>
      <c r="M80" s="13">
        <v>3443</v>
      </c>
      <c r="N80" s="71">
        <f t="shared" si="30"/>
        <v>0.43304881608348261</v>
      </c>
      <c r="O80" s="339"/>
      <c r="P80" s="339"/>
      <c r="Q80" s="437"/>
      <c r="R80" s="15">
        <f t="shared" si="31"/>
        <v>4.9999999999994493E-2</v>
      </c>
      <c r="S80" s="331"/>
      <c r="T80" s="20">
        <f t="shared" si="18"/>
        <v>8.6609763216706064</v>
      </c>
      <c r="U80" s="347"/>
      <c r="V80" s="15">
        <f t="shared" si="19"/>
        <v>4.4552062198673594</v>
      </c>
      <c r="W80" s="15">
        <f t="shared" si="32"/>
        <v>8.8915123554803079E-5</v>
      </c>
      <c r="X80" s="15">
        <f t="shared" si="33"/>
        <v>9.1001467198648101E-5</v>
      </c>
      <c r="Y80" s="13">
        <f t="shared" si="34"/>
        <v>0.79699381516555967</v>
      </c>
      <c r="Z80" s="13">
        <f t="shared" si="35"/>
        <v>45.664381907016192</v>
      </c>
      <c r="AA80" s="13">
        <f t="shared" si="36"/>
        <v>314.33561809298379</v>
      </c>
      <c r="AB80" s="13">
        <v>120</v>
      </c>
      <c r="AC80" s="13">
        <v>13</v>
      </c>
      <c r="AD80" s="13">
        <f t="shared" si="20"/>
        <v>4</v>
      </c>
      <c r="AE80" s="16">
        <f t="shared" si="21"/>
        <v>165.66438190701621</v>
      </c>
      <c r="AF80" s="15">
        <f t="shared" si="61"/>
        <v>0.16916172375290311</v>
      </c>
      <c r="AG80" s="366"/>
      <c r="AH80" s="331"/>
      <c r="AI80" s="339"/>
      <c r="AJ80" s="13">
        <f t="shared" si="62"/>
        <v>1.6421596322308378</v>
      </c>
      <c r="AK80" s="13">
        <f t="shared" si="22"/>
        <v>-3.999999999999998E-2</v>
      </c>
      <c r="AL80" s="15">
        <f t="shared" si="84"/>
        <v>18.610006994007279</v>
      </c>
      <c r="AM80" s="15">
        <f t="shared" si="23"/>
        <v>-1.222424089643692</v>
      </c>
      <c r="AN80" s="15">
        <f t="shared" si="63"/>
        <v>8.5563810584108833</v>
      </c>
      <c r="AO80" s="15">
        <f t="shared" si="24"/>
        <v>4.4014024164465582</v>
      </c>
      <c r="AP80" s="15">
        <f t="shared" si="25"/>
        <v>0.1671188230021953</v>
      </c>
      <c r="AQ80" s="20">
        <f t="shared" si="64"/>
        <v>5.0611212044816264E-2</v>
      </c>
      <c r="AR80" s="13">
        <f t="shared" si="65"/>
        <v>261961246.34653777</v>
      </c>
      <c r="AS80" s="13">
        <f t="shared" si="26"/>
        <v>1.8206637998325875E-3</v>
      </c>
      <c r="AT80" s="15">
        <f t="shared" si="66"/>
        <v>590.91621106188472</v>
      </c>
      <c r="AU80" s="13">
        <f t="shared" si="67"/>
        <v>21882.518188847538</v>
      </c>
      <c r="AV80" s="339"/>
      <c r="AW80" s="339"/>
      <c r="AX80" s="339"/>
      <c r="AY80" s="339"/>
      <c r="AZ80" s="339"/>
      <c r="BA80" s="331"/>
      <c r="BB80" s="331"/>
      <c r="BC80" s="331"/>
      <c r="BD80" s="339"/>
      <c r="BE80" s="339"/>
      <c r="BF80" s="339"/>
      <c r="BG80" s="339"/>
      <c r="BH80" s="337"/>
      <c r="BI80" s="331"/>
      <c r="BJ80" s="331"/>
      <c r="BK80" s="331"/>
      <c r="BL80" s="23">
        <f t="shared" si="68"/>
        <v>-2.1597285006198619E-2</v>
      </c>
      <c r="BM80" s="24">
        <f t="shared" si="69"/>
        <v>1069.666455679775</v>
      </c>
      <c r="BN80" s="24">
        <f t="shared" si="70"/>
        <v>7053.3314463544912</v>
      </c>
      <c r="BO80" s="24">
        <f t="shared" si="71"/>
        <v>54.300877638667387</v>
      </c>
      <c r="BP80" s="24">
        <f t="shared" si="27"/>
        <v>62.446009284467493</v>
      </c>
      <c r="BQ80" s="23">
        <f t="shared" si="28"/>
        <v>274.85001616209945</v>
      </c>
      <c r="BR80" s="23">
        <f t="shared" si="72"/>
        <v>3.1460090430621555</v>
      </c>
      <c r="BS80" s="6">
        <f t="shared" si="73"/>
        <v>662.41398179697944</v>
      </c>
      <c r="BT80" s="23">
        <f t="shared" si="74"/>
        <v>675.93263448671371</v>
      </c>
      <c r="BU80" s="22">
        <f t="shared" si="75"/>
        <v>862.15897255958373</v>
      </c>
      <c r="BV80" s="22">
        <f t="shared" si="76"/>
        <v>41.055189169503983</v>
      </c>
      <c r="BW80" s="23">
        <f t="shared" si="77"/>
        <v>7.8193759753184804E-3</v>
      </c>
      <c r="BX80" s="331"/>
      <c r="BY80" s="362"/>
      <c r="BZ80" s="362"/>
      <c r="CA80" s="362"/>
    </row>
    <row r="81" spans="3:79" ht="15.75" x14ac:dyDescent="0.3">
      <c r="C81" s="13">
        <v>8</v>
      </c>
      <c r="D81" s="379"/>
      <c r="E81" s="379"/>
      <c r="F81" s="19" t="s">
        <v>128</v>
      </c>
      <c r="G81" s="255">
        <v>0.67361111111111105</v>
      </c>
      <c r="H81" s="54">
        <v>0.67361111111111105</v>
      </c>
      <c r="I81" s="13">
        <v>-8.6373230000000003</v>
      </c>
      <c r="J81" s="13">
        <v>115.783192</v>
      </c>
      <c r="K81" s="13">
        <f t="shared" si="17"/>
        <v>-0.15074972490823418</v>
      </c>
      <c r="L81" s="13">
        <f t="shared" si="17"/>
        <v>2.0207979188687584</v>
      </c>
      <c r="M81" s="13">
        <v>3443</v>
      </c>
      <c r="N81" s="71">
        <f t="shared" si="30"/>
        <v>0.28064784562966694</v>
      </c>
      <c r="O81" s="398"/>
      <c r="P81" s="398"/>
      <c r="Q81" s="437"/>
      <c r="R81" s="15">
        <f t="shared" si="31"/>
        <v>3.3333333333311899E-2</v>
      </c>
      <c r="S81" s="358"/>
      <c r="T81" s="20">
        <f t="shared" si="18"/>
        <v>8.4194353688954227</v>
      </c>
      <c r="U81" s="348"/>
      <c r="V81" s="15">
        <f t="shared" si="19"/>
        <v>4.3309575537598048</v>
      </c>
      <c r="W81" s="15">
        <f t="shared" si="32"/>
        <v>5.1484065012725384E-5</v>
      </c>
      <c r="X81" s="15">
        <f t="shared" si="33"/>
        <v>6.4402649398775935E-5</v>
      </c>
      <c r="Y81" s="13">
        <f t="shared" si="34"/>
        <v>0.89641578366387054</v>
      </c>
      <c r="Z81" s="13">
        <f t="shared" si="35"/>
        <v>51.360841092852027</v>
      </c>
      <c r="AA81" s="13">
        <f t="shared" si="36"/>
        <v>308.63915890714799</v>
      </c>
      <c r="AB81" s="13">
        <v>120</v>
      </c>
      <c r="AC81" s="13">
        <v>13</v>
      </c>
      <c r="AD81" s="13">
        <f t="shared" si="20"/>
        <v>4</v>
      </c>
      <c r="AE81" s="16">
        <f t="shared" si="21"/>
        <v>171.36084109285201</v>
      </c>
      <c r="AF81" s="15">
        <f t="shared" si="61"/>
        <v>0.16444407040634745</v>
      </c>
      <c r="AG81" s="366"/>
      <c r="AH81" s="331"/>
      <c r="AI81" s="339"/>
      <c r="AJ81" s="13">
        <f t="shared" si="62"/>
        <v>1.6778714529115444</v>
      </c>
      <c r="AK81" s="13">
        <f t="shared" si="22"/>
        <v>-3.999999999999998E-2</v>
      </c>
      <c r="AL81" s="15">
        <f t="shared" si="84"/>
        <v>18.610006994007279</v>
      </c>
      <c r="AM81" s="15">
        <f t="shared" si="23"/>
        <v>-1.2490079789491593</v>
      </c>
      <c r="AN81" s="15">
        <f t="shared" si="63"/>
        <v>8.3155731961797805</v>
      </c>
      <c r="AO81" s="15">
        <f t="shared" si="24"/>
        <v>4.2775308521148787</v>
      </c>
      <c r="AP81" s="15">
        <f t="shared" si="25"/>
        <v>0.16241548800215139</v>
      </c>
      <c r="AQ81" s="20">
        <f t="shared" si="64"/>
        <v>3.3749669326294675E-2</v>
      </c>
      <c r="AR81" s="13">
        <f t="shared" si="65"/>
        <v>254588698.61993837</v>
      </c>
      <c r="AS81" s="13">
        <f t="shared" si="26"/>
        <v>1.8277180825944823E-3</v>
      </c>
      <c r="AT81" s="15">
        <f t="shared" si="66"/>
        <v>560.28565316170864</v>
      </c>
      <c r="AU81" s="13">
        <f t="shared" si="67"/>
        <v>20748.22244972632</v>
      </c>
      <c r="AV81" s="339"/>
      <c r="AW81" s="339"/>
      <c r="AX81" s="339"/>
      <c r="AY81" s="339"/>
      <c r="AZ81" s="339"/>
      <c r="BA81" s="331"/>
      <c r="BB81" s="331"/>
      <c r="BC81" s="331"/>
      <c r="BD81" s="339"/>
      <c r="BE81" s="339"/>
      <c r="BF81" s="339"/>
      <c r="BG81" s="339"/>
      <c r="BH81" s="337"/>
      <c r="BI81" s="331"/>
      <c r="BJ81" s="331"/>
      <c r="BK81" s="331"/>
      <c r="BL81" s="23">
        <f t="shared" si="68"/>
        <v>-1.7499797622977525E-2</v>
      </c>
      <c r="BM81" s="24">
        <f t="shared" si="69"/>
        <v>781.78571813338272</v>
      </c>
      <c r="BN81" s="24">
        <f t="shared" si="70"/>
        <v>6661.9050507692737</v>
      </c>
      <c r="BO81" s="24">
        <f t="shared" si="71"/>
        <v>51.227907592754093</v>
      </c>
      <c r="BP81" s="24">
        <f t="shared" si="27"/>
        <v>58.912093731667206</v>
      </c>
      <c r="BQ81" s="23">
        <f t="shared" si="28"/>
        <v>251.99829849989004</v>
      </c>
      <c r="BR81" s="23">
        <f t="shared" si="72"/>
        <v>3.0574688404872812</v>
      </c>
      <c r="BS81" s="6">
        <f t="shared" si="73"/>
        <v>607.33922684918673</v>
      </c>
      <c r="BT81" s="23">
        <f t="shared" si="74"/>
        <v>619.73390494814976</v>
      </c>
      <c r="BU81" s="22">
        <f t="shared" si="75"/>
        <v>790.47691957672168</v>
      </c>
      <c r="BV81" s="22">
        <f t="shared" si="76"/>
        <v>37.641758075081981</v>
      </c>
      <c r="BW81" s="23">
        <f t="shared" si="77"/>
        <v>4.7807575685242035E-3</v>
      </c>
      <c r="BX81" s="331"/>
      <c r="BY81" s="360">
        <f t="shared" ref="BY81" si="91">SUM(BW82:BW87)*1000</f>
        <v>81.713564164595709</v>
      </c>
      <c r="BZ81" s="360">
        <v>60</v>
      </c>
      <c r="CA81" s="360">
        <f t="shared" ref="CA81" si="92">AVERAGE(AN81:AN87)</f>
        <v>9.616615729143831</v>
      </c>
    </row>
    <row r="82" spans="3:79" ht="15.75" x14ac:dyDescent="0.3">
      <c r="C82" s="13"/>
      <c r="D82" s="379"/>
      <c r="E82" s="379"/>
      <c r="F82" s="19" t="s">
        <v>128</v>
      </c>
      <c r="G82" s="256"/>
      <c r="H82" s="55">
        <v>0.67569444444444438</v>
      </c>
      <c r="I82" s="13">
        <v>-8.6321759999999994</v>
      </c>
      <c r="J82" s="13">
        <v>115.777052</v>
      </c>
      <c r="K82" s="13">
        <f t="shared" si="17"/>
        <v>-0.15065989281163403</v>
      </c>
      <c r="L82" s="13">
        <f t="shared" si="17"/>
        <v>2.0206907556526859</v>
      </c>
      <c r="M82" s="13">
        <v>3443</v>
      </c>
      <c r="N82" s="71">
        <f t="shared" si="30"/>
        <v>0.47825372180194098</v>
      </c>
      <c r="O82" s="357">
        <f t="shared" ref="O82" si="93">SUM(N82:N88)</f>
        <v>3.3639645920141272</v>
      </c>
      <c r="P82" s="338">
        <v>3.38</v>
      </c>
      <c r="Q82" s="437">
        <f t="shared" ref="Q82" si="94">ABS((O82-P82)/P82*100%)</f>
        <v>4.7442035461161729E-3</v>
      </c>
      <c r="R82" s="15">
        <f t="shared" si="31"/>
        <v>4.9999999999999822E-2</v>
      </c>
      <c r="S82" s="357">
        <f t="shared" ref="S82" si="95">SUM(R82:R88)</f>
        <v>0.33333333333333481</v>
      </c>
      <c r="T82" s="20">
        <f t="shared" si="18"/>
        <v>9.565074436038854</v>
      </c>
      <c r="U82" s="346">
        <f t="shared" ref="U82" si="96">AVERAGE(T82:T88)</f>
        <v>10.158333667117239</v>
      </c>
      <c r="V82" s="15">
        <f t="shared" si="19"/>
        <v>4.9202742898983862</v>
      </c>
      <c r="W82" s="15">
        <f t="shared" si="32"/>
        <v>9.0872988827110708E-5</v>
      </c>
      <c r="X82" s="15">
        <f t="shared" si="33"/>
        <v>1.0716321607251444E-4</v>
      </c>
      <c r="Y82" s="13">
        <f t="shared" si="34"/>
        <v>0.86747221150151699</v>
      </c>
      <c r="Z82" s="13">
        <f t="shared" si="35"/>
        <v>49.702496563916831</v>
      </c>
      <c r="AA82" s="13">
        <f t="shared" si="36"/>
        <v>310.29750343608316</v>
      </c>
      <c r="AB82" s="13">
        <v>120</v>
      </c>
      <c r="AC82" s="13">
        <v>13</v>
      </c>
      <c r="AD82" s="13">
        <f t="shared" si="20"/>
        <v>4</v>
      </c>
      <c r="AE82" s="16">
        <f t="shared" si="21"/>
        <v>169.70249656391684</v>
      </c>
      <c r="AF82" s="15">
        <f t="shared" si="61"/>
        <v>0.18682010195278506</v>
      </c>
      <c r="AG82" s="366"/>
      <c r="AH82" s="331"/>
      <c r="AI82" s="339"/>
      <c r="AJ82" s="13">
        <f t="shared" si="62"/>
        <v>1.5039053170483667</v>
      </c>
      <c r="AK82" s="13">
        <f t="shared" si="22"/>
        <v>-3.999999999999998E-2</v>
      </c>
      <c r="AL82" s="15">
        <f t="shared" si="84"/>
        <v>18.610006994007279</v>
      </c>
      <c r="AM82" s="15">
        <f t="shared" si="23"/>
        <v>-1.1195075387437929</v>
      </c>
      <c r="AN82" s="15">
        <f t="shared" si="63"/>
        <v>9.4591782227321559</v>
      </c>
      <c r="AO82" s="15">
        <f t="shared" si="24"/>
        <v>4.8658012777734205</v>
      </c>
      <c r="AP82" s="15">
        <f t="shared" si="25"/>
        <v>0.18475179171655401</v>
      </c>
      <c r="AQ82" s="20">
        <f t="shared" si="64"/>
        <v>5.0559753769371718E-2</v>
      </c>
      <c r="AR82" s="13">
        <f t="shared" si="65"/>
        <v>289601187.6662671</v>
      </c>
      <c r="AS82" s="13">
        <f t="shared" si="26"/>
        <v>1.7961979397212156E-3</v>
      </c>
      <c r="AT82" s="15">
        <f t="shared" si="66"/>
        <v>712.48696330230587</v>
      </c>
      <c r="AU82" s="13">
        <f t="shared" si="67"/>
        <v>26384.466430125849</v>
      </c>
      <c r="AV82" s="339"/>
      <c r="AW82" s="339"/>
      <c r="AX82" s="339"/>
      <c r="AY82" s="339"/>
      <c r="AZ82" s="339"/>
      <c r="BA82" s="331"/>
      <c r="BB82" s="331"/>
      <c r="BC82" s="331"/>
      <c r="BD82" s="339"/>
      <c r="BE82" s="339"/>
      <c r="BF82" s="339"/>
      <c r="BG82" s="339"/>
      <c r="BH82" s="337"/>
      <c r="BI82" s="331"/>
      <c r="BJ82" s="331"/>
      <c r="BK82" s="331"/>
      <c r="BL82" s="23">
        <f t="shared" si="68"/>
        <v>-4.1405628392863353E-2</v>
      </c>
      <c r="BM82" s="24">
        <f t="shared" si="69"/>
        <v>3088.1180394250869</v>
      </c>
      <c r="BN82" s="24">
        <f t="shared" si="70"/>
        <v>8620.2700947961112</v>
      </c>
      <c r="BO82" s="24">
        <f t="shared" si="71"/>
        <v>67.386564988041158</v>
      </c>
      <c r="BP82" s="24">
        <f t="shared" si="27"/>
        <v>77.494549736247336</v>
      </c>
      <c r="BQ82" s="23">
        <f t="shared" si="28"/>
        <v>377.0730791271082</v>
      </c>
      <c r="BR82" s="23">
        <f t="shared" si="72"/>
        <v>3.4779493836824087</v>
      </c>
      <c r="BS82" s="6">
        <f t="shared" si="73"/>
        <v>908.78102632427112</v>
      </c>
      <c r="BT82" s="23">
        <f t="shared" si="74"/>
        <v>927.32757788190929</v>
      </c>
      <c r="BU82" s="22">
        <f t="shared" si="75"/>
        <v>1182.8157881146801</v>
      </c>
      <c r="BV82" s="22">
        <f t="shared" si="76"/>
        <v>56.32456133879429</v>
      </c>
      <c r="BW82" s="23">
        <f t="shared" si="77"/>
        <v>1.071667520028736E-2</v>
      </c>
      <c r="BX82" s="331"/>
      <c r="BY82" s="361"/>
      <c r="BZ82" s="361"/>
      <c r="CA82" s="361"/>
    </row>
    <row r="83" spans="3:79" ht="15.75" x14ac:dyDescent="0.3">
      <c r="C83" s="13"/>
      <c r="D83" s="379"/>
      <c r="E83" s="379"/>
      <c r="F83" s="19" t="s">
        <v>128</v>
      </c>
      <c r="G83" s="256"/>
      <c r="H83" s="54">
        <v>0.67777777777777803</v>
      </c>
      <c r="I83" s="13">
        <v>-8.6273909999999994</v>
      </c>
      <c r="J83" s="13">
        <v>115.771203</v>
      </c>
      <c r="K83" s="13">
        <f t="shared" si="17"/>
        <v>-0.15057637880692609</v>
      </c>
      <c r="L83" s="13">
        <f t="shared" si="17"/>
        <v>2.0205886713447367</v>
      </c>
      <c r="M83" s="13">
        <v>3443</v>
      </c>
      <c r="N83" s="71">
        <f t="shared" si="30"/>
        <v>0.45103515017439366</v>
      </c>
      <c r="O83" s="339"/>
      <c r="P83" s="339"/>
      <c r="Q83" s="437"/>
      <c r="R83" s="15">
        <f t="shared" si="31"/>
        <v>5.0000000000007816E-2</v>
      </c>
      <c r="S83" s="331"/>
      <c r="T83" s="20">
        <f t="shared" si="18"/>
        <v>9.0207030034864637</v>
      </c>
      <c r="U83" s="347"/>
      <c r="V83" s="15">
        <f t="shared" si="19"/>
        <v>4.6402496249934364</v>
      </c>
      <c r="W83" s="15">
        <f t="shared" si="32"/>
        <v>8.4480571088610068E-5</v>
      </c>
      <c r="X83" s="15">
        <f t="shared" si="33"/>
        <v>1.0208430794911294E-4</v>
      </c>
      <c r="Y83" s="13">
        <f t="shared" si="34"/>
        <v>0.87947680572008113</v>
      </c>
      <c r="Z83" s="13">
        <f t="shared" si="35"/>
        <v>50.390309147407706</v>
      </c>
      <c r="AA83" s="13">
        <f t="shared" si="36"/>
        <v>309.60969085259228</v>
      </c>
      <c r="AB83" s="13">
        <v>120</v>
      </c>
      <c r="AC83" s="13">
        <v>13</v>
      </c>
      <c r="AD83" s="13">
        <f t="shared" si="20"/>
        <v>4</v>
      </c>
      <c r="AE83" s="16">
        <f t="shared" si="21"/>
        <v>170.39030914740772</v>
      </c>
      <c r="AF83" s="15">
        <f t="shared" si="61"/>
        <v>0.17618771982030082</v>
      </c>
      <c r="AG83" s="366"/>
      <c r="AH83" s="331"/>
      <c r="AI83" s="339"/>
      <c r="AJ83" s="13">
        <f t="shared" si="62"/>
        <v>1.5880169303253557</v>
      </c>
      <c r="AK83" s="13">
        <f t="shared" si="22"/>
        <v>-3.999999999999998E-2</v>
      </c>
      <c r="AL83" s="15">
        <f t="shared" si="84"/>
        <v>18.610006994007279</v>
      </c>
      <c r="AM83" s="15">
        <f t="shared" si="23"/>
        <v>-1.182120247198273</v>
      </c>
      <c r="AN83" s="15">
        <f t="shared" si="63"/>
        <v>8.9153132801012305</v>
      </c>
      <c r="AO83" s="15">
        <f t="shared" si="24"/>
        <v>4.5860371512840725</v>
      </c>
      <c r="AP83" s="15">
        <f t="shared" si="25"/>
        <v>0.17412930208406011</v>
      </c>
      <c r="AQ83" s="20">
        <f t="shared" si="64"/>
        <v>5.0591060123607041E-2</v>
      </c>
      <c r="AR83" s="13">
        <f t="shared" si="65"/>
        <v>272950276.8146826</v>
      </c>
      <c r="AS83" s="13">
        <f t="shared" si="26"/>
        <v>1.8105808320864054E-3</v>
      </c>
      <c r="AT83" s="15">
        <f t="shared" si="66"/>
        <v>637.97997568499841</v>
      </c>
      <c r="AU83" s="13">
        <f t="shared" si="67"/>
        <v>23625.360348398768</v>
      </c>
      <c r="AV83" s="339"/>
      <c r="AW83" s="339"/>
      <c r="AX83" s="339"/>
      <c r="AY83" s="339"/>
      <c r="AZ83" s="339"/>
      <c r="BA83" s="331"/>
      <c r="BB83" s="331"/>
      <c r="BC83" s="331"/>
      <c r="BD83" s="339"/>
      <c r="BE83" s="339"/>
      <c r="BF83" s="339"/>
      <c r="BG83" s="339"/>
      <c r="BH83" s="337"/>
      <c r="BI83" s="331"/>
      <c r="BJ83" s="331"/>
      <c r="BK83" s="331"/>
      <c r="BL83" s="23">
        <f t="shared" si="68"/>
        <v>-2.8647635431826184E-2</v>
      </c>
      <c r="BM83" s="24">
        <f t="shared" si="69"/>
        <v>1664.166189027025</v>
      </c>
      <c r="BN83" s="24">
        <f t="shared" si="70"/>
        <v>7657.5047446951376</v>
      </c>
      <c r="BO83" s="24">
        <f t="shared" si="71"/>
        <v>59.177406890975625</v>
      </c>
      <c r="BP83" s="24">
        <f t="shared" si="27"/>
        <v>68.054017924621974</v>
      </c>
      <c r="BQ83" s="23">
        <f t="shared" si="28"/>
        <v>312.09825449646854</v>
      </c>
      <c r="BR83" s="23">
        <f t="shared" si="72"/>
        <v>3.277981194322789</v>
      </c>
      <c r="BS83" s="6">
        <f t="shared" si="73"/>
        <v>752.18568424956504</v>
      </c>
      <c r="BT83" s="23">
        <f t="shared" si="74"/>
        <v>767.53641249955615</v>
      </c>
      <c r="BU83" s="22">
        <f t="shared" si="75"/>
        <v>979.00052614739309</v>
      </c>
      <c r="BV83" s="22">
        <f t="shared" si="76"/>
        <v>46.619072673685388</v>
      </c>
      <c r="BW83" s="23">
        <f t="shared" si="77"/>
        <v>8.8755384667023318E-3</v>
      </c>
      <c r="BX83" s="331"/>
      <c r="BY83" s="361"/>
      <c r="BZ83" s="361"/>
      <c r="CA83" s="361"/>
    </row>
    <row r="84" spans="3:79" ht="15.75" x14ac:dyDescent="0.3">
      <c r="C84" s="13"/>
      <c r="D84" s="379"/>
      <c r="E84" s="379"/>
      <c r="F84" s="19" t="s">
        <v>128</v>
      </c>
      <c r="G84" s="256"/>
      <c r="H84" s="55">
        <v>0.67986111111111103</v>
      </c>
      <c r="I84" s="13">
        <v>-8.6216899999999992</v>
      </c>
      <c r="J84" s="13">
        <v>115.765156</v>
      </c>
      <c r="K84" s="13">
        <f t="shared" si="17"/>
        <v>-0.1504768775862699</v>
      </c>
      <c r="L84" s="13">
        <f t="shared" si="17"/>
        <v>2.0204831312848688</v>
      </c>
      <c r="M84" s="13">
        <v>3443</v>
      </c>
      <c r="N84" s="71">
        <f t="shared" si="30"/>
        <v>0.49642178688821054</v>
      </c>
      <c r="O84" s="339"/>
      <c r="P84" s="339"/>
      <c r="Q84" s="437"/>
      <c r="R84" s="15">
        <f t="shared" si="31"/>
        <v>4.9999999999991829E-2</v>
      </c>
      <c r="S84" s="331"/>
      <c r="T84" s="20">
        <f t="shared" si="18"/>
        <v>9.9284357377658328</v>
      </c>
      <c r="U84" s="347"/>
      <c r="V84" s="15">
        <f t="shared" si="19"/>
        <v>5.1071873435067436</v>
      </c>
      <c r="W84" s="15">
        <f t="shared" si="32"/>
        <v>1.006514134386061E-4</v>
      </c>
      <c r="X84" s="15">
        <f t="shared" si="33"/>
        <v>1.05540059867959E-4</v>
      </c>
      <c r="Y84" s="13">
        <f t="shared" si="34"/>
        <v>0.80910297836117018</v>
      </c>
      <c r="Z84" s="13">
        <f t="shared" si="35"/>
        <v>46.358185851559824</v>
      </c>
      <c r="AA84" s="13">
        <f t="shared" si="36"/>
        <v>313.64181414844018</v>
      </c>
      <c r="AB84" s="13">
        <v>120</v>
      </c>
      <c r="AC84" s="13">
        <v>13</v>
      </c>
      <c r="AD84" s="13">
        <f t="shared" si="20"/>
        <v>4</v>
      </c>
      <c r="AE84" s="16">
        <f t="shared" si="21"/>
        <v>166.35818585155982</v>
      </c>
      <c r="AF84" s="15">
        <f t="shared" si="61"/>
        <v>0.19391708754220857</v>
      </c>
      <c r="AG84" s="366"/>
      <c r="AH84" s="331"/>
      <c r="AI84" s="339"/>
      <c r="AJ84" s="13">
        <f t="shared" si="62"/>
        <v>1.4463022687399385</v>
      </c>
      <c r="AK84" s="13">
        <f t="shared" si="22"/>
        <v>-3.999999999999998E-2</v>
      </c>
      <c r="AL84" s="15">
        <f t="shared" si="84"/>
        <v>18.610006994007279</v>
      </c>
      <c r="AM84" s="15">
        <f t="shared" si="23"/>
        <v>-1.0766278134679534</v>
      </c>
      <c r="AN84" s="15">
        <f t="shared" si="63"/>
        <v>9.8226820112046891</v>
      </c>
      <c r="AO84" s="15">
        <f t="shared" si="24"/>
        <v>5.052787626563692</v>
      </c>
      <c r="AP84" s="15">
        <f t="shared" si="25"/>
        <v>0.19185156028362285</v>
      </c>
      <c r="AQ84" s="20">
        <f t="shared" si="64"/>
        <v>5.0538313906725724E-2</v>
      </c>
      <c r="AR84" s="13">
        <f t="shared" si="65"/>
        <v>300730180.73353457</v>
      </c>
      <c r="AS84" s="13">
        <f t="shared" si="26"/>
        <v>1.7871279276717572E-3</v>
      </c>
      <c r="AT84" s="15">
        <f t="shared" si="66"/>
        <v>764.41944056266448</v>
      </c>
      <c r="AU84" s="13">
        <f t="shared" si="67"/>
        <v>28307.604358935681</v>
      </c>
      <c r="AV84" s="339"/>
      <c r="AW84" s="339"/>
      <c r="AX84" s="339"/>
      <c r="AY84" s="339"/>
      <c r="AZ84" s="339"/>
      <c r="BA84" s="331"/>
      <c r="BB84" s="331"/>
      <c r="BC84" s="331"/>
      <c r="BD84" s="339"/>
      <c r="BE84" s="339"/>
      <c r="BF84" s="339"/>
      <c r="BG84" s="339"/>
      <c r="BH84" s="337"/>
      <c r="BI84" s="331"/>
      <c r="BJ84" s="331"/>
      <c r="BK84" s="331"/>
      <c r="BL84" s="23">
        <f t="shared" si="68"/>
        <v>-5.1225667090273243E-2</v>
      </c>
      <c r="BM84" s="24">
        <f t="shared" si="69"/>
        <v>4522.2692994930358</v>
      </c>
      <c r="BN84" s="24">
        <f t="shared" si="70"/>
        <v>9295.5315015650594</v>
      </c>
      <c r="BO84" s="24">
        <f t="shared" si="71"/>
        <v>73.554305459161498</v>
      </c>
      <c r="BP84" s="24">
        <f t="shared" si="27"/>
        <v>84.587451278035729</v>
      </c>
      <c r="BQ84" s="23">
        <f t="shared" si="28"/>
        <v>427.40242718021807</v>
      </c>
      <c r="BR84" s="23">
        <f t="shared" si="72"/>
        <v>3.6116024080060281</v>
      </c>
      <c r="BS84" s="6">
        <f t="shared" si="73"/>
        <v>1030.0794141164122</v>
      </c>
      <c r="BT84" s="23">
        <f t="shared" si="74"/>
        <v>1051.1014429759309</v>
      </c>
      <c r="BU84" s="22">
        <f t="shared" si="75"/>
        <v>1340.6906160407282</v>
      </c>
      <c r="BV84" s="22">
        <f t="shared" si="76"/>
        <v>63.842410287653728</v>
      </c>
      <c r="BW84" s="23">
        <f t="shared" si="77"/>
        <v>1.2141918782383991E-2</v>
      </c>
      <c r="BX84" s="331"/>
      <c r="BY84" s="361"/>
      <c r="BZ84" s="361"/>
      <c r="CA84" s="361"/>
    </row>
    <row r="85" spans="3:79" ht="15.75" x14ac:dyDescent="0.3">
      <c r="C85" s="13"/>
      <c r="D85" s="379"/>
      <c r="E85" s="379"/>
      <c r="F85" s="19" t="s">
        <v>128</v>
      </c>
      <c r="G85" s="256"/>
      <c r="H85" s="54">
        <v>0.68194444444444402</v>
      </c>
      <c r="I85" s="13">
        <v>-8.6167719999999992</v>
      </c>
      <c r="J85" s="13">
        <v>115.75927</v>
      </c>
      <c r="K85" s="13">
        <f t="shared" si="17"/>
        <v>-0.15039104229365682</v>
      </c>
      <c r="L85" s="13">
        <f t="shared" si="17"/>
        <v>2.0203804012050965</v>
      </c>
      <c r="M85" s="13">
        <v>3443</v>
      </c>
      <c r="N85" s="71">
        <f t="shared" si="30"/>
        <v>0.457856011146206</v>
      </c>
      <c r="O85" s="339"/>
      <c r="P85" s="339"/>
      <c r="Q85" s="437"/>
      <c r="R85" s="15">
        <f t="shared" si="31"/>
        <v>4.9999999999991829E-2</v>
      </c>
      <c r="S85" s="331"/>
      <c r="T85" s="20">
        <f t="shared" si="18"/>
        <v>9.1571202229256166</v>
      </c>
      <c r="U85" s="347"/>
      <c r="V85" s="15">
        <f t="shared" si="19"/>
        <v>4.7104226426729365</v>
      </c>
      <c r="W85" s="15">
        <f t="shared" si="32"/>
        <v>8.6826286376954375E-5</v>
      </c>
      <c r="X85" s="15">
        <f t="shared" si="33"/>
        <v>1.0273007977223969E-4</v>
      </c>
      <c r="Y85" s="13">
        <f t="shared" si="34"/>
        <v>0.86910220223992152</v>
      </c>
      <c r="Z85" s="13">
        <f t="shared" si="35"/>
        <v>49.795888153872824</v>
      </c>
      <c r="AA85" s="13">
        <f t="shared" si="36"/>
        <v>310.20411184612715</v>
      </c>
      <c r="AB85" s="13">
        <v>120</v>
      </c>
      <c r="AC85" s="13">
        <v>13</v>
      </c>
      <c r="AD85" s="13">
        <f t="shared" si="20"/>
        <v>4</v>
      </c>
      <c r="AE85" s="16">
        <f t="shared" si="21"/>
        <v>169.79588815387285</v>
      </c>
      <c r="AF85" s="15">
        <f t="shared" si="61"/>
        <v>0.17885215061110732</v>
      </c>
      <c r="AG85" s="366"/>
      <c r="AH85" s="331"/>
      <c r="AI85" s="339"/>
      <c r="AJ85" s="13">
        <f t="shared" si="62"/>
        <v>1.567185178111572</v>
      </c>
      <c r="AK85" s="13">
        <f t="shared" si="22"/>
        <v>-3.999999999999998E-2</v>
      </c>
      <c r="AL85" s="15">
        <f t="shared" si="84"/>
        <v>18.610006994007279</v>
      </c>
      <c r="AM85" s="15">
        <f t="shared" si="23"/>
        <v>-1.1666130850224352</v>
      </c>
      <c r="AN85" s="15">
        <f t="shared" si="63"/>
        <v>9.0515239600141495</v>
      </c>
      <c r="AO85" s="15">
        <f t="shared" si="24"/>
        <v>4.6561039250312781</v>
      </c>
      <c r="AP85" s="15">
        <f t="shared" si="25"/>
        <v>0.17678969885133586</v>
      </c>
      <c r="AQ85" s="20">
        <f t="shared" si="64"/>
        <v>5.0583306542502954E-2</v>
      </c>
      <c r="AR85" s="13">
        <f t="shared" si="65"/>
        <v>277120488.40672278</v>
      </c>
      <c r="AS85" s="13">
        <f t="shared" si="26"/>
        <v>1.8068815089442678E-3</v>
      </c>
      <c r="AT85" s="15">
        <f t="shared" si="66"/>
        <v>656.279738195601</v>
      </c>
      <c r="AU85" s="13">
        <f t="shared" si="67"/>
        <v>24303.028143753792</v>
      </c>
      <c r="AV85" s="339"/>
      <c r="AW85" s="339"/>
      <c r="AX85" s="339"/>
      <c r="AY85" s="339"/>
      <c r="AZ85" s="339"/>
      <c r="BA85" s="331"/>
      <c r="BB85" s="331"/>
      <c r="BC85" s="331"/>
      <c r="BD85" s="339"/>
      <c r="BE85" s="339"/>
      <c r="BF85" s="339"/>
      <c r="BG85" s="339"/>
      <c r="BH85" s="337"/>
      <c r="BI85" s="331"/>
      <c r="BJ85" s="331"/>
      <c r="BK85" s="331"/>
      <c r="BL85" s="23">
        <f t="shared" si="68"/>
        <v>-3.1613504527306227E-2</v>
      </c>
      <c r="BM85" s="24">
        <f t="shared" si="69"/>
        <v>1953.7383275322914</v>
      </c>
      <c r="BN85" s="24">
        <f t="shared" si="70"/>
        <v>7893.2792550209842</v>
      </c>
      <c r="BO85" s="24">
        <f t="shared" si="71"/>
        <v>61.132811163213276</v>
      </c>
      <c r="BP85" s="24">
        <f t="shared" si="27"/>
        <v>70.30273283769526</v>
      </c>
      <c r="BQ85" s="23">
        <f t="shared" si="28"/>
        <v>327.33683030601821</v>
      </c>
      <c r="BR85" s="23">
        <f t="shared" si="72"/>
        <v>3.3280631188937444</v>
      </c>
      <c r="BS85" s="6">
        <f t="shared" si="73"/>
        <v>788.91206258445152</v>
      </c>
      <c r="BT85" s="23">
        <f t="shared" si="74"/>
        <v>805.01230875964438</v>
      </c>
      <c r="BU85" s="22">
        <f t="shared" si="75"/>
        <v>1026.8014142342402</v>
      </c>
      <c r="BV85" s="22">
        <f t="shared" si="76"/>
        <v>48.895305439725725</v>
      </c>
      <c r="BW85" s="23">
        <f t="shared" si="77"/>
        <v>9.3074707164519134E-3</v>
      </c>
      <c r="BX85" s="331"/>
      <c r="BY85" s="361"/>
      <c r="BZ85" s="361"/>
      <c r="CA85" s="361"/>
    </row>
    <row r="86" spans="3:79" ht="15.75" x14ac:dyDescent="0.3">
      <c r="C86" s="13"/>
      <c r="D86" s="379"/>
      <c r="E86" s="379"/>
      <c r="F86" s="19" t="s">
        <v>128</v>
      </c>
      <c r="G86" s="256"/>
      <c r="H86" s="55">
        <v>0.68402777777777801</v>
      </c>
      <c r="I86" s="13">
        <v>-8.6099379999999996</v>
      </c>
      <c r="J86" s="13">
        <v>115.751244</v>
      </c>
      <c r="K86" s="13">
        <f t="shared" si="17"/>
        <v>-0.15027176649257554</v>
      </c>
      <c r="L86" s="13">
        <f t="shared" si="17"/>
        <v>2.0202403210793314</v>
      </c>
      <c r="M86" s="13">
        <v>3443</v>
      </c>
      <c r="N86" s="71">
        <f t="shared" si="30"/>
        <v>0.62931627320778372</v>
      </c>
      <c r="O86" s="339"/>
      <c r="P86" s="339"/>
      <c r="Q86" s="437"/>
      <c r="R86" s="15">
        <f t="shared" si="31"/>
        <v>5.000000000001581E-2</v>
      </c>
      <c r="S86" s="331"/>
      <c r="T86" s="20">
        <f t="shared" si="18"/>
        <v>12.586325464151695</v>
      </c>
      <c r="U86" s="347"/>
      <c r="V86" s="15">
        <f t="shared" si="19"/>
        <v>6.4744058187596316</v>
      </c>
      <c r="W86" s="15">
        <f t="shared" si="32"/>
        <v>1.2065099041215767E-4</v>
      </c>
      <c r="X86" s="15">
        <f t="shared" si="33"/>
        <v>1.4008012576516293E-4</v>
      </c>
      <c r="Y86" s="13">
        <f t="shared" si="34"/>
        <v>0.85977859097380638</v>
      </c>
      <c r="Z86" s="13">
        <f t="shared" si="35"/>
        <v>49.261684578503804</v>
      </c>
      <c r="AA86" s="13">
        <f t="shared" si="36"/>
        <v>310.73831542149617</v>
      </c>
      <c r="AB86" s="13">
        <v>120</v>
      </c>
      <c r="AC86" s="13">
        <v>13</v>
      </c>
      <c r="AD86" s="13">
        <f t="shared" si="20"/>
        <v>4</v>
      </c>
      <c r="AE86" s="16">
        <f t="shared" si="21"/>
        <v>169.26168457850383</v>
      </c>
      <c r="AF86" s="15">
        <f t="shared" si="61"/>
        <v>0.2458296192201429</v>
      </c>
      <c r="AG86" s="366"/>
      <c r="AH86" s="331"/>
      <c r="AI86" s="339"/>
      <c r="AJ86" s="13">
        <f t="shared" si="62"/>
        <v>0.98941686932879414</v>
      </c>
      <c r="AK86" s="13">
        <f t="shared" si="22"/>
        <v>-3.999999999999998E-2</v>
      </c>
      <c r="AL86" s="15">
        <f t="shared" si="84"/>
        <v>18.610006994007279</v>
      </c>
      <c r="AM86" s="15">
        <f t="shared" si="23"/>
        <v>-0.73652219432790533</v>
      </c>
      <c r="AN86" s="15">
        <f t="shared" si="63"/>
        <v>12.494302155748219</v>
      </c>
      <c r="AO86" s="15">
        <f t="shared" si="24"/>
        <v>6.4270690289168835</v>
      </c>
      <c r="AP86" s="15">
        <f t="shared" si="25"/>
        <v>0.24403226740935138</v>
      </c>
      <c r="AQ86" s="20">
        <f t="shared" si="64"/>
        <v>5.036826109717988E-2</v>
      </c>
      <c r="AR86" s="13">
        <f t="shared" si="65"/>
        <v>382524217.02662134</v>
      </c>
      <c r="AS86" s="13">
        <f t="shared" si="26"/>
        <v>1.7308465069545498E-3</v>
      </c>
      <c r="AT86" s="15">
        <f t="shared" si="66"/>
        <v>1197.839076929469</v>
      </c>
      <c r="AU86" s="13">
        <f t="shared" si="67"/>
        <v>44357.786937539931</v>
      </c>
      <c r="AV86" s="339"/>
      <c r="AW86" s="339"/>
      <c r="AX86" s="339"/>
      <c r="AY86" s="339"/>
      <c r="AZ86" s="339"/>
      <c r="BA86" s="331"/>
      <c r="BB86" s="331"/>
      <c r="BC86" s="331"/>
      <c r="BD86" s="339"/>
      <c r="BE86" s="339"/>
      <c r="BF86" s="339"/>
      <c r="BG86" s="339"/>
      <c r="BH86" s="337"/>
      <c r="BI86" s="331"/>
      <c r="BJ86" s="331"/>
      <c r="BK86" s="331"/>
      <c r="BL86" s="23">
        <f t="shared" si="68"/>
        <v>-0.14458995116468121</v>
      </c>
      <c r="BM86" s="24">
        <f t="shared" si="69"/>
        <v>37935.924339029902</v>
      </c>
      <c r="BN86" s="24">
        <f t="shared" si="70"/>
        <v>15039.661657127415</v>
      </c>
      <c r="BO86" s="24">
        <f t="shared" si="71"/>
        <v>146.58220534899115</v>
      </c>
      <c r="BP86" s="24">
        <f t="shared" si="27"/>
        <v>168.56953615133983</v>
      </c>
      <c r="BQ86" s="23">
        <f t="shared" si="28"/>
        <v>1083.4080450171612</v>
      </c>
      <c r="BR86" s="23">
        <f t="shared" si="72"/>
        <v>4.5939033453981217</v>
      </c>
      <c r="BS86" s="6">
        <f t="shared" si="73"/>
        <v>2611.113679496525</v>
      </c>
      <c r="BT86" s="23">
        <f t="shared" si="74"/>
        <v>2664.4017137719643</v>
      </c>
      <c r="BU86" s="22">
        <f t="shared" si="75"/>
        <v>3398.4715736887301</v>
      </c>
      <c r="BV86" s="22">
        <f t="shared" si="76"/>
        <v>161.83197969946335</v>
      </c>
      <c r="BW86" s="23">
        <f t="shared" si="77"/>
        <v>3.0674578557037677E-2</v>
      </c>
      <c r="BX86" s="331"/>
      <c r="BY86" s="361"/>
      <c r="BZ86" s="361"/>
      <c r="CA86" s="361"/>
    </row>
    <row r="87" spans="3:79" ht="15.75" x14ac:dyDescent="0.3">
      <c r="C87" s="13"/>
      <c r="D87" s="379"/>
      <c r="E87" s="379"/>
      <c r="F87" s="19" t="s">
        <v>128</v>
      </c>
      <c r="G87" s="256"/>
      <c r="H87" s="54">
        <v>0.68611111111111101</v>
      </c>
      <c r="I87" s="13">
        <v>-8.6041969999999992</v>
      </c>
      <c r="J87" s="13">
        <v>115.74591700000001</v>
      </c>
      <c r="K87" s="13">
        <f t="shared" si="17"/>
        <v>-0.15017156714021854</v>
      </c>
      <c r="L87" s="13">
        <f t="shared" si="17"/>
        <v>2.0201473473900777</v>
      </c>
      <c r="M87" s="13">
        <v>3443</v>
      </c>
      <c r="N87" s="71">
        <f t="shared" si="30"/>
        <v>0.46817726584162173</v>
      </c>
      <c r="O87" s="339"/>
      <c r="P87" s="339"/>
      <c r="Q87" s="437"/>
      <c r="R87" s="15">
        <f t="shared" si="31"/>
        <v>4.9999999999991829E-2</v>
      </c>
      <c r="S87" s="331"/>
      <c r="T87" s="20">
        <f t="shared" si="18"/>
        <v>9.3635453168339655</v>
      </c>
      <c r="U87" s="347"/>
      <c r="V87" s="15">
        <f t="shared" si="19"/>
        <v>4.8166077109793912</v>
      </c>
      <c r="W87" s="15">
        <f t="shared" si="32"/>
        <v>1.013529067356835E-4</v>
      </c>
      <c r="X87" s="15">
        <f t="shared" si="33"/>
        <v>9.2973689253650349E-5</v>
      </c>
      <c r="Y87" s="13">
        <f t="shared" si="34"/>
        <v>0.74230560496871589</v>
      </c>
      <c r="Z87" s="13">
        <f t="shared" si="35"/>
        <v>42.530978273612732</v>
      </c>
      <c r="AA87" s="13">
        <f t="shared" si="36"/>
        <v>317.46902172638727</v>
      </c>
      <c r="AB87" s="13">
        <v>120</v>
      </c>
      <c r="AC87" s="13">
        <v>13</v>
      </c>
      <c r="AD87" s="13">
        <f t="shared" si="20"/>
        <v>4</v>
      </c>
      <c r="AE87" s="16">
        <f t="shared" si="21"/>
        <v>162.53097827361273</v>
      </c>
      <c r="AF87" s="15">
        <f t="shared" si="61"/>
        <v>0.18288393910867196</v>
      </c>
      <c r="AG87" s="366"/>
      <c r="AH87" s="331"/>
      <c r="AI87" s="339"/>
      <c r="AJ87" s="13">
        <f t="shared" si="62"/>
        <v>1.5353496171646224</v>
      </c>
      <c r="AK87" s="13">
        <f t="shared" si="22"/>
        <v>-3.999999999999998E-2</v>
      </c>
      <c r="AL87" s="15">
        <f t="shared" si="84"/>
        <v>18.610006994007279</v>
      </c>
      <c r="AM87" s="15">
        <f t="shared" si="23"/>
        <v>-1.1429146845472002</v>
      </c>
      <c r="AN87" s="15">
        <f t="shared" si="63"/>
        <v>9.2577372780265996</v>
      </c>
      <c r="AO87" s="15">
        <f t="shared" si="24"/>
        <v>4.7621800558168825</v>
      </c>
      <c r="AP87" s="15">
        <f t="shared" si="25"/>
        <v>0.18081735105129743</v>
      </c>
      <c r="AQ87" s="20">
        <f t="shared" si="64"/>
        <v>5.0571457342265327E-2</v>
      </c>
      <c r="AR87" s="13">
        <f t="shared" si="65"/>
        <v>283433893.27158618</v>
      </c>
      <c r="AS87" s="13">
        <f t="shared" si="26"/>
        <v>1.8014065092381557E-3</v>
      </c>
      <c r="AT87" s="15">
        <f t="shared" si="66"/>
        <v>684.44309038057202</v>
      </c>
      <c r="AU87" s="13">
        <f t="shared" si="67"/>
        <v>25345.959535564951</v>
      </c>
      <c r="AV87" s="339"/>
      <c r="AW87" s="339"/>
      <c r="AX87" s="339"/>
      <c r="AY87" s="339"/>
      <c r="AZ87" s="339"/>
      <c r="BA87" s="331"/>
      <c r="BB87" s="331"/>
      <c r="BC87" s="331"/>
      <c r="BD87" s="339"/>
      <c r="BE87" s="339"/>
      <c r="BF87" s="339"/>
      <c r="BG87" s="339"/>
      <c r="BH87" s="337"/>
      <c r="BI87" s="331"/>
      <c r="BJ87" s="331"/>
      <c r="BK87" s="331"/>
      <c r="BL87" s="23">
        <f t="shared" si="68"/>
        <v>-3.6398734580469279E-2</v>
      </c>
      <c r="BM87" s="24">
        <f t="shared" si="69"/>
        <v>2472.9605975026507</v>
      </c>
      <c r="BN87" s="24">
        <f t="shared" si="70"/>
        <v>8257.0280712486019</v>
      </c>
      <c r="BO87" s="24">
        <f t="shared" si="71"/>
        <v>64.216642313549571</v>
      </c>
      <c r="BP87" s="24">
        <f t="shared" si="27"/>
        <v>73.849138660582</v>
      </c>
      <c r="BQ87" s="23">
        <f t="shared" si="28"/>
        <v>351.68289526867909</v>
      </c>
      <c r="BR87" s="23">
        <f t="shared" si="72"/>
        <v>3.4038836040776417</v>
      </c>
      <c r="BS87" s="6">
        <f t="shared" si="73"/>
        <v>847.58833285795492</v>
      </c>
      <c r="BT87" s="23">
        <f t="shared" si="74"/>
        <v>864.88605393668877</v>
      </c>
      <c r="BU87" s="22">
        <f t="shared" si="75"/>
        <v>1103.1709871641438</v>
      </c>
      <c r="BV87" s="22">
        <f t="shared" si="76"/>
        <v>52.531951769721132</v>
      </c>
      <c r="BW87" s="23">
        <f t="shared" si="77"/>
        <v>9.9973824417324431E-3</v>
      </c>
      <c r="BX87" s="331"/>
      <c r="BY87" s="362"/>
      <c r="BZ87" s="362"/>
      <c r="CA87" s="362"/>
    </row>
    <row r="88" spans="3:79" ht="15.75" x14ac:dyDescent="0.3">
      <c r="C88" s="13">
        <v>9</v>
      </c>
      <c r="D88" s="379"/>
      <c r="E88" s="379"/>
      <c r="F88" s="19" t="s">
        <v>128</v>
      </c>
      <c r="G88" s="255">
        <v>0.6875</v>
      </c>
      <c r="H88" s="55">
        <v>0.6875</v>
      </c>
      <c r="I88" s="13">
        <v>-8.5980240000000006</v>
      </c>
      <c r="J88" s="13">
        <v>115.744319</v>
      </c>
      <c r="K88" s="13">
        <f t="shared" si="17"/>
        <v>-0.15006382796549295</v>
      </c>
      <c r="L88" s="13">
        <f t="shared" si="17"/>
        <v>2.0201194570286307</v>
      </c>
      <c r="M88" s="13">
        <v>3443</v>
      </c>
      <c r="N88" s="71">
        <f t="shared" si="30"/>
        <v>0.38290438295397072</v>
      </c>
      <c r="O88" s="398"/>
      <c r="P88" s="398"/>
      <c r="Q88" s="437"/>
      <c r="R88" s="15">
        <f t="shared" si="31"/>
        <v>3.3333333333335879E-2</v>
      </c>
      <c r="S88" s="358"/>
      <c r="T88" s="20">
        <f t="shared" si="18"/>
        <v>11.487131488618244</v>
      </c>
      <c r="U88" s="348"/>
      <c r="V88" s="15">
        <f t="shared" si="19"/>
        <v>5.9089804377452246</v>
      </c>
      <c r="W88" s="15">
        <f t="shared" si="32"/>
        <v>1.0897780839525247E-4</v>
      </c>
      <c r="X88" s="15">
        <f t="shared" si="33"/>
        <v>2.7890361447013845E-5</v>
      </c>
      <c r="Y88" s="13">
        <f t="shared" si="34"/>
        <v>0.25054917150056527</v>
      </c>
      <c r="Z88" s="13">
        <f t="shared" si="35"/>
        <v>14.355410087481838</v>
      </c>
      <c r="AA88" s="13">
        <f t="shared" si="36"/>
        <v>345.64458991251814</v>
      </c>
      <c r="AB88" s="13">
        <v>120</v>
      </c>
      <c r="AC88" s="13">
        <v>13</v>
      </c>
      <c r="AD88" s="13">
        <f t="shared" si="20"/>
        <v>4</v>
      </c>
      <c r="AE88" s="16">
        <f t="shared" si="21"/>
        <v>134.35541008748186</v>
      </c>
      <c r="AF88" s="15">
        <f t="shared" si="61"/>
        <v>0.22436072925507036</v>
      </c>
      <c r="AG88" s="366"/>
      <c r="AH88" s="331"/>
      <c r="AI88" s="339"/>
      <c r="AJ88" s="13">
        <f t="shared" si="62"/>
        <v>1.1859475545065827</v>
      </c>
      <c r="AK88" s="13">
        <f t="shared" si="22"/>
        <v>0.33</v>
      </c>
      <c r="AL88" s="15">
        <f t="shared" si="84"/>
        <v>18.610006994007279</v>
      </c>
      <c r="AM88" s="15">
        <f t="shared" si="23"/>
        <v>7.2832624536847996</v>
      </c>
      <c r="AN88" s="15">
        <f t="shared" si="63"/>
        <v>12.38949060613789</v>
      </c>
      <c r="AO88" s="15">
        <f t="shared" si="24"/>
        <v>6.3731539677973306</v>
      </c>
      <c r="AP88" s="15">
        <f t="shared" si="25"/>
        <v>0.24198514226516488</v>
      </c>
      <c r="AQ88" s="20">
        <f t="shared" si="64"/>
        <v>3.0905579182107429E-2</v>
      </c>
      <c r="AR88" s="13">
        <f t="shared" si="65"/>
        <v>379315317.84599823</v>
      </c>
      <c r="AS88" s="13">
        <f t="shared" si="26"/>
        <v>1.7327720747744625E-3</v>
      </c>
      <c r="AT88" s="15">
        <f t="shared" si="66"/>
        <v>1179.1369632108228</v>
      </c>
      <c r="AU88" s="13">
        <f t="shared" si="67"/>
        <v>43665.219470347329</v>
      </c>
      <c r="AV88" s="339"/>
      <c r="AW88" s="339"/>
      <c r="AX88" s="339"/>
      <c r="AY88" s="339"/>
      <c r="AZ88" s="339"/>
      <c r="BA88" s="331"/>
      <c r="BB88" s="331"/>
      <c r="BC88" s="331"/>
      <c r="BD88" s="339"/>
      <c r="BE88" s="339"/>
      <c r="BF88" s="339"/>
      <c r="BG88" s="339"/>
      <c r="BH88" s="337"/>
      <c r="BI88" s="331"/>
      <c r="BJ88" s="331"/>
      <c r="BK88" s="331"/>
      <c r="BL88" s="23">
        <f t="shared" si="68"/>
        <v>-0.14052288146416408</v>
      </c>
      <c r="BM88" s="24">
        <f t="shared" si="69"/>
        <v>35583.301903769592</v>
      </c>
      <c r="BN88" s="24">
        <f t="shared" si="70"/>
        <v>14788.392157493839</v>
      </c>
      <c r="BO88" s="24">
        <f t="shared" si="71"/>
        <v>142.5168135568357</v>
      </c>
      <c r="BP88" s="24">
        <f t="shared" si="27"/>
        <v>163.89433559036107</v>
      </c>
      <c r="BQ88" s="23">
        <f t="shared" si="28"/>
        <v>1044.5238351672169</v>
      </c>
      <c r="BR88" s="23">
        <f t="shared" si="72"/>
        <v>4.5553662488569016</v>
      </c>
      <c r="BS88" s="6">
        <f t="shared" si="73"/>
        <v>2517.3991342496374</v>
      </c>
      <c r="BT88" s="23">
        <f t="shared" si="74"/>
        <v>2568.7746267853445</v>
      </c>
      <c r="BU88" s="22">
        <f t="shared" si="75"/>
        <v>3276.4982484506945</v>
      </c>
      <c r="BV88" s="22">
        <f t="shared" si="76"/>
        <v>156.02372611669975</v>
      </c>
      <c r="BW88" s="23">
        <f t="shared" si="77"/>
        <v>1.8146164029509238E-2</v>
      </c>
      <c r="BX88" s="331"/>
      <c r="BY88" s="360">
        <f t="shared" ref="BY88" si="97">SUM(BW89:BW94)*1000</f>
        <v>80.142620213471886</v>
      </c>
      <c r="BZ88" s="360">
        <v>80</v>
      </c>
      <c r="CA88" s="360">
        <f t="shared" ref="CA88" si="98">AVERAGE(AN88:AN94)</f>
        <v>10.282887860979118</v>
      </c>
    </row>
    <row r="89" spans="3:79" ht="15.75" x14ac:dyDescent="0.3">
      <c r="C89" s="13"/>
      <c r="D89" s="379"/>
      <c r="E89" s="379"/>
      <c r="F89" s="19" t="s">
        <v>128</v>
      </c>
      <c r="G89" s="256"/>
      <c r="H89" s="55">
        <v>0.68958333333333333</v>
      </c>
      <c r="I89" s="13">
        <v>-8.5910360000000008</v>
      </c>
      <c r="J89" s="13">
        <v>115.74104</v>
      </c>
      <c r="K89" s="13">
        <f t="shared" si="17"/>
        <v>-0.14994186435736359</v>
      </c>
      <c r="L89" s="13">
        <f t="shared" si="17"/>
        <v>2.0200622276824576</v>
      </c>
      <c r="M89" s="13">
        <v>3443</v>
      </c>
      <c r="N89" s="71">
        <f t="shared" si="30"/>
        <v>0.46291613342937243</v>
      </c>
      <c r="O89" s="357">
        <f t="shared" ref="O89" si="99">SUM(N89:N95)</f>
        <v>3.3468933299812447</v>
      </c>
      <c r="P89" s="338">
        <v>3.35</v>
      </c>
      <c r="Q89" s="437">
        <f t="shared" ref="Q89" si="100">ABS((O89-P89)/P89*100%)</f>
        <v>9.273641847031103E-4</v>
      </c>
      <c r="R89" s="15">
        <f t="shared" si="31"/>
        <v>4.9999999999999822E-2</v>
      </c>
      <c r="S89" s="357">
        <f t="shared" ref="S89" si="101">SUM(R89:R95)</f>
        <v>0.33333333333333481</v>
      </c>
      <c r="T89" s="20">
        <f t="shared" si="18"/>
        <v>9.258322668587482</v>
      </c>
      <c r="U89" s="346">
        <f t="shared" ref="U89" si="102">AVERAGE(T89:T95)</f>
        <v>10.120170552820483</v>
      </c>
      <c r="V89" s="15">
        <f t="shared" si="19"/>
        <v>4.7624811807214007</v>
      </c>
      <c r="W89" s="15">
        <f t="shared" si="32"/>
        <v>1.2336362057678135E-4</v>
      </c>
      <c r="X89" s="15">
        <f t="shared" si="33"/>
        <v>5.7229346173137685E-5</v>
      </c>
      <c r="Y89" s="13">
        <f t="shared" si="34"/>
        <v>0.43435927566293497</v>
      </c>
      <c r="Z89" s="13">
        <f t="shared" si="35"/>
        <v>24.886953287845667</v>
      </c>
      <c r="AA89" s="13">
        <f t="shared" si="36"/>
        <v>335.11304671215436</v>
      </c>
      <c r="AB89" s="13">
        <v>120</v>
      </c>
      <c r="AC89" s="13">
        <v>13</v>
      </c>
      <c r="AD89" s="13">
        <f t="shared" si="20"/>
        <v>4</v>
      </c>
      <c r="AE89" s="16">
        <f t="shared" si="21"/>
        <v>144.88695328784564</v>
      </c>
      <c r="AF89" s="15">
        <f t="shared" si="61"/>
        <v>0.18082878459789423</v>
      </c>
      <c r="AG89" s="366"/>
      <c r="AH89" s="331"/>
      <c r="AI89" s="339"/>
      <c r="AJ89" s="13">
        <f t="shared" si="62"/>
        <v>1.5516245246536324</v>
      </c>
      <c r="AK89" s="13">
        <f t="shared" si="22"/>
        <v>0.33</v>
      </c>
      <c r="AL89" s="15">
        <f t="shared" si="84"/>
        <v>18.610006994007279</v>
      </c>
      <c r="AM89" s="15">
        <f t="shared" si="23"/>
        <v>9.5289952744395165</v>
      </c>
      <c r="AN89" s="15">
        <f t="shared" si="63"/>
        <v>10.233469492985256</v>
      </c>
      <c r="AO89" s="15">
        <f t="shared" si="24"/>
        <v>5.2640967071916149</v>
      </c>
      <c r="AP89" s="15">
        <f t="shared" si="25"/>
        <v>0.19987484956802434</v>
      </c>
      <c r="AQ89" s="20">
        <f t="shared" si="64"/>
        <v>4.5235502362780081E-2</v>
      </c>
      <c r="AR89" s="13">
        <f t="shared" si="65"/>
        <v>313306806.29242224</v>
      </c>
      <c r="AS89" s="13">
        <f t="shared" si="26"/>
        <v>1.7773512544556232E-3</v>
      </c>
      <c r="AT89" s="15">
        <f t="shared" si="66"/>
        <v>825.15393576654162</v>
      </c>
      <c r="AU89" s="13">
        <f t="shared" si="67"/>
        <v>30556.694282532539</v>
      </c>
      <c r="AV89" s="339"/>
      <c r="AW89" s="339"/>
      <c r="AX89" s="339"/>
      <c r="AY89" s="339"/>
      <c r="AZ89" s="339"/>
      <c r="BA89" s="331"/>
      <c r="BB89" s="331"/>
      <c r="BC89" s="331"/>
      <c r="BD89" s="339"/>
      <c r="BE89" s="339"/>
      <c r="BF89" s="339"/>
      <c r="BG89" s="339"/>
      <c r="BH89" s="337"/>
      <c r="BI89" s="331"/>
      <c r="BJ89" s="331"/>
      <c r="BK89" s="331"/>
      <c r="BL89" s="23">
        <f t="shared" si="68"/>
        <v>-6.3432856005907215E-2</v>
      </c>
      <c r="BM89" s="24">
        <f t="shared" si="69"/>
        <v>6760.6991380134405</v>
      </c>
      <c r="BN89" s="24">
        <f t="shared" si="70"/>
        <v>10089.272584514978</v>
      </c>
      <c r="BO89" s="24">
        <f t="shared" si="71"/>
        <v>81.332648786952987</v>
      </c>
      <c r="BP89" s="24">
        <f t="shared" si="27"/>
        <v>93.53254610499593</v>
      </c>
      <c r="BQ89" s="23">
        <f t="shared" si="28"/>
        <v>492.36436796655698</v>
      </c>
      <c r="BR89" s="23">
        <f t="shared" si="72"/>
        <v>3.7626406943605168</v>
      </c>
      <c r="BS89" s="6">
        <f t="shared" si="73"/>
        <v>1186.6437049336969</v>
      </c>
      <c r="BT89" s="23">
        <f t="shared" si="74"/>
        <v>1210.8609234017315</v>
      </c>
      <c r="BU89" s="22">
        <f t="shared" si="75"/>
        <v>1544.4654635226166</v>
      </c>
      <c r="BV89" s="22">
        <f t="shared" si="76"/>
        <v>73.54597445345793</v>
      </c>
      <c r="BW89" s="23">
        <f t="shared" si="77"/>
        <v>1.2519749065494192E-2</v>
      </c>
      <c r="BX89" s="331"/>
      <c r="BY89" s="361"/>
      <c r="BZ89" s="361"/>
      <c r="CA89" s="361"/>
    </row>
    <row r="90" spans="3:79" ht="15.75" x14ac:dyDescent="0.3">
      <c r="C90" s="13"/>
      <c r="D90" s="379"/>
      <c r="E90" s="379"/>
      <c r="F90" s="19" t="s">
        <v>128</v>
      </c>
      <c r="G90" s="256"/>
      <c r="H90" s="55">
        <v>0.69166666666666698</v>
      </c>
      <c r="I90" s="13">
        <v>-8.5865460000000002</v>
      </c>
      <c r="J90" s="13">
        <v>115.732609</v>
      </c>
      <c r="K90" s="13">
        <f t="shared" si="17"/>
        <v>-0.14986349907394902</v>
      </c>
      <c r="L90" s="13">
        <f t="shared" si="17"/>
        <v>2.0199150789732219</v>
      </c>
      <c r="M90" s="13">
        <v>3443</v>
      </c>
      <c r="N90" s="71">
        <f t="shared" si="30"/>
        <v>0.56899092413795693</v>
      </c>
      <c r="O90" s="339"/>
      <c r="P90" s="339"/>
      <c r="Q90" s="437"/>
      <c r="R90" s="15">
        <f t="shared" si="31"/>
        <v>5.0000000000007816E-2</v>
      </c>
      <c r="S90" s="331"/>
      <c r="T90" s="20">
        <f t="shared" si="18"/>
        <v>11.37981848275736</v>
      </c>
      <c r="U90" s="347"/>
      <c r="V90" s="15">
        <f t="shared" si="19"/>
        <v>5.8537786275303851</v>
      </c>
      <c r="W90" s="15">
        <f t="shared" si="32"/>
        <v>7.9263627438828503E-5</v>
      </c>
      <c r="X90" s="15">
        <f t="shared" si="33"/>
        <v>1.4714870923571155E-4</v>
      </c>
      <c r="Y90" s="13">
        <f t="shared" si="34"/>
        <v>1.0766984640756943</v>
      </c>
      <c r="Z90" s="13">
        <f t="shared" si="35"/>
        <v>61.690277799755364</v>
      </c>
      <c r="AA90" s="13">
        <f t="shared" si="36"/>
        <v>298.30972220024466</v>
      </c>
      <c r="AB90" s="13">
        <v>120</v>
      </c>
      <c r="AC90" s="13">
        <v>13</v>
      </c>
      <c r="AD90" s="13">
        <f t="shared" si="20"/>
        <v>4</v>
      </c>
      <c r="AE90" s="16">
        <f t="shared" si="21"/>
        <v>178.30972220024466</v>
      </c>
      <c r="AF90" s="15">
        <f t="shared" si="61"/>
        <v>0.22226474695719575</v>
      </c>
      <c r="AG90" s="366"/>
      <c r="AH90" s="331"/>
      <c r="AI90" s="339"/>
      <c r="AJ90" s="13">
        <f t="shared" si="62"/>
        <v>1.2045616704749993</v>
      </c>
      <c r="AK90" s="13">
        <f t="shared" si="22"/>
        <v>-3.999999999999998E-2</v>
      </c>
      <c r="AL90" s="15">
        <f t="shared" si="84"/>
        <v>18.610006994007279</v>
      </c>
      <c r="AM90" s="15">
        <f t="shared" si="23"/>
        <v>-0.89667604449011262</v>
      </c>
      <c r="AN90" s="15">
        <f t="shared" si="63"/>
        <v>11.278685214307218</v>
      </c>
      <c r="AO90" s="15">
        <f t="shared" si="24"/>
        <v>5.801755674239633</v>
      </c>
      <c r="AP90" s="15">
        <f t="shared" si="25"/>
        <v>0.22028946410403921</v>
      </c>
      <c r="AQ90" s="20">
        <f t="shared" si="64"/>
        <v>5.0448338022252945E-2</v>
      </c>
      <c r="AR90" s="13">
        <f t="shared" si="65"/>
        <v>345307018.90442914</v>
      </c>
      <c r="AS90" s="13">
        <f t="shared" si="26"/>
        <v>1.754462712578766E-3</v>
      </c>
      <c r="AT90" s="15">
        <f t="shared" si="66"/>
        <v>989.41161899083022</v>
      </c>
      <c r="AU90" s="13">
        <f t="shared" si="67"/>
        <v>36639.403934979397</v>
      </c>
      <c r="AV90" s="339"/>
      <c r="AW90" s="339"/>
      <c r="AX90" s="339"/>
      <c r="AY90" s="339"/>
      <c r="AZ90" s="339"/>
      <c r="BA90" s="331"/>
      <c r="BB90" s="331"/>
      <c r="BC90" s="331"/>
      <c r="BD90" s="339"/>
      <c r="BE90" s="339"/>
      <c r="BF90" s="339"/>
      <c r="BG90" s="339"/>
      <c r="BH90" s="337"/>
      <c r="BI90" s="331"/>
      <c r="BJ90" s="331"/>
      <c r="BK90" s="331"/>
      <c r="BL90" s="23">
        <f t="shared" si="68"/>
        <v>-9.873349130918839E-2</v>
      </c>
      <c r="BM90" s="24">
        <f t="shared" si="69"/>
        <v>16515.533799793</v>
      </c>
      <c r="BN90" s="24">
        <f t="shared" si="70"/>
        <v>12255.499277825504</v>
      </c>
      <c r="BO90" s="24">
        <f t="shared" si="71"/>
        <v>106.08983039015523</v>
      </c>
      <c r="BP90" s="24">
        <f t="shared" si="27"/>
        <v>122.0033049486785</v>
      </c>
      <c r="BQ90" s="23">
        <f t="shared" si="28"/>
        <v>707.83336676198383</v>
      </c>
      <c r="BR90" s="23">
        <f t="shared" si="72"/>
        <v>4.1469454709689977</v>
      </c>
      <c r="BS90" s="6">
        <f t="shared" si="73"/>
        <v>1705.9439379804689</v>
      </c>
      <c r="BT90" s="23">
        <f t="shared" si="74"/>
        <v>1740.7591203882337</v>
      </c>
      <c r="BU90" s="22">
        <f t="shared" si="75"/>
        <v>2220.3560209033594</v>
      </c>
      <c r="BV90" s="22">
        <f t="shared" si="76"/>
        <v>105.73123909063615</v>
      </c>
      <c r="BW90" s="23">
        <f t="shared" si="77"/>
        <v>2.0072778176152075E-2</v>
      </c>
      <c r="BX90" s="331"/>
      <c r="BY90" s="361"/>
      <c r="BZ90" s="361"/>
      <c r="CA90" s="361"/>
    </row>
    <row r="91" spans="3:79" ht="15.75" x14ac:dyDescent="0.3">
      <c r="C91" s="13"/>
      <c r="D91" s="379"/>
      <c r="E91" s="379"/>
      <c r="F91" s="19" t="s">
        <v>128</v>
      </c>
      <c r="G91" s="256"/>
      <c r="H91" s="55">
        <v>0.69374999999999998</v>
      </c>
      <c r="I91" s="13">
        <v>-8.5846230000000006</v>
      </c>
      <c r="J91" s="13">
        <v>115.723883</v>
      </c>
      <c r="K91" s="13">
        <f t="shared" si="17"/>
        <v>-0.14982993639243319</v>
      </c>
      <c r="L91" s="13">
        <f t="shared" si="17"/>
        <v>2.0197627815426933</v>
      </c>
      <c r="M91" s="13">
        <v>3443</v>
      </c>
      <c r="N91" s="71">
        <f t="shared" si="30"/>
        <v>0.53120521641044127</v>
      </c>
      <c r="O91" s="339"/>
      <c r="P91" s="339"/>
      <c r="Q91" s="437"/>
      <c r="R91" s="15">
        <f t="shared" si="31"/>
        <v>4.9999999999991829E-2</v>
      </c>
      <c r="S91" s="331"/>
      <c r="T91" s="20">
        <f t="shared" si="18"/>
        <v>10.624104328210562</v>
      </c>
      <c r="U91" s="347"/>
      <c r="V91" s="15">
        <f t="shared" si="19"/>
        <v>5.4650392664315124</v>
      </c>
      <c r="W91" s="15">
        <f t="shared" si="32"/>
        <v>3.394714041421333E-5</v>
      </c>
      <c r="X91" s="15">
        <f t="shared" si="33"/>
        <v>1.5229743052858069E-4</v>
      </c>
      <c r="Y91" s="13">
        <f t="shared" si="34"/>
        <v>1.3514813214348866</v>
      </c>
      <c r="Z91" s="13">
        <f t="shared" si="35"/>
        <v>77.434175808982403</v>
      </c>
      <c r="AA91" s="13">
        <f t="shared" si="36"/>
        <v>282.56582419101761</v>
      </c>
      <c r="AB91" s="13">
        <v>120</v>
      </c>
      <c r="AC91" s="13">
        <v>13</v>
      </c>
      <c r="AD91" s="13">
        <f t="shared" si="20"/>
        <v>4</v>
      </c>
      <c r="AE91" s="16">
        <f t="shared" si="21"/>
        <v>162.56582419101761</v>
      </c>
      <c r="AF91" s="15">
        <f t="shared" si="61"/>
        <v>0.20750452775099135</v>
      </c>
      <c r="AG91" s="366"/>
      <c r="AH91" s="331"/>
      <c r="AI91" s="339"/>
      <c r="AJ91" s="13">
        <f t="shared" si="62"/>
        <v>1.3327589504902535</v>
      </c>
      <c r="AK91" s="13">
        <f t="shared" si="22"/>
        <v>-3.999999999999998E-2</v>
      </c>
      <c r="AL91" s="15">
        <f t="shared" si="84"/>
        <v>18.610006994007279</v>
      </c>
      <c r="AM91" s="15">
        <f t="shared" si="23"/>
        <v>-0.99210613559797622</v>
      </c>
      <c r="AN91" s="15">
        <f t="shared" si="63"/>
        <v>10.519737368330562</v>
      </c>
      <c r="AO91" s="15">
        <f t="shared" si="24"/>
        <v>5.4113529022692406</v>
      </c>
      <c r="AP91" s="15">
        <f t="shared" si="25"/>
        <v>0.20546608610417877</v>
      </c>
      <c r="AQ91" s="20">
        <f t="shared" si="64"/>
        <v>5.049605306779073E-2</v>
      </c>
      <c r="AR91" s="13">
        <f t="shared" si="65"/>
        <v>322071152.91309029</v>
      </c>
      <c r="AS91" s="13">
        <f t="shared" si="26"/>
        <v>1.770812602757919E-3</v>
      </c>
      <c r="AT91" s="15">
        <f t="shared" si="66"/>
        <v>868.75698850092658</v>
      </c>
      <c r="AU91" s="13">
        <f t="shared" si="67"/>
        <v>32171.381063311226</v>
      </c>
      <c r="AV91" s="339"/>
      <c r="AW91" s="339"/>
      <c r="AX91" s="339"/>
      <c r="AY91" s="339"/>
      <c r="AZ91" s="339"/>
      <c r="BA91" s="331"/>
      <c r="BB91" s="331"/>
      <c r="BC91" s="331"/>
      <c r="BD91" s="339"/>
      <c r="BE91" s="339"/>
      <c r="BF91" s="339"/>
      <c r="BG91" s="339"/>
      <c r="BH91" s="337"/>
      <c r="BI91" s="331"/>
      <c r="BJ91" s="331"/>
      <c r="BK91" s="331"/>
      <c r="BL91" s="23">
        <f t="shared" si="68"/>
        <v>-7.2556173071499461E-2</v>
      </c>
      <c r="BM91" s="24">
        <f t="shared" si="69"/>
        <v>8791.8466214373875</v>
      </c>
      <c r="BN91" s="24">
        <f t="shared" si="70"/>
        <v>10661.636026780117</v>
      </c>
      <c r="BO91" s="24">
        <f t="shared" si="71"/>
        <v>87.343574313267453</v>
      </c>
      <c r="BP91" s="24">
        <f t="shared" si="27"/>
        <v>100.44511046025757</v>
      </c>
      <c r="BQ91" s="23">
        <f t="shared" si="28"/>
        <v>543.5439400078692</v>
      </c>
      <c r="BR91" s="23">
        <f t="shared" si="72"/>
        <v>3.8678956284765285</v>
      </c>
      <c r="BS91" s="6">
        <f t="shared" si="73"/>
        <v>1309.9912112425793</v>
      </c>
      <c r="BT91" s="23">
        <f t="shared" si="74"/>
        <v>1336.7257257577339</v>
      </c>
      <c r="BU91" s="22">
        <f t="shared" si="75"/>
        <v>1705.0073032624157</v>
      </c>
      <c r="BV91" s="22">
        <f t="shared" si="76"/>
        <v>81.190823964876941</v>
      </c>
      <c r="BW91" s="23">
        <f t="shared" si="77"/>
        <v>1.542842815655854E-2</v>
      </c>
      <c r="BX91" s="331"/>
      <c r="BY91" s="361"/>
      <c r="BZ91" s="361"/>
      <c r="CA91" s="361"/>
    </row>
    <row r="92" spans="3:79" ht="15.75" x14ac:dyDescent="0.3">
      <c r="C92" s="13"/>
      <c r="D92" s="379"/>
      <c r="E92" s="379"/>
      <c r="F92" s="19" t="s">
        <v>128</v>
      </c>
      <c r="G92" s="256"/>
      <c r="H92" s="55">
        <v>0.69583333333333297</v>
      </c>
      <c r="I92" s="13">
        <v>-8.5836089999999992</v>
      </c>
      <c r="J92" s="13">
        <v>115.7163</v>
      </c>
      <c r="K92" s="13">
        <f t="shared" si="17"/>
        <v>-0.14981223875381794</v>
      </c>
      <c r="L92" s="13">
        <f t="shared" si="17"/>
        <v>2.0196304332255144</v>
      </c>
      <c r="M92" s="13">
        <v>3443</v>
      </c>
      <c r="N92" s="71">
        <f t="shared" si="30"/>
        <v>0.45467216042567871</v>
      </c>
      <c r="O92" s="339"/>
      <c r="P92" s="339"/>
      <c r="Q92" s="437"/>
      <c r="R92" s="15">
        <f t="shared" si="31"/>
        <v>4.9999999999991829E-2</v>
      </c>
      <c r="S92" s="331"/>
      <c r="T92" s="20">
        <f t="shared" si="18"/>
        <v>9.09344320851506</v>
      </c>
      <c r="U92" s="347"/>
      <c r="V92" s="15">
        <f t="shared" si="19"/>
        <v>4.6776671864601465</v>
      </c>
      <c r="W92" s="15">
        <f t="shared" si="32"/>
        <v>1.7900294576771265E-5</v>
      </c>
      <c r="X92" s="15">
        <f t="shared" si="33"/>
        <v>1.3234831717889861E-4</v>
      </c>
      <c r="Y92" s="13">
        <f t="shared" si="34"/>
        <v>1.4363607113549088</v>
      </c>
      <c r="Z92" s="13">
        <f t="shared" si="35"/>
        <v>82.297406619044935</v>
      </c>
      <c r="AA92" s="13">
        <f t="shared" si="36"/>
        <v>277.70259338095508</v>
      </c>
      <c r="AB92" s="13">
        <v>120</v>
      </c>
      <c r="AC92" s="13">
        <v>13</v>
      </c>
      <c r="AD92" s="13">
        <f t="shared" si="20"/>
        <v>4</v>
      </c>
      <c r="AE92" s="16">
        <f t="shared" si="21"/>
        <v>157.70259338095508</v>
      </c>
      <c r="AF92" s="15">
        <f t="shared" si="61"/>
        <v>0.17760844399870426</v>
      </c>
      <c r="AG92" s="366"/>
      <c r="AH92" s="331"/>
      <c r="AI92" s="339"/>
      <c r="AJ92" s="13">
        <f t="shared" si="62"/>
        <v>1.5769295484009602</v>
      </c>
      <c r="AK92" s="13">
        <f t="shared" si="22"/>
        <v>-3.999999999999998E-2</v>
      </c>
      <c r="AL92" s="15">
        <f t="shared" si="84"/>
        <v>18.610006994007279</v>
      </c>
      <c r="AM92" s="15">
        <f t="shared" si="23"/>
        <v>-1.1738667969919439</v>
      </c>
      <c r="AN92" s="15">
        <f t="shared" si="63"/>
        <v>8.9879368026540849</v>
      </c>
      <c r="AO92" s="15">
        <f t="shared" si="24"/>
        <v>4.6233946912852613</v>
      </c>
      <c r="AP92" s="15">
        <f t="shared" si="25"/>
        <v>0.17554774728051104</v>
      </c>
      <c r="AQ92" s="20">
        <f t="shared" si="64"/>
        <v>5.0586933398487702E-2</v>
      </c>
      <c r="AR92" s="13">
        <f t="shared" si="65"/>
        <v>275173710.80530894</v>
      </c>
      <c r="AS92" s="13">
        <f t="shared" si="26"/>
        <v>1.8086000721283782E-3</v>
      </c>
      <c r="AT92" s="15">
        <f t="shared" si="66"/>
        <v>647.7068289415397</v>
      </c>
      <c r="AU92" s="13">
        <f t="shared" si="67"/>
        <v>23985.560389152473</v>
      </c>
      <c r="AV92" s="339"/>
      <c r="AW92" s="339"/>
      <c r="AX92" s="339"/>
      <c r="AY92" s="339"/>
      <c r="AZ92" s="339"/>
      <c r="BA92" s="331"/>
      <c r="BB92" s="331"/>
      <c r="BC92" s="331"/>
      <c r="BD92" s="339"/>
      <c r="BE92" s="339"/>
      <c r="BF92" s="339"/>
      <c r="BG92" s="339"/>
      <c r="BH92" s="337"/>
      <c r="BI92" s="331"/>
      <c r="BJ92" s="331"/>
      <c r="BK92" s="331"/>
      <c r="BL92" s="23">
        <f t="shared" si="68"/>
        <v>-3.0209386380504983E-2</v>
      </c>
      <c r="BM92" s="24">
        <f t="shared" si="69"/>
        <v>1813.6398536985123</v>
      </c>
      <c r="BN92" s="24">
        <f t="shared" si="70"/>
        <v>7782.7678707187424</v>
      </c>
      <c r="BO92" s="24">
        <f t="shared" si="71"/>
        <v>60.212260685550653</v>
      </c>
      <c r="BP92" s="24">
        <f t="shared" si="27"/>
        <v>69.244099788383252</v>
      </c>
      <c r="BQ92" s="23">
        <f t="shared" si="28"/>
        <v>320.14280336443801</v>
      </c>
      <c r="BR92" s="23">
        <f t="shared" si="72"/>
        <v>3.3046834013809612</v>
      </c>
      <c r="BS92" s="6">
        <f t="shared" si="73"/>
        <v>771.57379170468425</v>
      </c>
      <c r="BT92" s="23">
        <f t="shared" si="74"/>
        <v>787.32019561702475</v>
      </c>
      <c r="BU92" s="22">
        <f t="shared" si="75"/>
        <v>1004.2349433890622</v>
      </c>
      <c r="BV92" s="22">
        <f t="shared" si="76"/>
        <v>47.820711589955344</v>
      </c>
      <c r="BW92" s="23">
        <f t="shared" si="77"/>
        <v>9.1035689826200542E-3</v>
      </c>
      <c r="BX92" s="331"/>
      <c r="BY92" s="361"/>
      <c r="BZ92" s="361"/>
      <c r="CA92" s="361"/>
    </row>
    <row r="93" spans="3:79" ht="15.75" x14ac:dyDescent="0.3">
      <c r="C93" s="13"/>
      <c r="D93" s="379"/>
      <c r="E93" s="379"/>
      <c r="F93" s="19" t="s">
        <v>128</v>
      </c>
      <c r="G93" s="256"/>
      <c r="H93" s="55">
        <v>0.69791666666666696</v>
      </c>
      <c r="I93" s="13">
        <v>-8.5830190000000002</v>
      </c>
      <c r="J93" s="13">
        <v>115.709739</v>
      </c>
      <c r="K93" s="13">
        <f t="shared" si="17"/>
        <v>-0.14980194131123117</v>
      </c>
      <c r="L93" s="13">
        <f t="shared" si="17"/>
        <v>2.0195159221732908</v>
      </c>
      <c r="M93" s="13">
        <v>3443</v>
      </c>
      <c r="N93" s="71">
        <f t="shared" si="30"/>
        <v>0.39145462614414622</v>
      </c>
      <c r="O93" s="339"/>
      <c r="P93" s="339"/>
      <c r="Q93" s="437"/>
      <c r="R93" s="15">
        <f t="shared" si="31"/>
        <v>5.000000000001581E-2</v>
      </c>
      <c r="S93" s="331"/>
      <c r="T93" s="20">
        <f t="shared" si="18"/>
        <v>7.8290925228804493</v>
      </c>
      <c r="U93" s="347"/>
      <c r="V93" s="15">
        <f t="shared" si="19"/>
        <v>4.0272851937697025</v>
      </c>
      <c r="W93" s="15">
        <f t="shared" si="32"/>
        <v>1.0415336652164202E-5</v>
      </c>
      <c r="X93" s="15">
        <f t="shared" si="33"/>
        <v>1.1451105222359814E-4</v>
      </c>
      <c r="Y93" s="13">
        <f t="shared" si="34"/>
        <v>1.4800910464644998</v>
      </c>
      <c r="Z93" s="13">
        <f t="shared" si="35"/>
        <v>84.802970257517273</v>
      </c>
      <c r="AA93" s="13">
        <f t="shared" si="36"/>
        <v>275.19702974248275</v>
      </c>
      <c r="AB93" s="13">
        <v>120</v>
      </c>
      <c r="AC93" s="13">
        <v>13</v>
      </c>
      <c r="AD93" s="13">
        <f t="shared" si="20"/>
        <v>4</v>
      </c>
      <c r="AE93" s="16">
        <f t="shared" si="21"/>
        <v>155.19702974248275</v>
      </c>
      <c r="AF93" s="15">
        <f t="shared" si="61"/>
        <v>0.15291379832983576</v>
      </c>
      <c r="AG93" s="366"/>
      <c r="AH93" s="331"/>
      <c r="AI93" s="339"/>
      <c r="AJ93" s="13">
        <f t="shared" si="62"/>
        <v>1.7629804414315786</v>
      </c>
      <c r="AK93" s="13">
        <f t="shared" si="22"/>
        <v>-3.999999999999998E-2</v>
      </c>
      <c r="AL93" s="15">
        <f t="shared" si="84"/>
        <v>18.610006994007279</v>
      </c>
      <c r="AM93" s="15">
        <f t="shared" si="23"/>
        <v>-1.3123631338135882</v>
      </c>
      <c r="AN93" s="15">
        <f t="shared" si="63"/>
        <v>7.7276773344431477</v>
      </c>
      <c r="AO93" s="15">
        <f t="shared" si="24"/>
        <v>3.9751172208375549</v>
      </c>
      <c r="AP93" s="15">
        <f t="shared" si="25"/>
        <v>0.15093300916085323</v>
      </c>
      <c r="AQ93" s="20">
        <f t="shared" si="64"/>
        <v>5.0656181566922816E-2</v>
      </c>
      <c r="AR93" s="13">
        <f t="shared" si="65"/>
        <v>236589741.86343524</v>
      </c>
      <c r="AS93" s="13">
        <f t="shared" si="26"/>
        <v>1.8460255279084605E-3</v>
      </c>
      <c r="AT93" s="15">
        <f t="shared" si="66"/>
        <v>488.71039245486782</v>
      </c>
      <c r="AU93" s="13">
        <f t="shared" si="67"/>
        <v>18097.682635503963</v>
      </c>
      <c r="AV93" s="339"/>
      <c r="AW93" s="339"/>
      <c r="AX93" s="339"/>
      <c r="AY93" s="339"/>
      <c r="AZ93" s="339"/>
      <c r="BA93" s="331"/>
      <c r="BB93" s="331"/>
      <c r="BC93" s="331"/>
      <c r="BD93" s="339"/>
      <c r="BE93" s="339"/>
      <c r="BF93" s="339"/>
      <c r="BG93" s="339"/>
      <c r="BH93" s="337"/>
      <c r="BI93" s="331"/>
      <c r="BJ93" s="331"/>
      <c r="BK93" s="331"/>
      <c r="BL93" s="23">
        <f t="shared" si="68"/>
        <v>-9.6161794359761084E-3</v>
      </c>
      <c r="BM93" s="24">
        <f t="shared" si="69"/>
        <v>339.57898914951369</v>
      </c>
      <c r="BN93" s="24">
        <f t="shared" si="70"/>
        <v>5753.2337203133648</v>
      </c>
      <c r="BO93" s="24">
        <f t="shared" si="71"/>
        <v>44.283692069955215</v>
      </c>
      <c r="BP93" s="24">
        <f t="shared" si="27"/>
        <v>50.926245880448498</v>
      </c>
      <c r="BQ93" s="23">
        <f t="shared" si="28"/>
        <v>202.43779699197842</v>
      </c>
      <c r="BR93" s="23">
        <f t="shared" si="72"/>
        <v>2.8413113686804139</v>
      </c>
      <c r="BS93" s="6">
        <f t="shared" si="73"/>
        <v>487.89383040304318</v>
      </c>
      <c r="BT93" s="23">
        <f t="shared" si="74"/>
        <v>497.85084735004409</v>
      </c>
      <c r="BU93" s="22">
        <f t="shared" si="75"/>
        <v>635.01383590566854</v>
      </c>
      <c r="BV93" s="22">
        <f t="shared" si="76"/>
        <v>30.238754090746124</v>
      </c>
      <c r="BW93" s="23">
        <f t="shared" si="77"/>
        <v>5.7643938095109041E-3</v>
      </c>
      <c r="BX93" s="331"/>
      <c r="BY93" s="361"/>
      <c r="BZ93" s="361"/>
      <c r="CA93" s="361"/>
    </row>
    <row r="94" spans="3:79" ht="15.75" x14ac:dyDescent="0.3">
      <c r="C94" s="13"/>
      <c r="D94" s="379"/>
      <c r="E94" s="379"/>
      <c r="F94" s="19" t="s">
        <v>128</v>
      </c>
      <c r="G94" s="257"/>
      <c r="H94" s="55">
        <v>0.7</v>
      </c>
      <c r="I94" s="13">
        <v>-8.5820410000000003</v>
      </c>
      <c r="J94" s="13">
        <v>115.700581</v>
      </c>
      <c r="K94" s="13">
        <f t="shared" si="17"/>
        <v>-0.14978487199114668</v>
      </c>
      <c r="L94" s="13">
        <f t="shared" si="17"/>
        <v>2.0193560849203935</v>
      </c>
      <c r="M94" s="13">
        <v>3443</v>
      </c>
      <c r="N94" s="71">
        <f t="shared" si="30"/>
        <v>0.54732154242179065</v>
      </c>
      <c r="O94" s="339"/>
      <c r="P94" s="339"/>
      <c r="Q94" s="437"/>
      <c r="R94" s="15">
        <f t="shared" si="31"/>
        <v>4.9999999999991829E-2</v>
      </c>
      <c r="S94" s="331"/>
      <c r="T94" s="20">
        <f t="shared" si="18"/>
        <v>10.946430848437602</v>
      </c>
      <c r="U94" s="347"/>
      <c r="V94" s="15">
        <f t="shared" si="19"/>
        <v>5.6308440284363019</v>
      </c>
      <c r="W94" s="15">
        <f t="shared" si="32"/>
        <v>1.726470863667659E-5</v>
      </c>
      <c r="X94" s="15">
        <f t="shared" si="33"/>
        <v>1.598372528972547E-4</v>
      </c>
      <c r="Y94" s="13">
        <f t="shared" si="34"/>
        <v>1.4631991834535849</v>
      </c>
      <c r="Z94" s="13">
        <f t="shared" si="35"/>
        <v>83.835137798878691</v>
      </c>
      <c r="AA94" s="13">
        <f t="shared" si="36"/>
        <v>276.16486220112131</v>
      </c>
      <c r="AB94" s="13">
        <v>120</v>
      </c>
      <c r="AC94" s="13">
        <v>13</v>
      </c>
      <c r="AD94" s="13">
        <f t="shared" si="20"/>
        <v>4</v>
      </c>
      <c r="AE94" s="16">
        <f t="shared" si="21"/>
        <v>156.16486220112131</v>
      </c>
      <c r="AF94" s="15">
        <f t="shared" si="61"/>
        <v>0.21380004314646164</v>
      </c>
      <c r="AG94" s="366"/>
      <c r="AH94" s="331"/>
      <c r="AI94" s="339"/>
      <c r="AJ94" s="13">
        <f t="shared" si="62"/>
        <v>1.2786985223447174</v>
      </c>
      <c r="AK94" s="13">
        <f t="shared" si="22"/>
        <v>-3.999999999999998E-2</v>
      </c>
      <c r="AL94" s="15">
        <f t="shared" si="84"/>
        <v>18.610006994007279</v>
      </c>
      <c r="AM94" s="15">
        <f t="shared" si="23"/>
        <v>-0.95186353776247801</v>
      </c>
      <c r="AN94" s="15">
        <f t="shared" si="63"/>
        <v>10.843218207995669</v>
      </c>
      <c r="AO94" s="15">
        <f t="shared" si="24"/>
        <v>5.5777514461929716</v>
      </c>
      <c r="AP94" s="15">
        <f t="shared" si="25"/>
        <v>0.21178414707172463</v>
      </c>
      <c r="AQ94" s="20">
        <f t="shared" si="64"/>
        <v>5.0475931768872995E-2</v>
      </c>
      <c r="AR94" s="13">
        <f t="shared" si="65"/>
        <v>331974807.66495496</v>
      </c>
      <c r="AS94" s="13">
        <f t="shared" si="26"/>
        <v>1.7636762236937868E-3</v>
      </c>
      <c r="AT94" s="15">
        <f t="shared" si="66"/>
        <v>919.28710298331487</v>
      </c>
      <c r="AU94" s="13">
        <f t="shared" si="67"/>
        <v>34042.587384184371</v>
      </c>
      <c r="AV94" s="339"/>
      <c r="AW94" s="339"/>
      <c r="AX94" s="339"/>
      <c r="AY94" s="339"/>
      <c r="AZ94" s="339"/>
      <c r="BA94" s="331"/>
      <c r="BB94" s="331"/>
      <c r="BC94" s="331"/>
      <c r="BD94" s="339"/>
      <c r="BE94" s="339"/>
      <c r="BF94" s="339"/>
      <c r="BG94" s="339"/>
      <c r="BH94" s="337"/>
      <c r="BI94" s="331"/>
      <c r="BJ94" s="331"/>
      <c r="BK94" s="331"/>
      <c r="BL94" s="23">
        <f t="shared" si="68"/>
        <v>-8.339470135784556E-2</v>
      </c>
      <c r="BM94" s="24">
        <f t="shared" si="69"/>
        <v>11634.424119233137</v>
      </c>
      <c r="BN94" s="24">
        <f t="shared" si="70"/>
        <v>11327.405619974983</v>
      </c>
      <c r="BO94" s="24">
        <f t="shared" si="71"/>
        <v>94.800659831069765</v>
      </c>
      <c r="BP94" s="24">
        <f t="shared" si="27"/>
        <v>109.02075880573022</v>
      </c>
      <c r="BQ94" s="23">
        <f t="shared" si="28"/>
        <v>608.09069509371693</v>
      </c>
      <c r="BR94" s="23">
        <f t="shared" si="72"/>
        <v>3.9868330203360687</v>
      </c>
      <c r="BS94" s="6">
        <f t="shared" si="73"/>
        <v>1465.5548660879699</v>
      </c>
      <c r="BT94" s="23">
        <f t="shared" si="74"/>
        <v>1495.4641490693571</v>
      </c>
      <c r="BU94" s="22">
        <f t="shared" si="75"/>
        <v>1907.4797819762207</v>
      </c>
      <c r="BV94" s="22">
        <f t="shared" si="76"/>
        <v>90.832370570296234</v>
      </c>
      <c r="BW94" s="23">
        <f t="shared" si="77"/>
        <v>1.7253702023136131E-2</v>
      </c>
      <c r="BX94" s="331"/>
      <c r="BY94" s="362"/>
      <c r="BZ94" s="362"/>
      <c r="CA94" s="362"/>
    </row>
    <row r="95" spans="3:79" ht="15.75" x14ac:dyDescent="0.3">
      <c r="C95" s="13">
        <v>10</v>
      </c>
      <c r="D95" s="379"/>
      <c r="E95" s="379"/>
      <c r="F95" s="19" t="s">
        <v>128</v>
      </c>
      <c r="G95" s="255">
        <v>0.70138888888888895</v>
      </c>
      <c r="H95" s="54">
        <v>0.70138888888888895</v>
      </c>
      <c r="I95" s="13">
        <v>-8.5814090000000007</v>
      </c>
      <c r="J95" s="13">
        <v>115.69404299999999</v>
      </c>
      <c r="K95" s="13">
        <f t="shared" si="17"/>
        <v>-0.14977384151027409</v>
      </c>
      <c r="L95" s="13">
        <f t="shared" si="17"/>
        <v>2.0192419752938977</v>
      </c>
      <c r="M95" s="13">
        <v>3443</v>
      </c>
      <c r="N95" s="71">
        <f t="shared" si="30"/>
        <v>0.39033272701185834</v>
      </c>
      <c r="O95" s="398"/>
      <c r="P95" s="398"/>
      <c r="Q95" s="437"/>
      <c r="R95" s="15">
        <f t="shared" si="31"/>
        <v>3.3333333333335879E-2</v>
      </c>
      <c r="S95" s="358"/>
      <c r="T95" s="20">
        <f t="shared" si="18"/>
        <v>11.709981810354856</v>
      </c>
      <c r="U95" s="348"/>
      <c r="V95" s="15">
        <f t="shared" si="19"/>
        <v>6.0236146432465372</v>
      </c>
      <c r="W95" s="15">
        <f t="shared" si="32"/>
        <v>1.1156720447492811E-5</v>
      </c>
      <c r="X95" s="15">
        <f t="shared" si="33"/>
        <v>1.1410962649582856E-4</v>
      </c>
      <c r="Y95" s="13">
        <f t="shared" si="34"/>
        <v>1.4733341497280945</v>
      </c>
      <c r="Z95" s="13">
        <f t="shared" si="35"/>
        <v>84.415828591915528</v>
      </c>
      <c r="AA95" s="13">
        <f t="shared" si="36"/>
        <v>275.58417140808444</v>
      </c>
      <c r="AB95" s="13">
        <v>120</v>
      </c>
      <c r="AC95" s="13">
        <v>13</v>
      </c>
      <c r="AD95" s="13">
        <f t="shared" si="20"/>
        <v>4</v>
      </c>
      <c r="AE95" s="16">
        <f t="shared" si="21"/>
        <v>155.58417140808444</v>
      </c>
      <c r="AF95" s="15">
        <f t="shared" ref="AF95:AF126" si="103">V95/((9.81*$D$3)^0.5)</f>
        <v>0.22871332683342083</v>
      </c>
      <c r="AG95" s="366"/>
      <c r="AH95" s="331"/>
      <c r="AI95" s="339"/>
      <c r="AJ95" s="13">
        <f t="shared" ref="AJ95:AJ126" si="104">IF(AND(F95="NORMAL",AND($D$6&gt;=0.55,$D$6&lt;0.6)),1.7-1.4*AF95-7.4*AF95^2,IF(AND(F95="NORMAL",AND($D$6&gt;=0.6,$D$6&lt;0.65)),2.2-2.5*AF95-9.7*AF95^2,IF(AND(F95="NORMAL",AND($D$6&gt;=0.65,$D$6&lt;0.7)),2.6-3.7*AF95-11.6*AF95^2,IF(AND(F95="NORMAL",AND($D$6&gt;=0.7,$D$6&lt;0.75)),3.1-5.3*AF95-12.4*AF95^2,IF(AND(F95="NORMAL OR LOADED",AND($D$6&gt;=0.75,$D$6&lt;0.8)),2.4-10.6*AF95-9.5*AF95^2,IF(AND(F95="NORMAL OR LOADED",AND($D$6&gt;=0.8,$D$6&lt;0.85)),2.6-13.1*AF95-15.1*AF95^2,IF(AND(F95="NORMAL OR LOADED",AND($D$6&gt;=0.85,$D$6&lt;0.9)),3.1-18.7*AF95+28*AF95^2,IF(AND(F95="BALLAST",AND($D$6&gt;=0.75,$D$6&lt;0.8)),2.6-12.5*AF95-13.5*AF95^2,IF(AND(F95="BALLAST",AND($D$6&gt;=0.8,$D$6&lt;0.85)),IF(AND(F95="BALLAST",AND($D$6&gt;=0.85,$D$6&lt;0.9)),3.4-20.9*AF95+31.8*AF95^2))))))))))</f>
        <v>1.1469671746102934</v>
      </c>
      <c r="AK95" s="13">
        <f t="shared" si="22"/>
        <v>-3.999999999999998E-2</v>
      </c>
      <c r="AL95" s="15">
        <f t="shared" si="84"/>
        <v>18.610006994007279</v>
      </c>
      <c r="AM95" s="15">
        <f t="shared" si="23"/>
        <v>-0.85380268565577266</v>
      </c>
      <c r="AN95" s="15">
        <f t="shared" ref="AN95:AN126" si="105">T95/(1-(0.01*AM95))</f>
        <v>11.610848077640549</v>
      </c>
      <c r="AO95" s="15">
        <f t="shared" si="24"/>
        <v>5.9726202511382978</v>
      </c>
      <c r="AP95" s="15">
        <f t="shared" si="25"/>
        <v>0.22677709788125841</v>
      </c>
      <c r="AQ95" s="20">
        <f t="shared" ref="AQ95:AQ126" si="106">N95/AN95</f>
        <v>3.361793422855449E-2</v>
      </c>
      <c r="AR95" s="13">
        <f t="shared" ref="AR95:AR126" si="107">(AO95*$D$3)/$U$3</f>
        <v>355476481.5633297</v>
      </c>
      <c r="AS95" s="13">
        <f t="shared" si="26"/>
        <v>1.7477171222670641E-3</v>
      </c>
      <c r="AT95" s="15">
        <f t="shared" ref="AT95:AT126" si="108">0.5*1024*(AO95^2)*$W$5*$W$6*AS95</f>
        <v>1044.5156180084969</v>
      </c>
      <c r="AU95" s="13">
        <f t="shared" ref="AU95:AU126" si="109">0.5*1024*AS95*$U$10*(AO95)^2</f>
        <v>38679.988095998531</v>
      </c>
      <c r="AV95" s="339"/>
      <c r="AW95" s="339"/>
      <c r="AX95" s="339"/>
      <c r="AY95" s="339"/>
      <c r="AZ95" s="339"/>
      <c r="BA95" s="331"/>
      <c r="BB95" s="331"/>
      <c r="BC95" s="331"/>
      <c r="BD95" s="339"/>
      <c r="BE95" s="339"/>
      <c r="BF95" s="339"/>
      <c r="BG95" s="339"/>
      <c r="BH95" s="337"/>
      <c r="BI95" s="331"/>
      <c r="BJ95" s="331"/>
      <c r="BK95" s="331"/>
      <c r="BL95" s="23">
        <f t="shared" ref="BL95:BL126" si="110">$BI$31*($G$6^2)*EXP(-0.1*(AP95^-2))</f>
        <v>-0.11090145563880269</v>
      </c>
      <c r="BM95" s="24">
        <f t="shared" ref="BM95:BM126" si="111">$BC$31*$BD$31*$BG$31*($D$3*$D$4*$AI$31*$AH$31)*1025*9.81*(EXP(($BK$31*(AP95^-0.9))+(BL95*COS($Y$10*(AP95^-2)))))</f>
        <v>21156.392201530936</v>
      </c>
      <c r="BN95" s="24">
        <f t="shared" ref="BN95:BN126" si="112">0.5*1025*(AO95^2)*$AY$31*$W$3</f>
        <v>12987.989902555113</v>
      </c>
      <c r="BO95" s="24">
        <f t="shared" ref="BO95:BO126" si="113">((AU95*$U$8)+AT95+BM95+BN95)/1000</f>
        <v>115.76934971963864</v>
      </c>
      <c r="BP95" s="24">
        <f t="shared" si="27"/>
        <v>133.13475217758443</v>
      </c>
      <c r="BQ95" s="23">
        <f t="shared" si="28"/>
        <v>795.16331698611941</v>
      </c>
      <c r="BR95" s="23">
        <f t="shared" ref="BR95:BR126" si="114">(1-$AJ$5)*AO95</f>
        <v>4.2690750681295704</v>
      </c>
      <c r="BS95" s="6">
        <f t="shared" ref="BS95:BS126" si="115">BQ95/$AJ$11</f>
        <v>1916.417202147876</v>
      </c>
      <c r="BT95" s="23">
        <f t="shared" ref="BT95:BT126" si="116">BS95/$AO$5</f>
        <v>1955.5277572937509</v>
      </c>
      <c r="BU95" s="22">
        <f t="shared" ref="BU95:BU126" si="117">((BT95/$AO$6)/80%)</f>
        <v>2494.2956087930497</v>
      </c>
      <c r="BV95" s="22">
        <f t="shared" ref="BV95:BV126" si="118">(BU95/$AK$19)*100</f>
        <v>118.77598137109761</v>
      </c>
      <c r="BW95" s="23">
        <f t="shared" si="77"/>
        <v>1.5026469377557484E-2</v>
      </c>
      <c r="BX95" s="331"/>
      <c r="BY95" s="360">
        <f t="shared" ref="BY95" si="119">SUM(BW96:BW101)*1000</f>
        <v>62.981195258731042</v>
      </c>
      <c r="BZ95" s="360">
        <v>60</v>
      </c>
      <c r="CA95" s="360">
        <f t="shared" ref="CA95" si="120">AVERAGE(AN95:AN101)</f>
        <v>9.645384390578684</v>
      </c>
    </row>
    <row r="96" spans="3:79" ht="15.75" x14ac:dyDescent="0.3">
      <c r="C96" s="13"/>
      <c r="D96" s="379"/>
      <c r="E96" s="379"/>
      <c r="F96" s="19" t="s">
        <v>128</v>
      </c>
      <c r="G96" s="256"/>
      <c r="H96" s="54">
        <v>0.70347222222222217</v>
      </c>
      <c r="I96" s="13">
        <v>-8.5810200000000005</v>
      </c>
      <c r="J96" s="13">
        <v>115.68605700000001</v>
      </c>
      <c r="K96" s="13">
        <f t="shared" ref="K96:L150" si="121">RADIANS(I96)</f>
        <v>-0.14976705217948383</v>
      </c>
      <c r="L96" s="13">
        <f t="shared" si="121"/>
        <v>2.0191025932998339</v>
      </c>
      <c r="M96" s="13">
        <v>3443</v>
      </c>
      <c r="N96" s="71">
        <f t="shared" si="30"/>
        <v>0.47509539685502394</v>
      </c>
      <c r="O96" s="357">
        <f t="shared" ref="O96" si="122">SUM(N96:N102)</f>
        <v>3.1803265711998292</v>
      </c>
      <c r="P96" s="338">
        <v>3.2</v>
      </c>
      <c r="Q96" s="437">
        <f t="shared" ref="Q96" si="123">ABS((O96-P96)/P96*100%)</f>
        <v>6.1479465000534306E-3</v>
      </c>
      <c r="R96" s="15">
        <f t="shared" si="31"/>
        <v>4.9999999999997158E-2</v>
      </c>
      <c r="S96" s="357">
        <f t="shared" ref="S96" si="124">SUM(R96:R102)</f>
        <v>0.3333333333333135</v>
      </c>
      <c r="T96" s="20">
        <f t="shared" ref="T96:T150" si="125">N96/R96</f>
        <v>9.5019079371010182</v>
      </c>
      <c r="U96" s="346">
        <f t="shared" ref="U96" si="126">AVERAGE(T96:T102)</f>
        <v>9.5915521374035109</v>
      </c>
      <c r="V96" s="15">
        <f t="shared" ref="V96:V153" si="127">T96*0.5144</f>
        <v>4.8877814428447639</v>
      </c>
      <c r="W96" s="15">
        <f t="shared" si="32"/>
        <v>6.8670227643965949E-6</v>
      </c>
      <c r="X96" s="15">
        <f t="shared" si="33"/>
        <v>1.3938199406382523E-4</v>
      </c>
      <c r="Y96" s="13">
        <f t="shared" si="34"/>
        <v>1.5215684851502207</v>
      </c>
      <c r="Z96" s="13">
        <f t="shared" si="35"/>
        <v>87.17945243922172</v>
      </c>
      <c r="AA96" s="13">
        <f t="shared" si="36"/>
        <v>272.82054756077827</v>
      </c>
      <c r="AB96" s="13">
        <v>120</v>
      </c>
      <c r="AC96" s="13">
        <v>13</v>
      </c>
      <c r="AD96" s="13">
        <f t="shared" ref="AD96:AD150" si="128">IF(AC96&lt;=0.6,0,IF(AC96&lt;=3,1,IF(AC96&lt;=6.4,2,IF(AC96&lt;=10.6,3,IF(AC96&lt;=15.5,4,IF(AC96&lt;=21,5,IF(AC96&lt;=26.9,IF(AC96&lt;=33.4,7,8))))))))</f>
        <v>4</v>
      </c>
      <c r="AE96" s="16">
        <f t="shared" ref="AE96:AE150" si="129">IF(AND(AA96&lt;=AB96,AB96&gt;AA96,(AB96-AA96)&lt;=180),AB96-AA96,IF(AND(AA96&lt;=AB96,AB96&gt;AA96,(AB96-AA96)&gt;180),360-AB96+AA96,IF(AND(AA96&lt;=180,AB96&lt;AA96),AA96-AB96,IF(AND(AA96&gt;180,AB96&lt;AA96,(AA96-AB96)&lt;=180),AA96-AB96,IF(AND(AA96&gt;180,AB96&lt;AA96,(AA96-AB96)&gt;180),360-AA96+AB96,IF(AND(AA96&gt;180,AB96&gt;AA96),AB96-AA96,0))))))</f>
        <v>152.82054756077827</v>
      </c>
      <c r="AF96" s="15">
        <f t="shared" si="103"/>
        <v>0.18558636646536383</v>
      </c>
      <c r="AG96" s="366"/>
      <c r="AH96" s="331"/>
      <c r="AI96" s="339"/>
      <c r="AJ96" s="13">
        <f t="shared" si="104"/>
        <v>1.5137997708314848</v>
      </c>
      <c r="AK96" s="13">
        <f t="shared" ref="AK96:AK149" si="130">IF(AND(AE96&gt;=0,AE96&lt;=30),2/2,IF(AND(AE96&gt;=30,AE96&lt;=60),(1.7-0.03*(AD96-4)^2)/2,IF(AND(AE96&gt;=60,AE96&lt;=150),(0.9-0.06*(AD96-6)^2)/2,IF(AND(AE96&gt;=150,AE96&lt;=180),(0.4-0.03*(AD96-8)^2)/2))))</f>
        <v>-3.999999999999998E-2</v>
      </c>
      <c r="AL96" s="15">
        <f t="shared" si="84"/>
        <v>18.610006994007279</v>
      </c>
      <c r="AM96" s="15">
        <f t="shared" ref="AM96:AM149" si="131">AJ96*AK96*AL96</f>
        <v>-1.1268729729080214</v>
      </c>
      <c r="AN96" s="15">
        <f t="shared" si="105"/>
        <v>9.396026652229807</v>
      </c>
      <c r="AO96" s="15">
        <f t="shared" ref="AO96:AO149" si="132">AN96*0.5144</f>
        <v>4.8333161099070123</v>
      </c>
      <c r="AP96" s="15">
        <f t="shared" ref="AP96:AP149" si="133">AO96/((9.81*$D$3)^0.5)</f>
        <v>0.18351834780363729</v>
      </c>
      <c r="AQ96" s="20">
        <f t="shared" si="106"/>
        <v>5.0563436486451133E-2</v>
      </c>
      <c r="AR96" s="13">
        <f t="shared" si="107"/>
        <v>287667745.94545048</v>
      </c>
      <c r="AS96" s="13">
        <f t="shared" ref="AS96:AS149" si="134">0.075/((LOG(AR96)-2)^2)</f>
        <v>1.79781636572656E-3</v>
      </c>
      <c r="AT96" s="15">
        <f t="shared" si="108"/>
        <v>703.63870641222979</v>
      </c>
      <c r="AU96" s="13">
        <f t="shared" si="109"/>
        <v>26056.802137435789</v>
      </c>
      <c r="AV96" s="339"/>
      <c r="AW96" s="339"/>
      <c r="AX96" s="339"/>
      <c r="AY96" s="339"/>
      <c r="AZ96" s="339"/>
      <c r="BA96" s="331"/>
      <c r="BB96" s="331"/>
      <c r="BC96" s="331"/>
      <c r="BD96" s="339"/>
      <c r="BE96" s="339"/>
      <c r="BF96" s="339"/>
      <c r="BG96" s="339"/>
      <c r="BH96" s="337"/>
      <c r="BI96" s="331"/>
      <c r="BJ96" s="331"/>
      <c r="BK96" s="331"/>
      <c r="BL96" s="23">
        <f t="shared" si="110"/>
        <v>-3.9801434281464543E-2</v>
      </c>
      <c r="BM96" s="24">
        <f t="shared" si="111"/>
        <v>2882.7971967617782</v>
      </c>
      <c r="BN96" s="24">
        <f t="shared" si="112"/>
        <v>8505.5526491378914</v>
      </c>
      <c r="BO96" s="24">
        <f t="shared" si="113"/>
        <v>66.375068697891408</v>
      </c>
      <c r="BP96" s="24">
        <f t="shared" ref="BP96:BP150" si="135">BO96+(BO96*15%)</f>
        <v>76.331329002575117</v>
      </c>
      <c r="BQ96" s="23">
        <f t="shared" ref="BQ96:BQ150" si="136">BP96*AO96</f>
        <v>368.93344215875868</v>
      </c>
      <c r="BR96" s="23">
        <f t="shared" si="114"/>
        <v>3.4547298226872063</v>
      </c>
      <c r="BS96" s="6">
        <f t="shared" si="115"/>
        <v>889.16374774493738</v>
      </c>
      <c r="BT96" s="23">
        <f t="shared" si="116"/>
        <v>907.30994667850757</v>
      </c>
      <c r="BU96" s="22">
        <f t="shared" si="117"/>
        <v>1157.2830952531983</v>
      </c>
      <c r="BV96" s="22">
        <f t="shared" si="118"/>
        <v>55.108718821580872</v>
      </c>
      <c r="BW96" s="23">
        <f t="shared" ref="BW96:BW127" si="137">((($AK$21*BU96*AQ96)/1000000))</f>
        <v>1.0486104882835216E-2</v>
      </c>
      <c r="BX96" s="331"/>
      <c r="BY96" s="361"/>
      <c r="BZ96" s="361"/>
      <c r="CA96" s="361"/>
    </row>
    <row r="97" spans="3:79" ht="15.75" x14ac:dyDescent="0.3">
      <c r="C97" s="13"/>
      <c r="D97" s="379"/>
      <c r="E97" s="379"/>
      <c r="F97" s="19" t="s">
        <v>128</v>
      </c>
      <c r="G97" s="256"/>
      <c r="H97" s="54">
        <v>0.70555555555555505</v>
      </c>
      <c r="I97" s="13">
        <v>-8.5808350000000004</v>
      </c>
      <c r="J97" s="13">
        <v>115.678466</v>
      </c>
      <c r="K97" s="13">
        <f t="shared" si="121"/>
        <v>-0.14976382332036764</v>
      </c>
      <c r="L97" s="13">
        <f t="shared" si="121"/>
        <v>2.0189701053563147</v>
      </c>
      <c r="M97" s="13">
        <v>3443</v>
      </c>
      <c r="N97" s="71">
        <f t="shared" ref="N97:N150" si="138">2*M97*ASIN(((SIN((K97-K96)/2))^2+COS(K96)*COS(K97)*(SIN((L97-L96)/2))^2)^0.5)</f>
        <v>0.45118680479668366</v>
      </c>
      <c r="O97" s="339"/>
      <c r="P97" s="339"/>
      <c r="Q97" s="437"/>
      <c r="R97" s="15">
        <f t="shared" ref="R97:R150" si="139">(H97-H96)*24</f>
        <v>4.9999999999989164E-2</v>
      </c>
      <c r="S97" s="331"/>
      <c r="T97" s="20">
        <f t="shared" si="125"/>
        <v>9.0237360959356288</v>
      </c>
      <c r="U97" s="347"/>
      <c r="V97" s="15">
        <f t="shared" si="127"/>
        <v>4.6418098477492871</v>
      </c>
      <c r="W97" s="15">
        <f t="shared" ref="W97:W150" si="140">LN(TAN((K97/2)+(3.14/4))/(TAN((K96/2)+(3.14/4))))</f>
        <v>3.2658052594312065E-6</v>
      </c>
      <c r="X97" s="15">
        <f t="shared" ref="X97:X150" si="141">ABS(L96-L97)</f>
        <v>1.3248794351916615E-4</v>
      </c>
      <c r="Y97" s="13">
        <f t="shared" ref="Y97:Y150" si="142">ATAN2(W97,X97)</f>
        <v>1.5461514876951559</v>
      </c>
      <c r="Z97" s="13">
        <f t="shared" ref="Z97:Z150" si="143">DEGREES(Y97)</f>
        <v>88.587954732805869</v>
      </c>
      <c r="AA97" s="13">
        <f t="shared" ref="AA97:AA150" si="144">360-Z97</f>
        <v>271.41204526719412</v>
      </c>
      <c r="AB97" s="13">
        <v>120</v>
      </c>
      <c r="AC97" s="13">
        <v>13</v>
      </c>
      <c r="AD97" s="13">
        <f t="shared" si="128"/>
        <v>4</v>
      </c>
      <c r="AE97" s="16">
        <f t="shared" si="129"/>
        <v>151.41204526719412</v>
      </c>
      <c r="AF97" s="15">
        <f t="shared" si="103"/>
        <v>0.17624696061809852</v>
      </c>
      <c r="AG97" s="366"/>
      <c r="AH97" s="331"/>
      <c r="AI97" s="339"/>
      <c r="AJ97" s="13">
        <f t="shared" si="104"/>
        <v>1.5875555486384716</v>
      </c>
      <c r="AK97" s="13">
        <f t="shared" si="130"/>
        <v>-3.999999999999998E-2</v>
      </c>
      <c r="AL97" s="15">
        <f t="shared" si="84"/>
        <v>18.610006994007279</v>
      </c>
      <c r="AM97" s="15">
        <f t="shared" si="131"/>
        <v>-1.1817767945414801</v>
      </c>
      <c r="AN97" s="15">
        <f t="shared" si="105"/>
        <v>8.9183412090688243</v>
      </c>
      <c r="AO97" s="15">
        <f t="shared" si="132"/>
        <v>4.5875947179450032</v>
      </c>
      <c r="AP97" s="15">
        <f t="shared" si="133"/>
        <v>0.17418844203139816</v>
      </c>
      <c r="AQ97" s="20">
        <f t="shared" si="106"/>
        <v>5.0590888397259774E-2</v>
      </c>
      <c r="AR97" s="13">
        <f t="shared" si="107"/>
        <v>273042979.56375206</v>
      </c>
      <c r="AS97" s="13">
        <f t="shared" si="134"/>
        <v>1.8104978602007298E-3</v>
      </c>
      <c r="AT97" s="15">
        <f t="shared" si="108"/>
        <v>638.38415057053896</v>
      </c>
      <c r="AU97" s="13">
        <f t="shared" si="109"/>
        <v>23640.327553763509</v>
      </c>
      <c r="AV97" s="339"/>
      <c r="AW97" s="339"/>
      <c r="AX97" s="339"/>
      <c r="AY97" s="339"/>
      <c r="AZ97" s="339"/>
      <c r="BA97" s="331"/>
      <c r="BB97" s="331"/>
      <c r="BC97" s="331"/>
      <c r="BD97" s="339"/>
      <c r="BE97" s="339"/>
      <c r="BF97" s="339"/>
      <c r="BG97" s="339"/>
      <c r="BH97" s="337"/>
      <c r="BI97" s="331"/>
      <c r="BJ97" s="331"/>
      <c r="BK97" s="331"/>
      <c r="BL97" s="23">
        <f t="shared" si="110"/>
        <v>-2.8711852316243052E-2</v>
      </c>
      <c r="BM97" s="24">
        <f t="shared" si="111"/>
        <v>1670.1818144586441</v>
      </c>
      <c r="BN97" s="24">
        <f t="shared" si="112"/>
        <v>7662.7071009399542</v>
      </c>
      <c r="BO97" s="24">
        <f t="shared" si="113"/>
        <v>59.220209620045466</v>
      </c>
      <c r="BP97" s="24">
        <f t="shared" si="135"/>
        <v>68.10324106305228</v>
      </c>
      <c r="BQ97" s="23">
        <f t="shared" si="136"/>
        <v>312.43006897579386</v>
      </c>
      <c r="BR97" s="23">
        <f t="shared" si="114"/>
        <v>3.2790945028405809</v>
      </c>
      <c r="BS97" s="6">
        <f t="shared" si="115"/>
        <v>752.98538786078166</v>
      </c>
      <c r="BT97" s="23">
        <f t="shared" si="116"/>
        <v>768.35243659263438</v>
      </c>
      <c r="BU97" s="22">
        <f t="shared" si="117"/>
        <v>980.04137320489076</v>
      </c>
      <c r="BV97" s="22">
        <f t="shared" si="118"/>
        <v>46.668636819280515</v>
      </c>
      <c r="BW97" s="23">
        <f t="shared" si="137"/>
        <v>8.8849445415818459E-3</v>
      </c>
      <c r="BX97" s="331"/>
      <c r="BY97" s="361"/>
      <c r="BZ97" s="361"/>
      <c r="CA97" s="361"/>
    </row>
    <row r="98" spans="3:79" ht="15.75" x14ac:dyDescent="0.3">
      <c r="C98" s="13"/>
      <c r="D98" s="379"/>
      <c r="E98" s="379"/>
      <c r="F98" s="19" t="s">
        <v>128</v>
      </c>
      <c r="G98" s="256"/>
      <c r="H98" s="54">
        <v>0.70763888888888904</v>
      </c>
      <c r="I98" s="13">
        <v>-8.5800839999999994</v>
      </c>
      <c r="J98" s="13">
        <v>115.669472</v>
      </c>
      <c r="K98" s="13">
        <f t="shared" si="121"/>
        <v>-0.14975071589768513</v>
      </c>
      <c r="L98" s="13">
        <f t="shared" si="121"/>
        <v>2.0188131304433905</v>
      </c>
      <c r="M98" s="13">
        <v>3443</v>
      </c>
      <c r="N98" s="71">
        <f t="shared" si="138"/>
        <v>0.53631745320393243</v>
      </c>
      <c r="O98" s="339"/>
      <c r="P98" s="339"/>
      <c r="Q98" s="437"/>
      <c r="R98" s="15">
        <f t="shared" si="139"/>
        <v>5.000000000001581E-2</v>
      </c>
      <c r="S98" s="331"/>
      <c r="T98" s="20">
        <f t="shared" si="125"/>
        <v>10.726349064075256</v>
      </c>
      <c r="U98" s="347"/>
      <c r="V98" s="15">
        <f t="shared" si="127"/>
        <v>5.5176339585603111</v>
      </c>
      <c r="W98" s="15">
        <f t="shared" si="140"/>
        <v>1.3257387626516016E-5</v>
      </c>
      <c r="X98" s="15">
        <f t="shared" si="141"/>
        <v>1.5697491292421262E-4</v>
      </c>
      <c r="Y98" s="13">
        <f t="shared" si="142"/>
        <v>1.4865408163795526</v>
      </c>
      <c r="Z98" s="13">
        <f t="shared" si="143"/>
        <v>85.172514852480248</v>
      </c>
      <c r="AA98" s="13">
        <f t="shared" si="144"/>
        <v>274.82748514751972</v>
      </c>
      <c r="AB98" s="13">
        <v>120</v>
      </c>
      <c r="AC98" s="13">
        <v>13</v>
      </c>
      <c r="AD98" s="13">
        <f t="shared" si="128"/>
        <v>4</v>
      </c>
      <c r="AE98" s="16">
        <f t="shared" si="129"/>
        <v>154.82748514751972</v>
      </c>
      <c r="AF98" s="15">
        <f t="shared" si="103"/>
        <v>0.20950151921259549</v>
      </c>
      <c r="AG98" s="366"/>
      <c r="AH98" s="331"/>
      <c r="AI98" s="339"/>
      <c r="AJ98" s="13">
        <f t="shared" si="104"/>
        <v>1.3157100949057248</v>
      </c>
      <c r="AK98" s="13">
        <f t="shared" si="130"/>
        <v>-3.999999999999998E-2</v>
      </c>
      <c r="AL98" s="15">
        <f t="shared" si="84"/>
        <v>18.610006994007279</v>
      </c>
      <c r="AM98" s="15">
        <f t="shared" si="131"/>
        <v>-0.97941496273126016</v>
      </c>
      <c r="AN98" s="15">
        <f t="shared" si="105"/>
        <v>10.622312545615419</v>
      </c>
      <c r="AO98" s="15">
        <f t="shared" si="132"/>
        <v>5.4641175734645708</v>
      </c>
      <c r="AP98" s="15">
        <f t="shared" si="133"/>
        <v>0.20746953157721976</v>
      </c>
      <c r="AQ98" s="20">
        <f t="shared" si="106"/>
        <v>5.0489707481381603E-2</v>
      </c>
      <c r="AR98" s="13">
        <f t="shared" si="107"/>
        <v>325211583.5580467</v>
      </c>
      <c r="AS98" s="13">
        <f t="shared" si="134"/>
        <v>1.7685214740342191E-3</v>
      </c>
      <c r="AT98" s="15">
        <f t="shared" si="108"/>
        <v>884.63557653433406</v>
      </c>
      <c r="AU98" s="13">
        <f t="shared" si="109"/>
        <v>32759.389117498577</v>
      </c>
      <c r="AV98" s="339"/>
      <c r="AW98" s="339"/>
      <c r="AX98" s="339"/>
      <c r="AY98" s="339"/>
      <c r="AZ98" s="339"/>
      <c r="BA98" s="331"/>
      <c r="BB98" s="331"/>
      <c r="BC98" s="331"/>
      <c r="BD98" s="339"/>
      <c r="BE98" s="339"/>
      <c r="BF98" s="339"/>
      <c r="BG98" s="339"/>
      <c r="BH98" s="337"/>
      <c r="BI98" s="331"/>
      <c r="BJ98" s="331"/>
      <c r="BK98" s="331"/>
      <c r="BL98" s="23">
        <f t="shared" si="110"/>
        <v>-7.5935801092781349E-2</v>
      </c>
      <c r="BM98" s="24">
        <f t="shared" si="111"/>
        <v>9626.7735631905762</v>
      </c>
      <c r="BN98" s="24">
        <f t="shared" si="112"/>
        <v>10870.567288646569</v>
      </c>
      <c r="BO98" s="24">
        <f t="shared" si="113"/>
        <v>89.62828445979892</v>
      </c>
      <c r="BP98" s="24">
        <f t="shared" si="135"/>
        <v>103.07252712876875</v>
      </c>
      <c r="BQ98" s="23">
        <f t="shared" si="136"/>
        <v>563.20040682570902</v>
      </c>
      <c r="BR98" s="23">
        <f t="shared" si="114"/>
        <v>3.9056104559402547</v>
      </c>
      <c r="BS98" s="6">
        <f t="shared" si="115"/>
        <v>1357.3651158712994</v>
      </c>
      <c r="BT98" s="23">
        <f t="shared" si="116"/>
        <v>1385.066444766632</v>
      </c>
      <c r="BU98" s="22">
        <f t="shared" si="117"/>
        <v>1766.6663836309081</v>
      </c>
      <c r="BV98" s="22">
        <f t="shared" si="118"/>
        <v>84.126970649090865</v>
      </c>
      <c r="BW98" s="23">
        <f t="shared" si="137"/>
        <v>1.5984365631667299E-2</v>
      </c>
      <c r="BX98" s="331"/>
      <c r="BY98" s="361"/>
      <c r="BZ98" s="361"/>
      <c r="CA98" s="361"/>
    </row>
    <row r="99" spans="3:79" ht="15.75" x14ac:dyDescent="0.3">
      <c r="C99" s="13"/>
      <c r="D99" s="379"/>
      <c r="E99" s="379"/>
      <c r="F99" s="19" t="s">
        <v>128</v>
      </c>
      <c r="G99" s="256"/>
      <c r="H99" s="54">
        <v>0.70972222222222203</v>
      </c>
      <c r="I99" s="13">
        <v>-8.5777760000000001</v>
      </c>
      <c r="J99" s="13">
        <v>115.661642</v>
      </c>
      <c r="K99" s="13">
        <f t="shared" si="121"/>
        <v>-0.14971043369854911</v>
      </c>
      <c r="L99" s="13">
        <f t="shared" si="121"/>
        <v>2.0186764711629595</v>
      </c>
      <c r="M99" s="13">
        <v>3443</v>
      </c>
      <c r="N99" s="71">
        <f t="shared" si="138"/>
        <v>0.4854854362511814</v>
      </c>
      <c r="O99" s="339"/>
      <c r="P99" s="339"/>
      <c r="Q99" s="437"/>
      <c r="R99" s="15">
        <f t="shared" si="139"/>
        <v>4.9999999999991829E-2</v>
      </c>
      <c r="S99" s="331"/>
      <c r="T99" s="20">
        <f t="shared" si="125"/>
        <v>9.7097087250252141</v>
      </c>
      <c r="U99" s="347"/>
      <c r="V99" s="15">
        <f t="shared" si="127"/>
        <v>4.9946741681529696</v>
      </c>
      <c r="W99" s="15">
        <f t="shared" si="140"/>
        <v>4.0742911775834233E-5</v>
      </c>
      <c r="X99" s="15">
        <f t="shared" si="141"/>
        <v>1.3665928043105069E-4</v>
      </c>
      <c r="Y99" s="13">
        <f t="shared" si="142"/>
        <v>1.2810514373218764</v>
      </c>
      <c r="Z99" s="13">
        <f t="shared" si="143"/>
        <v>73.398840697711435</v>
      </c>
      <c r="AA99" s="13">
        <f t="shared" si="144"/>
        <v>286.60115930228858</v>
      </c>
      <c r="AB99" s="13">
        <v>120</v>
      </c>
      <c r="AC99" s="13">
        <v>13</v>
      </c>
      <c r="AD99" s="13">
        <f t="shared" si="128"/>
        <v>4</v>
      </c>
      <c r="AE99" s="16">
        <f t="shared" si="129"/>
        <v>166.60115930228858</v>
      </c>
      <c r="AF99" s="15">
        <f t="shared" si="103"/>
        <v>0.18964502430911231</v>
      </c>
      <c r="AG99" s="366"/>
      <c r="AH99" s="331"/>
      <c r="AI99" s="339"/>
      <c r="AJ99" s="13">
        <f t="shared" si="104"/>
        <v>1.4811166812119203</v>
      </c>
      <c r="AK99" s="13">
        <f t="shared" si="130"/>
        <v>-3.999999999999998E-2</v>
      </c>
      <c r="AL99" s="15">
        <f t="shared" si="84"/>
        <v>18.610006994007279</v>
      </c>
      <c r="AM99" s="15">
        <f t="shared" si="131"/>
        <v>-1.1025436718517869</v>
      </c>
      <c r="AN99" s="15">
        <f t="shared" si="105"/>
        <v>9.6038223890191983</v>
      </c>
      <c r="AO99" s="15">
        <f t="shared" si="132"/>
        <v>4.9402062369114752</v>
      </c>
      <c r="AP99" s="15">
        <f t="shared" si="133"/>
        <v>0.18757690699122526</v>
      </c>
      <c r="AQ99" s="20">
        <f t="shared" si="106"/>
        <v>5.0551271835917636E-2</v>
      </c>
      <c r="AR99" s="13">
        <f t="shared" si="107"/>
        <v>294029597.97415805</v>
      </c>
      <c r="AS99" s="13">
        <f t="shared" si="134"/>
        <v>1.7925394746368694E-3</v>
      </c>
      <c r="AT99" s="15">
        <f t="shared" si="108"/>
        <v>732.94752001862992</v>
      </c>
      <c r="AU99" s="13">
        <f t="shared" si="109"/>
        <v>27142.151692634274</v>
      </c>
      <c r="AV99" s="339"/>
      <c r="AW99" s="339"/>
      <c r="AX99" s="339"/>
      <c r="AY99" s="339"/>
      <c r="AZ99" s="339"/>
      <c r="BA99" s="331"/>
      <c r="BB99" s="331"/>
      <c r="BC99" s="331"/>
      <c r="BD99" s="339"/>
      <c r="BE99" s="339"/>
      <c r="BF99" s="339"/>
      <c r="BG99" s="339"/>
      <c r="BH99" s="337"/>
      <c r="BI99" s="331"/>
      <c r="BJ99" s="331"/>
      <c r="BK99" s="331"/>
      <c r="BL99" s="23">
        <f t="shared" si="110"/>
        <v>-4.519566596486372E-2</v>
      </c>
      <c r="BM99" s="24">
        <f t="shared" si="111"/>
        <v>3604.9070633544393</v>
      </c>
      <c r="BN99" s="24">
        <f t="shared" si="112"/>
        <v>8885.9179058109876</v>
      </c>
      <c r="BO99" s="24">
        <f t="shared" si="113"/>
        <v>69.767917387838665</v>
      </c>
      <c r="BP99" s="24">
        <f t="shared" si="135"/>
        <v>80.233104996014461</v>
      </c>
      <c r="BQ99" s="23">
        <f t="shared" si="136"/>
        <v>396.36808570808387</v>
      </c>
      <c r="BR99" s="23">
        <f t="shared" si="114"/>
        <v>3.5311321313953461</v>
      </c>
      <c r="BS99" s="6">
        <f t="shared" si="115"/>
        <v>955.28377832180036</v>
      </c>
      <c r="BT99" s="23">
        <f t="shared" si="116"/>
        <v>974.7793656344902</v>
      </c>
      <c r="BU99" s="22">
        <f t="shared" si="117"/>
        <v>1243.341027595013</v>
      </c>
      <c r="BV99" s="22">
        <f t="shared" si="118"/>
        <v>59.206715599762525</v>
      </c>
      <c r="BW99" s="23">
        <f t="shared" si="137"/>
        <v>1.1263162672510277E-2</v>
      </c>
      <c r="BX99" s="331"/>
      <c r="BY99" s="361"/>
      <c r="BZ99" s="361"/>
      <c r="CA99" s="361"/>
    </row>
    <row r="100" spans="3:79" ht="15.75" x14ac:dyDescent="0.3">
      <c r="C100" s="13"/>
      <c r="D100" s="379"/>
      <c r="E100" s="379"/>
      <c r="F100" s="19" t="s">
        <v>128</v>
      </c>
      <c r="G100" s="256"/>
      <c r="H100" s="54">
        <v>0.71180555555555503</v>
      </c>
      <c r="I100" s="13">
        <v>-8.5756110000000003</v>
      </c>
      <c r="J100" s="13">
        <v>115.654635</v>
      </c>
      <c r="K100" s="13">
        <f t="shared" si="121"/>
        <v>-0.14967264732024346</v>
      </c>
      <c r="L100" s="13">
        <f t="shared" si="121"/>
        <v>2.0185541759422718</v>
      </c>
      <c r="M100" s="13">
        <v>3443</v>
      </c>
      <c r="N100" s="71">
        <f t="shared" si="138"/>
        <v>0.43620645408677816</v>
      </c>
      <c r="O100" s="339"/>
      <c r="P100" s="339"/>
      <c r="Q100" s="437"/>
      <c r="R100" s="15">
        <f t="shared" si="139"/>
        <v>4.9999999999991829E-2</v>
      </c>
      <c r="S100" s="331"/>
      <c r="T100" s="20">
        <f t="shared" si="125"/>
        <v>8.7241290817369883</v>
      </c>
      <c r="U100" s="347"/>
      <c r="V100" s="15">
        <f t="shared" si="127"/>
        <v>4.4876919996455067</v>
      </c>
      <c r="W100" s="15">
        <f t="shared" si="140"/>
        <v>3.8218319682161811E-5</v>
      </c>
      <c r="X100" s="15">
        <f t="shared" si="141"/>
        <v>1.2229522068762932E-4</v>
      </c>
      <c r="Y100" s="13">
        <f t="shared" si="142"/>
        <v>1.2679035380564783</v>
      </c>
      <c r="Z100" s="13">
        <f t="shared" si="143"/>
        <v>72.645521560340967</v>
      </c>
      <c r="AA100" s="13">
        <f t="shared" si="144"/>
        <v>287.35447843965903</v>
      </c>
      <c r="AB100" s="13">
        <v>120</v>
      </c>
      <c r="AC100" s="13">
        <v>13</v>
      </c>
      <c r="AD100" s="13">
        <f t="shared" si="128"/>
        <v>4</v>
      </c>
      <c r="AE100" s="16">
        <f t="shared" si="129"/>
        <v>167.35447843965903</v>
      </c>
      <c r="AF100" s="15">
        <f t="shared" si="103"/>
        <v>0.17039519089977115</v>
      </c>
      <c r="AG100" s="366"/>
      <c r="AH100" s="331"/>
      <c r="AI100" s="339"/>
      <c r="AJ100" s="13">
        <f t="shared" si="104"/>
        <v>1.6327373491223209</v>
      </c>
      <c r="AK100" s="13">
        <f t="shared" si="130"/>
        <v>-3.999999999999998E-2</v>
      </c>
      <c r="AL100" s="15">
        <f t="shared" si="84"/>
        <v>18.610006994007279</v>
      </c>
      <c r="AM100" s="15">
        <f t="shared" si="131"/>
        <v>-1.2154101394617312</v>
      </c>
      <c r="AN100" s="15">
        <f t="shared" si="105"/>
        <v>8.6193684041948426</v>
      </c>
      <c r="AO100" s="15">
        <f t="shared" si="132"/>
        <v>4.4338031071178268</v>
      </c>
      <c r="AP100" s="15">
        <f t="shared" si="133"/>
        <v>0.16834905936258976</v>
      </c>
      <c r="AQ100" s="20">
        <f t="shared" si="106"/>
        <v>5.0607705069722606E-2</v>
      </c>
      <c r="AR100" s="13">
        <f t="shared" si="107"/>
        <v>263889660.18095979</v>
      </c>
      <c r="AS100" s="13">
        <f t="shared" si="134"/>
        <v>1.8188579790252991E-3</v>
      </c>
      <c r="AT100" s="15">
        <f t="shared" si="108"/>
        <v>599.05347051035312</v>
      </c>
      <c r="AU100" s="13">
        <f t="shared" si="109"/>
        <v>22183.853174341501</v>
      </c>
      <c r="AV100" s="339"/>
      <c r="AW100" s="339"/>
      <c r="AX100" s="339"/>
      <c r="AY100" s="339"/>
      <c r="AZ100" s="339"/>
      <c r="BA100" s="331"/>
      <c r="BB100" s="331"/>
      <c r="BC100" s="331"/>
      <c r="BD100" s="339"/>
      <c r="BE100" s="339"/>
      <c r="BF100" s="339"/>
      <c r="BG100" s="339"/>
      <c r="BH100" s="337"/>
      <c r="BI100" s="331"/>
      <c r="BJ100" s="331"/>
      <c r="BK100" s="331"/>
      <c r="BL100" s="23">
        <f t="shared" si="110"/>
        <v>-2.275323140143054E-2</v>
      </c>
      <c r="BM100" s="24">
        <f t="shared" si="111"/>
        <v>1158.3755456251365</v>
      </c>
      <c r="BN100" s="24">
        <f t="shared" si="112"/>
        <v>7157.5591241625407</v>
      </c>
      <c r="BO100" s="24">
        <f t="shared" si="113"/>
        <v>55.129710631914278</v>
      </c>
      <c r="BP100" s="24">
        <f t="shared" si="135"/>
        <v>63.399167226701422</v>
      </c>
      <c r="BQ100" s="23">
        <f t="shared" si="136"/>
        <v>281.09942463843146</v>
      </c>
      <c r="BR100" s="23">
        <f t="shared" si="114"/>
        <v>3.1691682219348669</v>
      </c>
      <c r="BS100" s="6">
        <f t="shared" si="115"/>
        <v>677.47563473223488</v>
      </c>
      <c r="BT100" s="23">
        <f t="shared" si="116"/>
        <v>691.30166809411719</v>
      </c>
      <c r="BU100" s="22">
        <f t="shared" si="117"/>
        <v>881.76233175270056</v>
      </c>
      <c r="BV100" s="22">
        <f t="shared" si="118"/>
        <v>41.98868246441431</v>
      </c>
      <c r="BW100" s="23">
        <f t="shared" si="137"/>
        <v>7.9966150704261357E-3</v>
      </c>
      <c r="BX100" s="331"/>
      <c r="BY100" s="361"/>
      <c r="BZ100" s="361"/>
      <c r="CA100" s="361"/>
    </row>
    <row r="101" spans="3:79" ht="15.75" x14ac:dyDescent="0.3">
      <c r="C101" s="13"/>
      <c r="D101" s="379"/>
      <c r="E101" s="379"/>
      <c r="F101" s="19" t="s">
        <v>128</v>
      </c>
      <c r="G101" s="256"/>
      <c r="H101" s="54">
        <v>0.71388888888888802</v>
      </c>
      <c r="I101" s="13">
        <v>-8.5742849999999997</v>
      </c>
      <c r="J101" s="13">
        <v>115.647308</v>
      </c>
      <c r="K101" s="13">
        <f t="shared" si="121"/>
        <v>-0.14964950425436199</v>
      </c>
      <c r="L101" s="13">
        <f t="shared" si="121"/>
        <v>2.0184262956679784</v>
      </c>
      <c r="M101" s="13">
        <v>3443</v>
      </c>
      <c r="N101" s="71">
        <f t="shared" si="138"/>
        <v>0.44260167222370667</v>
      </c>
      <c r="O101" s="339"/>
      <c r="P101" s="339"/>
      <c r="Q101" s="437"/>
      <c r="R101" s="15">
        <f t="shared" si="139"/>
        <v>4.9999999999991829E-2</v>
      </c>
      <c r="S101" s="331"/>
      <c r="T101" s="20">
        <f t="shared" si="125"/>
        <v>8.8520334444755804</v>
      </c>
      <c r="U101" s="347"/>
      <c r="V101" s="15">
        <f t="shared" si="127"/>
        <v>4.5534860038382385</v>
      </c>
      <c r="W101" s="15">
        <f t="shared" si="140"/>
        <v>2.3407509384203368E-5</v>
      </c>
      <c r="X101" s="15">
        <f t="shared" si="141"/>
        <v>1.2788027429344595E-4</v>
      </c>
      <c r="Y101" s="13">
        <f t="shared" si="142"/>
        <v>1.3897580618421177</v>
      </c>
      <c r="Z101" s="13">
        <f t="shared" si="143"/>
        <v>79.627271487834605</v>
      </c>
      <c r="AA101" s="13">
        <f t="shared" si="144"/>
        <v>280.37272851216539</v>
      </c>
      <c r="AB101" s="13">
        <v>120</v>
      </c>
      <c r="AC101" s="13">
        <v>13</v>
      </c>
      <c r="AD101" s="13">
        <f t="shared" si="128"/>
        <v>4</v>
      </c>
      <c r="AE101" s="16">
        <f t="shared" si="129"/>
        <v>160.37272851216539</v>
      </c>
      <c r="AF101" s="15">
        <f t="shared" si="103"/>
        <v>0.17289335296289102</v>
      </c>
      <c r="AG101" s="366"/>
      <c r="AH101" s="331"/>
      <c r="AI101" s="339"/>
      <c r="AJ101" s="13">
        <f t="shared" si="104"/>
        <v>1.6135461006517939</v>
      </c>
      <c r="AK101" s="13">
        <f t="shared" si="130"/>
        <v>-3.999999999999998E-2</v>
      </c>
      <c r="AL101" s="15">
        <f t="shared" si="84"/>
        <v>18.610006994007279</v>
      </c>
      <c r="AM101" s="15">
        <f t="shared" si="131"/>
        <v>-1.2011241687313217</v>
      </c>
      <c r="AN101" s="15">
        <f t="shared" si="105"/>
        <v>8.7469714562821448</v>
      </c>
      <c r="AO101" s="15">
        <f t="shared" si="132"/>
        <v>4.4994421171115349</v>
      </c>
      <c r="AP101" s="15">
        <f t="shared" si="133"/>
        <v>0.17084133638143004</v>
      </c>
      <c r="AQ101" s="20">
        <f t="shared" si="106"/>
        <v>5.0600562084357391E-2</v>
      </c>
      <c r="AR101" s="13">
        <f t="shared" si="107"/>
        <v>267796341.56111565</v>
      </c>
      <c r="AS101" s="13">
        <f t="shared" si="134"/>
        <v>1.8152478282252118E-3</v>
      </c>
      <c r="AT101" s="15">
        <f t="shared" si="108"/>
        <v>615.69731038895816</v>
      </c>
      <c r="AU101" s="13">
        <f t="shared" si="109"/>
        <v>22800.199658086385</v>
      </c>
      <c r="AV101" s="339"/>
      <c r="AW101" s="339"/>
      <c r="AX101" s="339"/>
      <c r="AY101" s="339"/>
      <c r="AZ101" s="339"/>
      <c r="BA101" s="331"/>
      <c r="BB101" s="331"/>
      <c r="BC101" s="331"/>
      <c r="BD101" s="339"/>
      <c r="BE101" s="339"/>
      <c r="BF101" s="339"/>
      <c r="BG101" s="339"/>
      <c r="BH101" s="337"/>
      <c r="BI101" s="331"/>
      <c r="BJ101" s="331"/>
      <c r="BK101" s="331"/>
      <c r="BL101" s="23">
        <f t="shared" si="110"/>
        <v>-2.5201483406261639E-2</v>
      </c>
      <c r="BM101" s="24">
        <f t="shared" si="111"/>
        <v>1357.4603942714621</v>
      </c>
      <c r="BN101" s="24">
        <f t="shared" si="112"/>
        <v>7371.0520137504527</v>
      </c>
      <c r="BO101" s="24">
        <f t="shared" si="113"/>
        <v>56.842941867010367</v>
      </c>
      <c r="BP101" s="24">
        <f t="shared" si="135"/>
        <v>65.369383147061924</v>
      </c>
      <c r="BQ101" s="23">
        <f t="shared" si="136"/>
        <v>294.12575570149141</v>
      </c>
      <c r="BR101" s="23">
        <f t="shared" si="114"/>
        <v>3.2160852950582486</v>
      </c>
      <c r="BS101" s="6">
        <f t="shared" si="115"/>
        <v>708.87029844074334</v>
      </c>
      <c r="BT101" s="23">
        <f t="shared" si="116"/>
        <v>723.3370392252483</v>
      </c>
      <c r="BU101" s="22">
        <f t="shared" si="117"/>
        <v>922.62377452200042</v>
      </c>
      <c r="BV101" s="22">
        <f t="shared" si="118"/>
        <v>43.934465453428587</v>
      </c>
      <c r="BW101" s="23">
        <f t="shared" si="137"/>
        <v>8.3660024597102707E-3</v>
      </c>
      <c r="BX101" s="331"/>
      <c r="BY101" s="362"/>
      <c r="BZ101" s="362"/>
      <c r="CA101" s="362"/>
    </row>
    <row r="102" spans="3:79" ht="15.75" x14ac:dyDescent="0.3">
      <c r="C102" s="13">
        <v>11</v>
      </c>
      <c r="D102" s="379"/>
      <c r="E102" s="379"/>
      <c r="F102" s="19" t="s">
        <v>128</v>
      </c>
      <c r="G102" s="255">
        <v>0.71527777777777701</v>
      </c>
      <c r="H102" s="54">
        <v>0.71527777777777701</v>
      </c>
      <c r="I102" s="13">
        <v>-8.5732940000000006</v>
      </c>
      <c r="J102" s="13">
        <v>115.641445</v>
      </c>
      <c r="K102" s="13">
        <f t="shared" si="121"/>
        <v>-0.14963220804147476</v>
      </c>
      <c r="L102" s="13">
        <f t="shared" si="121"/>
        <v>2.0183239670139339</v>
      </c>
      <c r="M102" s="13">
        <v>3443</v>
      </c>
      <c r="N102" s="71">
        <f t="shared" si="138"/>
        <v>0.35343335378252333</v>
      </c>
      <c r="O102" s="398"/>
      <c r="P102" s="398"/>
      <c r="Q102" s="437"/>
      <c r="R102" s="15">
        <f t="shared" si="139"/>
        <v>3.3333333333335879E-2</v>
      </c>
      <c r="S102" s="358"/>
      <c r="T102" s="20">
        <f t="shared" si="125"/>
        <v>10.60300061347489</v>
      </c>
      <c r="U102" s="348"/>
      <c r="V102" s="15">
        <f t="shared" si="127"/>
        <v>5.4541835155714828</v>
      </c>
      <c r="W102" s="15">
        <f t="shared" si="140"/>
        <v>1.749379388956118E-5</v>
      </c>
      <c r="X102" s="15">
        <f t="shared" si="141"/>
        <v>1.0232865404447011E-4</v>
      </c>
      <c r="Y102" s="13">
        <f t="shared" si="142"/>
        <v>1.4014762526776072</v>
      </c>
      <c r="Z102" s="13">
        <f t="shared" si="143"/>
        <v>80.298674366237037</v>
      </c>
      <c r="AA102" s="13">
        <f t="shared" si="144"/>
        <v>279.70132563376296</v>
      </c>
      <c r="AB102" s="13">
        <v>120</v>
      </c>
      <c r="AC102" s="13">
        <v>13</v>
      </c>
      <c r="AD102" s="13">
        <f t="shared" si="128"/>
        <v>4</v>
      </c>
      <c r="AE102" s="16">
        <f t="shared" si="129"/>
        <v>159.70132563376296</v>
      </c>
      <c r="AF102" s="15">
        <f t="shared" si="103"/>
        <v>0.20709234087624565</v>
      </c>
      <c r="AG102" s="366"/>
      <c r="AH102" s="331"/>
      <c r="AI102" s="339"/>
      <c r="AJ102" s="13">
        <f t="shared" si="104"/>
        <v>1.3362663820224949</v>
      </c>
      <c r="AK102" s="13">
        <f t="shared" si="130"/>
        <v>-3.999999999999998E-2</v>
      </c>
      <c r="AL102" s="15">
        <f t="shared" ref="AL102:AL133" si="145">IF($T$21="ALL SHIP TYPE LOADED",(0.5*AD102+AD102^6.5)/(2.2*$G$5^(2/3)),IF($T$22="ALL SHIP TYPE BALLAST",(0.7*AD102+AD102^6.5)/(2.7*I76^(2/3)),IF($T$23="CONTAINER NORMAL",(0.7*AD102+AD102^6.5)/(2.2*$G$5^(2/3)))))</f>
        <v>18.610006994007279</v>
      </c>
      <c r="AM102" s="15">
        <f t="shared" si="131"/>
        <v>-0.99471706861181675</v>
      </c>
      <c r="AN102" s="15">
        <f t="shared" si="105"/>
        <v>10.49856955019898</v>
      </c>
      <c r="AO102" s="15">
        <f t="shared" si="132"/>
        <v>5.4004641766223545</v>
      </c>
      <c r="AP102" s="15">
        <f t="shared" si="133"/>
        <v>0.20505264719495708</v>
      </c>
      <c r="AQ102" s="20">
        <f t="shared" si="106"/>
        <v>3.3664905689539837E-2</v>
      </c>
      <c r="AR102" s="13">
        <f t="shared" si="107"/>
        <v>321423081.25962698</v>
      </c>
      <c r="AS102" s="13">
        <f t="shared" si="134"/>
        <v>1.7712887471356365E-3</v>
      </c>
      <c r="AT102" s="15">
        <f t="shared" si="108"/>
        <v>865.49693630850652</v>
      </c>
      <c r="AU102" s="13">
        <f t="shared" si="109"/>
        <v>32050.656415617053</v>
      </c>
      <c r="AV102" s="339"/>
      <c r="AW102" s="339"/>
      <c r="AX102" s="339"/>
      <c r="AY102" s="339"/>
      <c r="AZ102" s="339"/>
      <c r="BA102" s="331"/>
      <c r="BB102" s="331"/>
      <c r="BC102" s="331"/>
      <c r="BD102" s="339"/>
      <c r="BE102" s="339"/>
      <c r="BF102" s="339"/>
      <c r="BG102" s="339"/>
      <c r="BH102" s="337"/>
      <c r="BI102" s="331"/>
      <c r="BJ102" s="331"/>
      <c r="BK102" s="331"/>
      <c r="BL102" s="23">
        <f t="shared" si="110"/>
        <v>-7.1865721847536784E-2</v>
      </c>
      <c r="BM102" s="24">
        <f t="shared" si="111"/>
        <v>8626.8654010127702</v>
      </c>
      <c r="BN102" s="24">
        <f t="shared" si="112"/>
        <v>10618.772501915195</v>
      </c>
      <c r="BO102" s="24">
        <f t="shared" si="113"/>
        <v>86.880968748662781</v>
      </c>
      <c r="BP102" s="24">
        <f t="shared" si="135"/>
        <v>99.913114060962201</v>
      </c>
      <c r="BQ102" s="23">
        <f t="shared" si="136"/>
        <v>539.5771932610096</v>
      </c>
      <c r="BR102" s="23">
        <f t="shared" si="114"/>
        <v>3.8601126479372976</v>
      </c>
      <c r="BS102" s="6">
        <f t="shared" si="115"/>
        <v>1300.4309843811855</v>
      </c>
      <c r="BT102" s="23">
        <f t="shared" si="116"/>
        <v>1326.9703922256995</v>
      </c>
      <c r="BU102" s="22">
        <f t="shared" si="117"/>
        <v>1692.5642757980861</v>
      </c>
      <c r="BV102" s="22">
        <f t="shared" si="118"/>
        <v>80.5982988475279</v>
      </c>
      <c r="BW102" s="23">
        <f t="shared" si="137"/>
        <v>1.0210818995906253E-2</v>
      </c>
      <c r="BX102" s="331"/>
      <c r="BY102" s="360">
        <f t="shared" ref="BY102" si="146">SUM(BW103:BW108)*1000</f>
        <v>39.72885163600148</v>
      </c>
      <c r="BZ102" s="360">
        <v>60</v>
      </c>
      <c r="CA102" s="360">
        <f t="shared" ref="CA102" si="147">AVERAGE(AN102:AN108)</f>
        <v>8.3105050515529104</v>
      </c>
    </row>
    <row r="103" spans="3:79" ht="15.75" x14ac:dyDescent="0.3">
      <c r="C103" s="13"/>
      <c r="D103" s="379"/>
      <c r="E103" s="379"/>
      <c r="F103" s="19" t="s">
        <v>128</v>
      </c>
      <c r="G103" s="256"/>
      <c r="H103" s="55">
        <v>0.71736111111111101</v>
      </c>
      <c r="I103" s="13">
        <v>-8.5728600000000004</v>
      </c>
      <c r="J103" s="13">
        <v>115.63581600000001</v>
      </c>
      <c r="K103" s="13">
        <f t="shared" si="121"/>
        <v>-0.1496246333125211</v>
      </c>
      <c r="L103" s="13">
        <f t="shared" si="121"/>
        <v>2.0182257224303393</v>
      </c>
      <c r="M103" s="13">
        <v>3443</v>
      </c>
      <c r="N103" s="71">
        <f t="shared" si="138"/>
        <v>0.33549181491482272</v>
      </c>
      <c r="O103" s="357">
        <f t="shared" ref="O103" si="148">SUM(N103:N109)</f>
        <v>2.6013121896286364</v>
      </c>
      <c r="P103" s="338">
        <v>2.58</v>
      </c>
      <c r="Q103" s="437">
        <f t="shared" ref="Q103" si="149">ABS((O103-P103)/P103*100%)</f>
        <v>8.2605386157505213E-3</v>
      </c>
      <c r="R103" s="15">
        <f t="shared" si="139"/>
        <v>5.000000000001581E-2</v>
      </c>
      <c r="S103" s="357">
        <f t="shared" ref="S103" si="150">SUM(R103:R109)</f>
        <v>0.33333333333333481</v>
      </c>
      <c r="T103" s="20">
        <f t="shared" si="125"/>
        <v>6.7098362982943325</v>
      </c>
      <c r="U103" s="346">
        <f t="shared" ref="U103" si="151">AVERAGE(T103:T109)</f>
        <v>7.7752256500489896</v>
      </c>
      <c r="V103" s="15">
        <f t="shared" si="127"/>
        <v>3.4515397918426043</v>
      </c>
      <c r="W103" s="15">
        <f t="shared" si="140"/>
        <v>7.6612434281161587E-6</v>
      </c>
      <c r="X103" s="15">
        <f t="shared" si="141"/>
        <v>9.8244583594642165E-5</v>
      </c>
      <c r="Y103" s="13">
        <f t="shared" si="142"/>
        <v>1.4929724916262355</v>
      </c>
      <c r="Z103" s="13">
        <f t="shared" si="143"/>
        <v>85.541022699313928</v>
      </c>
      <c r="AA103" s="13">
        <f t="shared" si="144"/>
        <v>274.45897730068606</v>
      </c>
      <c r="AB103" s="13">
        <v>120</v>
      </c>
      <c r="AC103" s="13">
        <v>13</v>
      </c>
      <c r="AD103" s="13">
        <f t="shared" si="128"/>
        <v>4</v>
      </c>
      <c r="AE103" s="16">
        <f t="shared" si="129"/>
        <v>154.45897730068606</v>
      </c>
      <c r="AF103" s="15">
        <f t="shared" si="103"/>
        <v>0.13105306286073876</v>
      </c>
      <c r="AG103" s="366"/>
      <c r="AH103" s="331"/>
      <c r="AI103" s="339"/>
      <c r="AJ103" s="13">
        <f t="shared" si="104"/>
        <v>1.91587476610717</v>
      </c>
      <c r="AK103" s="13">
        <f t="shared" si="130"/>
        <v>-3.999999999999998E-2</v>
      </c>
      <c r="AL103" s="15">
        <f t="shared" si="145"/>
        <v>18.610006994007279</v>
      </c>
      <c r="AM103" s="15">
        <f t="shared" si="131"/>
        <v>-1.426177711875859</v>
      </c>
      <c r="AN103" s="15">
        <f t="shared" si="105"/>
        <v>6.6154876873652384</v>
      </c>
      <c r="AO103" s="15">
        <f t="shared" si="132"/>
        <v>3.4030068663806783</v>
      </c>
      <c r="AP103" s="15">
        <f t="shared" si="133"/>
        <v>0.12921029443998649</v>
      </c>
      <c r="AQ103" s="20">
        <f t="shared" si="106"/>
        <v>5.0713088855953964E-2</v>
      </c>
      <c r="AR103" s="13">
        <f t="shared" si="107"/>
        <v>202539062.71142986</v>
      </c>
      <c r="AS103" s="13">
        <f t="shared" si="134"/>
        <v>1.885746245920246E-3</v>
      </c>
      <c r="AT103" s="15">
        <f t="shared" si="108"/>
        <v>365.86670970325451</v>
      </c>
      <c r="AU103" s="13">
        <f t="shared" si="109"/>
        <v>13548.59585826597</v>
      </c>
      <c r="AV103" s="339"/>
      <c r="AW103" s="339"/>
      <c r="AX103" s="339"/>
      <c r="AY103" s="339"/>
      <c r="AZ103" s="339"/>
      <c r="BA103" s="331"/>
      <c r="BB103" s="331"/>
      <c r="BC103" s="331"/>
      <c r="BD103" s="339"/>
      <c r="BE103" s="339"/>
      <c r="BF103" s="339"/>
      <c r="BG103" s="339"/>
      <c r="BH103" s="337"/>
      <c r="BI103" s="331"/>
      <c r="BJ103" s="331"/>
      <c r="BK103" s="331"/>
      <c r="BL103" s="23">
        <f t="shared" si="110"/>
        <v>-1.9413896864721198E-3</v>
      </c>
      <c r="BM103" s="24">
        <f t="shared" si="111"/>
        <v>48.080941422202123</v>
      </c>
      <c r="BN103" s="24">
        <f t="shared" si="112"/>
        <v>4216.3610052748654</v>
      </c>
      <c r="BO103" s="24">
        <f t="shared" si="113"/>
        <v>32.855549457445662</v>
      </c>
      <c r="BP103" s="24">
        <f t="shared" si="135"/>
        <v>37.783881876062509</v>
      </c>
      <c r="BQ103" s="23">
        <f t="shared" si="136"/>
        <v>128.57880946275719</v>
      </c>
      <c r="BR103" s="23">
        <f t="shared" si="114"/>
        <v>2.432381628008363</v>
      </c>
      <c r="BS103" s="6">
        <f t="shared" si="115"/>
        <v>309.88683333643195</v>
      </c>
      <c r="BT103" s="23">
        <f t="shared" si="116"/>
        <v>316.21105442493058</v>
      </c>
      <c r="BU103" s="22">
        <f t="shared" si="117"/>
        <v>403.33042656241145</v>
      </c>
      <c r="BV103" s="22">
        <f t="shared" si="118"/>
        <v>19.20621078868626</v>
      </c>
      <c r="BW103" s="23">
        <f t="shared" si="137"/>
        <v>3.6653804114940339E-3</v>
      </c>
      <c r="BX103" s="331"/>
      <c r="BY103" s="361"/>
      <c r="BZ103" s="361"/>
      <c r="CA103" s="361"/>
    </row>
    <row r="104" spans="3:79" ht="15.75" x14ac:dyDescent="0.3">
      <c r="C104" s="13"/>
      <c r="D104" s="379"/>
      <c r="E104" s="379"/>
      <c r="F104" s="19" t="s">
        <v>128</v>
      </c>
      <c r="G104" s="256"/>
      <c r="H104" s="54">
        <v>0.719444444444445</v>
      </c>
      <c r="I104" s="13">
        <v>-8.5722470000000008</v>
      </c>
      <c r="J104" s="13">
        <v>115.629233</v>
      </c>
      <c r="K104" s="13">
        <f t="shared" si="121"/>
        <v>-0.14961393444420637</v>
      </c>
      <c r="L104" s="13">
        <f t="shared" si="121"/>
        <v>2.0181108274056805</v>
      </c>
      <c r="M104" s="13">
        <v>3443</v>
      </c>
      <c r="N104" s="71">
        <f t="shared" si="138"/>
        <v>0.39289468821718143</v>
      </c>
      <c r="O104" s="339"/>
      <c r="P104" s="339"/>
      <c r="Q104" s="437"/>
      <c r="R104" s="15">
        <f t="shared" si="139"/>
        <v>5.000000000001581E-2</v>
      </c>
      <c r="S104" s="331"/>
      <c r="T104" s="20">
        <f t="shared" si="125"/>
        <v>7.8578937643411439</v>
      </c>
      <c r="U104" s="347"/>
      <c r="V104" s="15">
        <f t="shared" si="127"/>
        <v>4.0421005523770841</v>
      </c>
      <c r="W104" s="15">
        <f t="shared" si="140"/>
        <v>1.0821050040970123E-5</v>
      </c>
      <c r="X104" s="15">
        <f t="shared" si="141"/>
        <v>1.1489502465877877E-4</v>
      </c>
      <c r="Y104" s="13">
        <f t="shared" si="142"/>
        <v>1.4768912677385664</v>
      </c>
      <c r="Z104" s="13">
        <f t="shared" si="143"/>
        <v>84.619636441145531</v>
      </c>
      <c r="AA104" s="13">
        <f t="shared" si="144"/>
        <v>275.38036355885447</v>
      </c>
      <c r="AB104" s="13">
        <v>120</v>
      </c>
      <c r="AC104" s="13">
        <v>13</v>
      </c>
      <c r="AD104" s="13">
        <f t="shared" si="128"/>
        <v>4</v>
      </c>
      <c r="AE104" s="16">
        <f t="shared" si="129"/>
        <v>155.38036355885447</v>
      </c>
      <c r="AF104" s="15">
        <f t="shared" si="103"/>
        <v>0.15347632932758531</v>
      </c>
      <c r="AG104" s="366"/>
      <c r="AH104" s="331"/>
      <c r="AI104" s="339"/>
      <c r="AJ104" s="13">
        <f t="shared" si="104"/>
        <v>1.7588997709870491</v>
      </c>
      <c r="AK104" s="13">
        <f t="shared" si="130"/>
        <v>-3.999999999999998E-2</v>
      </c>
      <c r="AL104" s="15">
        <f t="shared" si="145"/>
        <v>18.610006994007279</v>
      </c>
      <c r="AM104" s="15">
        <f t="shared" si="131"/>
        <v>-1.3093254815930706</v>
      </c>
      <c r="AN104" s="15">
        <f t="shared" si="105"/>
        <v>7.7563380537647033</v>
      </c>
      <c r="AO104" s="15">
        <f t="shared" si="132"/>
        <v>3.9898602948565633</v>
      </c>
      <c r="AP104" s="15">
        <f t="shared" si="133"/>
        <v>0.15149279555263698</v>
      </c>
      <c r="AQ104" s="20">
        <f t="shared" si="106"/>
        <v>5.0654662740812546E-2</v>
      </c>
      <c r="AR104" s="13">
        <f t="shared" si="107"/>
        <v>237467215.37746048</v>
      </c>
      <c r="AS104" s="13">
        <f t="shared" si="134"/>
        <v>1.8450946131411982E-3</v>
      </c>
      <c r="AT104" s="15">
        <f t="shared" si="108"/>
        <v>492.09393367602513</v>
      </c>
      <c r="AU104" s="13">
        <f t="shared" si="109"/>
        <v>18222.980268110183</v>
      </c>
      <c r="AV104" s="339"/>
      <c r="AW104" s="339"/>
      <c r="AX104" s="339"/>
      <c r="AY104" s="339"/>
      <c r="AZ104" s="339"/>
      <c r="BA104" s="331"/>
      <c r="BB104" s="331"/>
      <c r="BC104" s="331"/>
      <c r="BD104" s="339"/>
      <c r="BE104" s="339"/>
      <c r="BF104" s="339"/>
      <c r="BG104" s="339"/>
      <c r="BH104" s="337"/>
      <c r="BI104" s="331"/>
      <c r="BJ104" s="331"/>
      <c r="BK104" s="331"/>
      <c r="BL104" s="23">
        <f t="shared" si="110"/>
        <v>-9.9326561153911998E-3</v>
      </c>
      <c r="BM104" s="24">
        <f t="shared" si="111"/>
        <v>354.58140436879336</v>
      </c>
      <c r="BN104" s="24">
        <f t="shared" si="112"/>
        <v>5795.9885063605052</v>
      </c>
      <c r="BO104" s="24">
        <f t="shared" si="113"/>
        <v>44.605860293748457</v>
      </c>
      <c r="BP104" s="24">
        <f t="shared" si="135"/>
        <v>51.296739337810727</v>
      </c>
      <c r="BQ104" s="23">
        <f t="shared" si="136"/>
        <v>204.66682353953777</v>
      </c>
      <c r="BR104" s="23">
        <f t="shared" si="114"/>
        <v>2.8518493381269296</v>
      </c>
      <c r="BS104" s="6">
        <f t="shared" si="115"/>
        <v>493.26599072348915</v>
      </c>
      <c r="BT104" s="23">
        <f t="shared" si="116"/>
        <v>503.33264359539709</v>
      </c>
      <c r="BU104" s="22">
        <f t="shared" si="117"/>
        <v>642.00592295331262</v>
      </c>
      <c r="BV104" s="22">
        <f t="shared" si="118"/>
        <v>30.571710616824411</v>
      </c>
      <c r="BW104" s="23">
        <f t="shared" si="137"/>
        <v>5.8276903560608995E-3</v>
      </c>
      <c r="BX104" s="331"/>
      <c r="BY104" s="361"/>
      <c r="BZ104" s="361"/>
      <c r="CA104" s="361"/>
    </row>
    <row r="105" spans="3:79" ht="15.75" x14ac:dyDescent="0.3">
      <c r="C105" s="13"/>
      <c r="D105" s="379"/>
      <c r="E105" s="379"/>
      <c r="F105" s="19" t="s">
        <v>128</v>
      </c>
      <c r="G105" s="256"/>
      <c r="H105" s="55">
        <v>0.72152777777777899</v>
      </c>
      <c r="I105" s="13">
        <v>-8.5713419999999996</v>
      </c>
      <c r="J105" s="13">
        <v>115.62116899999999</v>
      </c>
      <c r="K105" s="13">
        <f t="shared" si="121"/>
        <v>-0.14959813921447579</v>
      </c>
      <c r="L105" s="13">
        <f t="shared" si="121"/>
        <v>2.0179700840547996</v>
      </c>
      <c r="M105" s="13">
        <v>3443</v>
      </c>
      <c r="N105" s="71">
        <f t="shared" si="138"/>
        <v>0.48224276633436386</v>
      </c>
      <c r="O105" s="339"/>
      <c r="P105" s="339"/>
      <c r="Q105" s="437"/>
      <c r="R105" s="15">
        <f t="shared" si="139"/>
        <v>5.000000000001581E-2</v>
      </c>
      <c r="S105" s="331"/>
      <c r="T105" s="20">
        <f t="shared" si="125"/>
        <v>9.6448553266842278</v>
      </c>
      <c r="U105" s="347"/>
      <c r="V105" s="15">
        <f t="shared" si="127"/>
        <v>4.9613135800463661</v>
      </c>
      <c r="W105" s="15">
        <f t="shared" si="140"/>
        <v>1.5975580140876912E-5</v>
      </c>
      <c r="X105" s="15">
        <f t="shared" si="141"/>
        <v>1.4074335088087864E-4</v>
      </c>
      <c r="Y105" s="13">
        <f t="shared" si="142"/>
        <v>1.4577714858878452</v>
      </c>
      <c r="Z105" s="13">
        <f t="shared" si="143"/>
        <v>83.524153635888382</v>
      </c>
      <c r="AA105" s="13">
        <f t="shared" si="144"/>
        <v>276.47584636411159</v>
      </c>
      <c r="AB105" s="13">
        <v>120</v>
      </c>
      <c r="AC105" s="13">
        <v>13</v>
      </c>
      <c r="AD105" s="13">
        <f t="shared" si="128"/>
        <v>4</v>
      </c>
      <c r="AE105" s="16">
        <f t="shared" si="129"/>
        <v>156.47584636411159</v>
      </c>
      <c r="AF105" s="15">
        <f t="shared" si="103"/>
        <v>0.18837834117234573</v>
      </c>
      <c r="AG105" s="366"/>
      <c r="AH105" s="331"/>
      <c r="AI105" s="339"/>
      <c r="AJ105" s="13">
        <f t="shared" si="104"/>
        <v>1.4913579043573226</v>
      </c>
      <c r="AK105" s="13">
        <f t="shared" si="130"/>
        <v>-3.999999999999998E-2</v>
      </c>
      <c r="AL105" s="15">
        <f t="shared" si="145"/>
        <v>18.610006994007279</v>
      </c>
      <c r="AM105" s="15">
        <f t="shared" si="131"/>
        <v>-1.1101672412263119</v>
      </c>
      <c r="AN105" s="15">
        <f t="shared" si="105"/>
        <v>9.5389569514544981</v>
      </c>
      <c r="AO105" s="15">
        <f t="shared" si="132"/>
        <v>4.9068394558281936</v>
      </c>
      <c r="AP105" s="15">
        <f t="shared" si="133"/>
        <v>0.18630998871054874</v>
      </c>
      <c r="AQ105" s="20">
        <f t="shared" si="106"/>
        <v>5.0555083620629146E-2</v>
      </c>
      <c r="AR105" s="13">
        <f t="shared" si="107"/>
        <v>292043684.68286544</v>
      </c>
      <c r="AS105" s="13">
        <f t="shared" si="134"/>
        <v>1.7941718622119709E-3</v>
      </c>
      <c r="AT105" s="15">
        <f t="shared" si="108"/>
        <v>723.73859184330195</v>
      </c>
      <c r="AU105" s="13">
        <f t="shared" si="109"/>
        <v>26801.131198486244</v>
      </c>
      <c r="AV105" s="339"/>
      <c r="AW105" s="339"/>
      <c r="AX105" s="339"/>
      <c r="AY105" s="339"/>
      <c r="AZ105" s="339"/>
      <c r="BA105" s="331"/>
      <c r="BB105" s="331"/>
      <c r="BC105" s="331"/>
      <c r="BD105" s="339"/>
      <c r="BE105" s="339"/>
      <c r="BF105" s="339"/>
      <c r="BG105" s="339"/>
      <c r="BH105" s="337"/>
      <c r="BI105" s="331"/>
      <c r="BJ105" s="331"/>
      <c r="BK105" s="331"/>
      <c r="BL105" s="23">
        <f t="shared" si="110"/>
        <v>-4.3476333369320767E-2</v>
      </c>
      <c r="BM105" s="24">
        <f t="shared" si="111"/>
        <v>3364.8828772236079</v>
      </c>
      <c r="BN105" s="24">
        <f t="shared" si="112"/>
        <v>8766.2900268860485</v>
      </c>
      <c r="BO105" s="24">
        <f t="shared" si="113"/>
        <v>68.688622216327232</v>
      </c>
      <c r="BP105" s="24">
        <f t="shared" si="135"/>
        <v>78.991915548776319</v>
      </c>
      <c r="BQ105" s="23">
        <f t="shared" si="136"/>
        <v>387.60064790618424</v>
      </c>
      <c r="BR105" s="23">
        <f t="shared" si="114"/>
        <v>3.5072824159879037</v>
      </c>
      <c r="BS105" s="6">
        <f t="shared" si="115"/>
        <v>934.15344161813266</v>
      </c>
      <c r="BT105" s="23">
        <f t="shared" si="116"/>
        <v>953.2177975695231</v>
      </c>
      <c r="BU105" s="22">
        <f t="shared" si="117"/>
        <v>1215.8390275121467</v>
      </c>
      <c r="BV105" s="22">
        <f t="shared" si="118"/>
        <v>57.89709654819746</v>
      </c>
      <c r="BW105" s="23">
        <f t="shared" si="137"/>
        <v>1.1014858391954098E-2</v>
      </c>
      <c r="BX105" s="331"/>
      <c r="BY105" s="361"/>
      <c r="BZ105" s="361"/>
      <c r="CA105" s="361"/>
    </row>
    <row r="106" spans="3:79" ht="15.75" x14ac:dyDescent="0.3">
      <c r="C106" s="13"/>
      <c r="D106" s="379"/>
      <c r="E106" s="379"/>
      <c r="F106" s="19" t="s">
        <v>128</v>
      </c>
      <c r="G106" s="256"/>
      <c r="H106" s="54">
        <v>0.72361111111111298</v>
      </c>
      <c r="I106" s="13">
        <v>-8.5707360000000001</v>
      </c>
      <c r="J106" s="13">
        <v>115.613522</v>
      </c>
      <c r="K106" s="13">
        <f t="shared" si="121"/>
        <v>-0.14958756251920871</v>
      </c>
      <c r="L106" s="13">
        <f t="shared" si="121"/>
        <v>2.0178366187268999</v>
      </c>
      <c r="M106" s="13">
        <v>3443</v>
      </c>
      <c r="N106" s="71">
        <f t="shared" si="138"/>
        <v>0.45584598714020563</v>
      </c>
      <c r="O106" s="339"/>
      <c r="P106" s="339"/>
      <c r="Q106" s="437"/>
      <c r="R106" s="15">
        <f t="shared" si="139"/>
        <v>5.000000000001581E-2</v>
      </c>
      <c r="S106" s="331"/>
      <c r="T106" s="20">
        <f t="shared" si="125"/>
        <v>9.1169197428012296</v>
      </c>
      <c r="U106" s="347"/>
      <c r="V106" s="15">
        <f t="shared" si="127"/>
        <v>4.6897435156969518</v>
      </c>
      <c r="W106" s="15">
        <f t="shared" si="140"/>
        <v>1.0697438917555249E-5</v>
      </c>
      <c r="X106" s="15">
        <f t="shared" si="141"/>
        <v>1.3346532789970666E-4</v>
      </c>
      <c r="Y106" s="13">
        <f t="shared" si="142"/>
        <v>1.4908158607637583</v>
      </c>
      <c r="Z106" s="13">
        <f t="shared" si="143"/>
        <v>85.417456852926335</v>
      </c>
      <c r="AA106" s="13">
        <f t="shared" si="144"/>
        <v>274.58254314707369</v>
      </c>
      <c r="AB106" s="13">
        <v>120</v>
      </c>
      <c r="AC106" s="13">
        <v>13</v>
      </c>
      <c r="AD106" s="13">
        <f t="shared" si="128"/>
        <v>4</v>
      </c>
      <c r="AE106" s="16">
        <f t="shared" si="129"/>
        <v>154.58254314707369</v>
      </c>
      <c r="AF106" s="15">
        <f t="shared" si="103"/>
        <v>0.17806697556143994</v>
      </c>
      <c r="AG106" s="366"/>
      <c r="AH106" s="331"/>
      <c r="AI106" s="339"/>
      <c r="AJ106" s="13">
        <f t="shared" si="104"/>
        <v>1.5733411561097301</v>
      </c>
      <c r="AK106" s="13">
        <f t="shared" si="130"/>
        <v>-3.999999999999998E-2</v>
      </c>
      <c r="AL106" s="15">
        <f t="shared" si="145"/>
        <v>18.610006994007279</v>
      </c>
      <c r="AM106" s="15">
        <f t="shared" si="131"/>
        <v>-1.1711955967664625</v>
      </c>
      <c r="AN106" s="15">
        <f t="shared" si="105"/>
        <v>9.0113788702647462</v>
      </c>
      <c r="AO106" s="15">
        <f t="shared" si="132"/>
        <v>4.6354532908641852</v>
      </c>
      <c r="AP106" s="15">
        <f t="shared" si="133"/>
        <v>0.17600560565791237</v>
      </c>
      <c r="AQ106" s="20">
        <f t="shared" si="106"/>
        <v>5.0585597798399225E-2</v>
      </c>
      <c r="AR106" s="13">
        <f t="shared" si="107"/>
        <v>275891410.63731819</v>
      </c>
      <c r="AS106" s="13">
        <f t="shared" si="134"/>
        <v>1.807964809618234E-3</v>
      </c>
      <c r="AT106" s="15">
        <f t="shared" si="108"/>
        <v>650.86120175970336</v>
      </c>
      <c r="AU106" s="13">
        <f t="shared" si="109"/>
        <v>24102.371570290714</v>
      </c>
      <c r="AV106" s="339"/>
      <c r="AW106" s="339"/>
      <c r="AX106" s="339"/>
      <c r="AY106" s="339"/>
      <c r="AZ106" s="339"/>
      <c r="BA106" s="331"/>
      <c r="BB106" s="331"/>
      <c r="BC106" s="331"/>
      <c r="BD106" s="339"/>
      <c r="BE106" s="339"/>
      <c r="BF106" s="339"/>
      <c r="BG106" s="339"/>
      <c r="BH106" s="337"/>
      <c r="BI106" s="331"/>
      <c r="BJ106" s="331"/>
      <c r="BK106" s="331"/>
      <c r="BL106" s="23">
        <f t="shared" si="110"/>
        <v>-3.0723059947583627E-2</v>
      </c>
      <c r="BM106" s="24">
        <f t="shared" si="111"/>
        <v>1864.2605141868667</v>
      </c>
      <c r="BN106" s="24">
        <f t="shared" si="112"/>
        <v>7823.4183775804831</v>
      </c>
      <c r="BO106" s="24">
        <f t="shared" si="113"/>
        <v>60.550034226528147</v>
      </c>
      <c r="BP106" s="24">
        <f t="shared" si="135"/>
        <v>69.632539360507366</v>
      </c>
      <c r="BQ106" s="23">
        <f t="shared" si="136"/>
        <v>322.77838372989379</v>
      </c>
      <c r="BR106" s="23">
        <f t="shared" si="114"/>
        <v>3.3133025776644578</v>
      </c>
      <c r="BS106" s="6">
        <f t="shared" si="115"/>
        <v>777.92578436091844</v>
      </c>
      <c r="BT106" s="23">
        <f t="shared" si="116"/>
        <v>793.80182077644736</v>
      </c>
      <c r="BU106" s="22">
        <f t="shared" si="117"/>
        <v>1012.502322418938</v>
      </c>
      <c r="BV106" s="22">
        <f t="shared" si="118"/>
        <v>48.214396305663712</v>
      </c>
      <c r="BW106" s="23">
        <f t="shared" si="137"/>
        <v>9.1782719171278511E-3</v>
      </c>
      <c r="BX106" s="331"/>
      <c r="BY106" s="361"/>
      <c r="BZ106" s="361"/>
      <c r="CA106" s="361"/>
    </row>
    <row r="107" spans="3:79" ht="15.75" x14ac:dyDescent="0.3">
      <c r="C107" s="13"/>
      <c r="D107" s="379"/>
      <c r="E107" s="379"/>
      <c r="F107" s="19" t="s">
        <v>128</v>
      </c>
      <c r="G107" s="256"/>
      <c r="H107" s="55">
        <v>0.72569444444444697</v>
      </c>
      <c r="I107" s="13">
        <v>-8.5708300000000008</v>
      </c>
      <c r="J107" s="13">
        <v>115.607024</v>
      </c>
      <c r="K107" s="13">
        <f t="shared" si="121"/>
        <v>-0.14958920312870561</v>
      </c>
      <c r="L107" s="13">
        <f t="shared" si="121"/>
        <v>2.017723207232105</v>
      </c>
      <c r="M107" s="13">
        <v>3443</v>
      </c>
      <c r="N107" s="71">
        <f t="shared" si="138"/>
        <v>0.38615645611094945</v>
      </c>
      <c r="O107" s="339"/>
      <c r="P107" s="339"/>
      <c r="Q107" s="437"/>
      <c r="R107" s="15">
        <f t="shared" si="139"/>
        <v>5.000000000001581E-2</v>
      </c>
      <c r="S107" s="331"/>
      <c r="T107" s="20">
        <f t="shared" si="125"/>
        <v>7.7231291222165472</v>
      </c>
      <c r="U107" s="347"/>
      <c r="V107" s="15">
        <f t="shared" si="127"/>
        <v>3.9727776204681917</v>
      </c>
      <c r="W107" s="15">
        <f t="shared" si="140"/>
        <v>-1.6593375866913317E-6</v>
      </c>
      <c r="X107" s="15">
        <f t="shared" si="141"/>
        <v>1.1341149479493495E-4</v>
      </c>
      <c r="Y107" s="13">
        <f t="shared" si="142"/>
        <v>1.5854264064021064</v>
      </c>
      <c r="Z107" s="13">
        <f t="shared" si="143"/>
        <v>90.838241815433534</v>
      </c>
      <c r="AA107" s="13">
        <f t="shared" si="144"/>
        <v>269.16175818456645</v>
      </c>
      <c r="AB107" s="13">
        <v>120</v>
      </c>
      <c r="AC107" s="13">
        <v>13</v>
      </c>
      <c r="AD107" s="13">
        <f t="shared" si="128"/>
        <v>4</v>
      </c>
      <c r="AE107" s="16">
        <f t="shared" si="129"/>
        <v>149.16175818456645</v>
      </c>
      <c r="AF107" s="15">
        <f t="shared" si="103"/>
        <v>0.15084417582478685</v>
      </c>
      <c r="AG107" s="366"/>
      <c r="AH107" s="331"/>
      <c r="AI107" s="339"/>
      <c r="AJ107" s="13">
        <f t="shared" si="104"/>
        <v>1.777930551037282</v>
      </c>
      <c r="AK107" s="13">
        <f t="shared" si="130"/>
        <v>0.33</v>
      </c>
      <c r="AL107" s="15">
        <f t="shared" si="145"/>
        <v>18.610006994007279</v>
      </c>
      <c r="AM107" s="15">
        <f t="shared" si="131"/>
        <v>10.918808996588801</v>
      </c>
      <c r="AN107" s="15">
        <f t="shared" si="105"/>
        <v>8.669764105332634</v>
      </c>
      <c r="AO107" s="15">
        <f t="shared" si="132"/>
        <v>4.4597266557831068</v>
      </c>
      <c r="AP107" s="15">
        <f t="shared" si="133"/>
        <v>0.16933336221224363</v>
      </c>
      <c r="AQ107" s="20">
        <f t="shared" si="106"/>
        <v>4.4540595501719682E-2</v>
      </c>
      <c r="AR107" s="13">
        <f t="shared" si="107"/>
        <v>265432569.57109109</v>
      </c>
      <c r="AS107" s="13">
        <f t="shared" si="134"/>
        <v>1.8174245487170028E-3</v>
      </c>
      <c r="AT107" s="15">
        <f t="shared" si="108"/>
        <v>605.60139077279803</v>
      </c>
      <c r="AU107" s="13">
        <f t="shared" si="109"/>
        <v>22426.332533614099</v>
      </c>
      <c r="AV107" s="339"/>
      <c r="AW107" s="339"/>
      <c r="AX107" s="339"/>
      <c r="AY107" s="339"/>
      <c r="AZ107" s="339"/>
      <c r="BA107" s="331"/>
      <c r="BB107" s="331"/>
      <c r="BC107" s="331"/>
      <c r="BD107" s="339"/>
      <c r="BE107" s="339"/>
      <c r="BF107" s="339"/>
      <c r="BG107" s="339"/>
      <c r="BH107" s="337"/>
      <c r="BI107" s="331"/>
      <c r="BJ107" s="331"/>
      <c r="BK107" s="331"/>
      <c r="BL107" s="23">
        <f t="shared" si="110"/>
        <v>-2.3703148212051876E-2</v>
      </c>
      <c r="BM107" s="24">
        <f t="shared" si="111"/>
        <v>1233.798995147574</v>
      </c>
      <c r="BN107" s="24">
        <f t="shared" si="112"/>
        <v>7241.5014023669019</v>
      </c>
      <c r="BO107" s="24">
        <f t="shared" si="113"/>
        <v>55.800771704503731</v>
      </c>
      <c r="BP107" s="24">
        <f t="shared" si="135"/>
        <v>64.170887460179287</v>
      </c>
      <c r="BQ107" s="23">
        <f t="shared" si="136"/>
        <v>286.18461733141947</v>
      </c>
      <c r="BR107" s="23">
        <f t="shared" si="114"/>
        <v>3.1876977065883234</v>
      </c>
      <c r="BS107" s="6">
        <f t="shared" si="115"/>
        <v>689.73141985825953</v>
      </c>
      <c r="BT107" s="23">
        <f t="shared" si="116"/>
        <v>703.80757128393827</v>
      </c>
      <c r="BU107" s="22">
        <f t="shared" si="117"/>
        <v>897.71373888257426</v>
      </c>
      <c r="BV107" s="22">
        <f t="shared" si="118"/>
        <v>42.748273280122582</v>
      </c>
      <c r="BW107" s="23">
        <f t="shared" si="137"/>
        <v>7.1652590499670012E-3</v>
      </c>
      <c r="BX107" s="331"/>
      <c r="BY107" s="361"/>
      <c r="BZ107" s="361"/>
      <c r="CA107" s="361"/>
    </row>
    <row r="108" spans="3:79" ht="15.75" x14ac:dyDescent="0.3">
      <c r="C108" s="13"/>
      <c r="D108" s="379"/>
      <c r="E108" s="379"/>
      <c r="F108" s="19" t="s">
        <v>128</v>
      </c>
      <c r="G108" s="257"/>
      <c r="H108" s="54">
        <v>0.72777777777778097</v>
      </c>
      <c r="I108" s="13">
        <v>-8.57</v>
      </c>
      <c r="J108" s="13">
        <v>115.60189800000001</v>
      </c>
      <c r="K108" s="13">
        <f t="shared" si="121"/>
        <v>-0.14957471689591403</v>
      </c>
      <c r="L108" s="13">
        <f t="shared" si="121"/>
        <v>2.0176337416546479</v>
      </c>
      <c r="M108" s="13">
        <v>3443</v>
      </c>
      <c r="N108" s="71">
        <f t="shared" si="138"/>
        <v>0.30864690113461823</v>
      </c>
      <c r="O108" s="339"/>
      <c r="P108" s="339"/>
      <c r="Q108" s="437"/>
      <c r="R108" s="15">
        <f t="shared" si="139"/>
        <v>5.000000000001581E-2</v>
      </c>
      <c r="S108" s="331"/>
      <c r="T108" s="20">
        <f t="shared" si="125"/>
        <v>6.1729380226904125</v>
      </c>
      <c r="U108" s="347"/>
      <c r="V108" s="15">
        <f t="shared" si="127"/>
        <v>3.1753593188719478</v>
      </c>
      <c r="W108" s="15">
        <f t="shared" si="140"/>
        <v>1.4651583579327507E-5</v>
      </c>
      <c r="X108" s="15">
        <f t="shared" si="141"/>
        <v>8.9465577457037426E-5</v>
      </c>
      <c r="Y108" s="13">
        <f t="shared" si="142"/>
        <v>1.4084694570212495</v>
      </c>
      <c r="Z108" s="13">
        <f t="shared" si="143"/>
        <v>80.699355460400284</v>
      </c>
      <c r="AA108" s="13">
        <f t="shared" si="144"/>
        <v>279.30064453959972</v>
      </c>
      <c r="AB108" s="13">
        <v>120</v>
      </c>
      <c r="AC108" s="13">
        <v>13</v>
      </c>
      <c r="AD108" s="13">
        <f t="shared" si="128"/>
        <v>4</v>
      </c>
      <c r="AE108" s="16">
        <f t="shared" si="129"/>
        <v>159.30064453959972</v>
      </c>
      <c r="AF108" s="15">
        <f t="shared" si="103"/>
        <v>0.12056664257647202</v>
      </c>
      <c r="AG108" s="366"/>
      <c r="AH108" s="331"/>
      <c r="AI108" s="339"/>
      <c r="AJ108" s="13">
        <f t="shared" si="104"/>
        <v>1.9852821649619654</v>
      </c>
      <c r="AK108" s="13">
        <f t="shared" si="130"/>
        <v>-3.999999999999998E-2</v>
      </c>
      <c r="AL108" s="15">
        <f t="shared" si="145"/>
        <v>18.610006994007279</v>
      </c>
      <c r="AM108" s="15">
        <f t="shared" si="131"/>
        <v>-1.4778445990008029</v>
      </c>
      <c r="AN108" s="15">
        <f t="shared" si="105"/>
        <v>6.0830401424895797</v>
      </c>
      <c r="AO108" s="15">
        <f t="shared" si="132"/>
        <v>3.1291158492966398</v>
      </c>
      <c r="AP108" s="15">
        <f t="shared" si="133"/>
        <v>0.11881080353342389</v>
      </c>
      <c r="AQ108" s="20">
        <f t="shared" si="106"/>
        <v>5.0738922299516445E-2</v>
      </c>
      <c r="AR108" s="13">
        <f t="shared" si="107"/>
        <v>186237705.6870518</v>
      </c>
      <c r="AS108" s="13">
        <f t="shared" si="134"/>
        <v>1.9077295873568779E-3</v>
      </c>
      <c r="AT108" s="15">
        <f t="shared" si="108"/>
        <v>312.94937757516425</v>
      </c>
      <c r="AU108" s="13">
        <f t="shared" si="109"/>
        <v>11588.987268890254</v>
      </c>
      <c r="AV108" s="339"/>
      <c r="AW108" s="339"/>
      <c r="AX108" s="339"/>
      <c r="AY108" s="339"/>
      <c r="AZ108" s="339"/>
      <c r="BA108" s="331"/>
      <c r="BB108" s="331"/>
      <c r="BC108" s="331"/>
      <c r="BD108" s="339"/>
      <c r="BE108" s="339"/>
      <c r="BF108" s="339"/>
      <c r="BG108" s="339"/>
      <c r="BH108" s="337"/>
      <c r="BI108" s="331"/>
      <c r="BJ108" s="331"/>
      <c r="BK108" s="331"/>
      <c r="BL108" s="23">
        <f t="shared" si="110"/>
        <v>-6.4983120999460397E-4</v>
      </c>
      <c r="BM108" s="24">
        <f t="shared" si="111"/>
        <v>14.73869019122346</v>
      </c>
      <c r="BN108" s="24">
        <f t="shared" si="112"/>
        <v>3564.9662445795625</v>
      </c>
      <c r="BO108" s="24">
        <f t="shared" si="113"/>
        <v>28.035521936898498</v>
      </c>
      <c r="BP108" s="24">
        <f t="shared" si="135"/>
        <v>32.24085022743327</v>
      </c>
      <c r="BQ108" s="23">
        <f t="shared" si="136"/>
        <v>100.88535544146062</v>
      </c>
      <c r="BR108" s="23">
        <f t="shared" si="114"/>
        <v>2.2366113859282182</v>
      </c>
      <c r="BS108" s="6">
        <f t="shared" si="115"/>
        <v>243.14304556405099</v>
      </c>
      <c r="BT108" s="23">
        <f t="shared" si="116"/>
        <v>248.10514853474592</v>
      </c>
      <c r="BU108" s="22">
        <f t="shared" si="117"/>
        <v>316.46064864125754</v>
      </c>
      <c r="BV108" s="22">
        <f t="shared" si="118"/>
        <v>15.069554697202738</v>
      </c>
      <c r="BW108" s="23">
        <f t="shared" si="137"/>
        <v>2.8773915093975905E-3</v>
      </c>
      <c r="BX108" s="331"/>
      <c r="BY108" s="362"/>
      <c r="BZ108" s="362"/>
      <c r="CA108" s="362"/>
    </row>
    <row r="109" spans="3:79" ht="15.75" x14ac:dyDescent="0.3">
      <c r="C109" s="13">
        <v>12</v>
      </c>
      <c r="D109" s="379"/>
      <c r="E109" s="379"/>
      <c r="F109" s="19" t="s">
        <v>128</v>
      </c>
      <c r="G109" s="255">
        <v>0.72916666666666596</v>
      </c>
      <c r="H109" s="55">
        <v>0.72916666666666596</v>
      </c>
      <c r="I109" s="13">
        <v>-8.5691869999999994</v>
      </c>
      <c r="J109" s="13">
        <v>115.597943</v>
      </c>
      <c r="K109" s="13">
        <f t="shared" si="121"/>
        <v>-0.14956052736909531</v>
      </c>
      <c r="L109" s="13">
        <f t="shared" si="121"/>
        <v>2.0175647138827313</v>
      </c>
      <c r="M109" s="13">
        <v>3443</v>
      </c>
      <c r="N109" s="71">
        <f t="shared" si="138"/>
        <v>0.24003357577649539</v>
      </c>
      <c r="O109" s="398"/>
      <c r="P109" s="398"/>
      <c r="Q109" s="437"/>
      <c r="R109" s="15">
        <f t="shared" si="139"/>
        <v>3.3333333333239956E-2</v>
      </c>
      <c r="S109" s="358"/>
      <c r="T109" s="20">
        <f t="shared" si="125"/>
        <v>7.2010072733150343</v>
      </c>
      <c r="U109" s="348"/>
      <c r="V109" s="15">
        <f t="shared" si="127"/>
        <v>3.7041981413932534</v>
      </c>
      <c r="W109" s="15">
        <f t="shared" si="140"/>
        <v>1.4351459726212245E-5</v>
      </c>
      <c r="X109" s="15">
        <f t="shared" si="141"/>
        <v>6.9027771916641001E-5</v>
      </c>
      <c r="Y109" s="13">
        <f t="shared" si="142"/>
        <v>1.3658081445095813</v>
      </c>
      <c r="Z109" s="13">
        <f t="shared" si="143"/>
        <v>78.255042304993054</v>
      </c>
      <c r="AA109" s="13">
        <f t="shared" si="144"/>
        <v>281.74495769500697</v>
      </c>
      <c r="AB109" s="13">
        <v>120</v>
      </c>
      <c r="AC109" s="13">
        <v>13</v>
      </c>
      <c r="AD109" s="13">
        <f t="shared" si="128"/>
        <v>4</v>
      </c>
      <c r="AE109" s="16">
        <f t="shared" si="129"/>
        <v>161.74495769500697</v>
      </c>
      <c r="AF109" s="15">
        <f t="shared" si="103"/>
        <v>0.14064636108786857</v>
      </c>
      <c r="AG109" s="366"/>
      <c r="AH109" s="331"/>
      <c r="AI109" s="339"/>
      <c r="AJ109" s="13">
        <f t="shared" si="104"/>
        <v>1.8501442368826808</v>
      </c>
      <c r="AK109" s="13">
        <f t="shared" si="130"/>
        <v>-3.999999999999998E-2</v>
      </c>
      <c r="AL109" s="15">
        <f t="shared" si="145"/>
        <v>18.610006994007279</v>
      </c>
      <c r="AM109" s="15">
        <f t="shared" si="131"/>
        <v>-1.3772478875323573</v>
      </c>
      <c r="AN109" s="15">
        <f t="shared" si="105"/>
        <v>7.1031788920762704</v>
      </c>
      <c r="AO109" s="15">
        <f t="shared" si="132"/>
        <v>3.6538752220840331</v>
      </c>
      <c r="AP109" s="15">
        <f t="shared" si="133"/>
        <v>0.13873562758766275</v>
      </c>
      <c r="AQ109" s="20">
        <f t="shared" si="106"/>
        <v>3.3792415962416118E-2</v>
      </c>
      <c r="AR109" s="13">
        <f t="shared" si="107"/>
        <v>217470164.41742069</v>
      </c>
      <c r="AS109" s="13">
        <f t="shared" si="134"/>
        <v>1.86740736721881E-3</v>
      </c>
      <c r="AT109" s="15">
        <f t="shared" si="108"/>
        <v>417.69616189202696</v>
      </c>
      <c r="AU109" s="13">
        <f t="shared" si="109"/>
        <v>15467.918613349497</v>
      </c>
      <c r="AV109" s="339"/>
      <c r="AW109" s="339"/>
      <c r="AX109" s="339"/>
      <c r="AY109" s="339"/>
      <c r="AZ109" s="339"/>
      <c r="BA109" s="331"/>
      <c r="BB109" s="331"/>
      <c r="BC109" s="331"/>
      <c r="BD109" s="339"/>
      <c r="BE109" s="339"/>
      <c r="BF109" s="339"/>
      <c r="BG109" s="339"/>
      <c r="BH109" s="337"/>
      <c r="BI109" s="331"/>
      <c r="BJ109" s="331"/>
      <c r="BK109" s="331"/>
      <c r="BL109" s="23">
        <f t="shared" si="110"/>
        <v>-4.2958687315909289E-3</v>
      </c>
      <c r="BM109" s="24">
        <f t="shared" si="111"/>
        <v>121.99593147406486</v>
      </c>
      <c r="BN109" s="24">
        <f t="shared" si="112"/>
        <v>4860.9321825093029</v>
      </c>
      <c r="BO109" s="24">
        <f t="shared" si="113"/>
        <v>37.624312407099772</v>
      </c>
      <c r="BP109" s="24">
        <f t="shared" si="135"/>
        <v>43.267959268164738</v>
      </c>
      <c r="BQ109" s="23">
        <f t="shared" si="136"/>
        <v>158.09572428008832</v>
      </c>
      <c r="BR109" s="23">
        <f t="shared" si="114"/>
        <v>2.6116958649233482</v>
      </c>
      <c r="BS109" s="6">
        <f t="shared" si="115"/>
        <v>381.02533042489148</v>
      </c>
      <c r="BT109" s="23">
        <f t="shared" si="116"/>
        <v>388.80135757641989</v>
      </c>
      <c r="BU109" s="22">
        <f t="shared" si="117"/>
        <v>495.92009894951514</v>
      </c>
      <c r="BV109" s="22">
        <f t="shared" si="118"/>
        <v>23.615242807119767</v>
      </c>
      <c r="BW109" s="23">
        <f t="shared" si="137"/>
        <v>3.0030942175941636E-3</v>
      </c>
      <c r="BX109" s="331"/>
      <c r="BY109" s="360">
        <f t="shared" ref="BY109" si="152">SUM(BW110:BW115)*1000</f>
        <v>12.248220520391657</v>
      </c>
      <c r="BZ109" s="360">
        <v>60</v>
      </c>
      <c r="CA109" s="360">
        <f t="shared" ref="CA109" si="153">AVERAGE(AN109:AN115)</f>
        <v>5.5962618367245858</v>
      </c>
    </row>
    <row r="110" spans="3:79" ht="15.75" x14ac:dyDescent="0.3">
      <c r="C110" s="13"/>
      <c r="D110" s="379"/>
      <c r="E110" s="379"/>
      <c r="F110" s="19" t="s">
        <v>128</v>
      </c>
      <c r="G110" s="256"/>
      <c r="H110" s="55">
        <v>0.73125000000000007</v>
      </c>
      <c r="I110" s="13">
        <v>-8.5682290000000005</v>
      </c>
      <c r="J110" s="13">
        <v>115.593583</v>
      </c>
      <c r="K110" s="13">
        <f t="shared" si="121"/>
        <v>-0.14954380711486123</v>
      </c>
      <c r="L110" s="13">
        <f t="shared" si="121"/>
        <v>2.0174886175273445</v>
      </c>
      <c r="M110" s="13">
        <v>3443</v>
      </c>
      <c r="N110" s="71">
        <f t="shared" si="138"/>
        <v>0.26539415745427103</v>
      </c>
      <c r="O110" s="357">
        <f t="shared" ref="O110" si="154">SUM(N110:N116)</f>
        <v>1.8101870773855202</v>
      </c>
      <c r="P110" s="338">
        <v>1.82</v>
      </c>
      <c r="Q110" s="437">
        <f t="shared" ref="Q110" si="155">ABS((O110-P110)/P110*100%)</f>
        <v>5.3917157222416797E-3</v>
      </c>
      <c r="R110" s="15">
        <f t="shared" si="139"/>
        <v>5.0000000000018474E-2</v>
      </c>
      <c r="S110" s="357">
        <f t="shared" ref="S110" si="156">SUM(R110:R116)</f>
        <v>0.33333333333333748</v>
      </c>
      <c r="T110" s="20">
        <f t="shared" si="125"/>
        <v>5.3078831490834597</v>
      </c>
      <c r="U110" s="346">
        <f t="shared" ref="U110" si="157">AVERAGE(T110:T116)</f>
        <v>5.4318984753703479</v>
      </c>
      <c r="V110" s="15">
        <f t="shared" si="127"/>
        <v>2.7303750918885314</v>
      </c>
      <c r="W110" s="15">
        <f t="shared" si="140"/>
        <v>1.6911028569301402E-5</v>
      </c>
      <c r="X110" s="15">
        <f t="shared" si="141"/>
        <v>7.6096355386745529E-5</v>
      </c>
      <c r="Y110" s="13">
        <f t="shared" si="142"/>
        <v>1.3521182721856144</v>
      </c>
      <c r="Z110" s="13">
        <f t="shared" si="143"/>
        <v>77.470670398756795</v>
      </c>
      <c r="AA110" s="13">
        <f t="shared" si="144"/>
        <v>282.52932960124321</v>
      </c>
      <c r="AB110" s="13">
        <v>120</v>
      </c>
      <c r="AC110" s="13">
        <v>13</v>
      </c>
      <c r="AD110" s="13">
        <f t="shared" si="128"/>
        <v>4</v>
      </c>
      <c r="AE110" s="16">
        <f t="shared" si="129"/>
        <v>162.52932960124321</v>
      </c>
      <c r="AF110" s="15">
        <f t="shared" si="103"/>
        <v>0.10367083682371186</v>
      </c>
      <c r="AG110" s="366"/>
      <c r="AH110" s="331"/>
      <c r="AI110" s="339"/>
      <c r="AJ110" s="13">
        <f t="shared" si="104"/>
        <v>2.0917452518226134</v>
      </c>
      <c r="AK110" s="13">
        <f t="shared" si="130"/>
        <v>-3.999999999999998E-2</v>
      </c>
      <c r="AL110" s="15">
        <f t="shared" si="145"/>
        <v>18.610006994007279</v>
      </c>
      <c r="AM110" s="15">
        <f t="shared" si="131"/>
        <v>-1.5570957506440133</v>
      </c>
      <c r="AN110" s="15">
        <f t="shared" si="105"/>
        <v>5.2265015160693977</v>
      </c>
      <c r="AO110" s="15">
        <f t="shared" si="132"/>
        <v>2.6885123798660979</v>
      </c>
      <c r="AP110" s="15">
        <f t="shared" si="133"/>
        <v>0.10208133272957881</v>
      </c>
      <c r="AQ110" s="20">
        <f t="shared" si="106"/>
        <v>5.0778547875340772E-2</v>
      </c>
      <c r="AR110" s="13">
        <f t="shared" si="107"/>
        <v>160014010.81076786</v>
      </c>
      <c r="AS110" s="13">
        <f t="shared" si="134"/>
        <v>1.9484782534974121E-3</v>
      </c>
      <c r="AT110" s="15">
        <f t="shared" si="108"/>
        <v>235.95741870552951</v>
      </c>
      <c r="AU110" s="13">
        <f t="shared" si="109"/>
        <v>8737.8589552293124</v>
      </c>
      <c r="AV110" s="339"/>
      <c r="AW110" s="339"/>
      <c r="AX110" s="339"/>
      <c r="AY110" s="339"/>
      <c r="AZ110" s="339"/>
      <c r="BA110" s="331"/>
      <c r="BB110" s="331"/>
      <c r="BC110" s="331"/>
      <c r="BD110" s="339"/>
      <c r="BE110" s="339"/>
      <c r="BF110" s="339"/>
      <c r="BG110" s="339"/>
      <c r="BH110" s="337"/>
      <c r="BI110" s="331"/>
      <c r="BJ110" s="331"/>
      <c r="BK110" s="331"/>
      <c r="BL110" s="23">
        <f t="shared" si="110"/>
        <v>-5.269344911391328E-5</v>
      </c>
      <c r="BM110" s="24">
        <f t="shared" si="111"/>
        <v>1.3671741672292657</v>
      </c>
      <c r="BN110" s="24">
        <f t="shared" si="112"/>
        <v>2631.6990191582804</v>
      </c>
      <c r="BO110" s="24">
        <f t="shared" si="113"/>
        <v>21.072251140325086</v>
      </c>
      <c r="BP110" s="24">
        <f t="shared" si="135"/>
        <v>24.23308881137385</v>
      </c>
      <c r="BQ110" s="23">
        <f t="shared" si="136"/>
        <v>65.150959271773218</v>
      </c>
      <c r="BR110" s="23">
        <f t="shared" si="114"/>
        <v>1.9216793783359343</v>
      </c>
      <c r="BS110" s="6">
        <f t="shared" si="115"/>
        <v>157.01984286460913</v>
      </c>
      <c r="BT110" s="23">
        <f t="shared" si="116"/>
        <v>160.2243294536828</v>
      </c>
      <c r="BU110" s="22">
        <f t="shared" si="117"/>
        <v>204.36776716030968</v>
      </c>
      <c r="BV110" s="22">
        <f t="shared" si="118"/>
        <v>9.7317984362052226</v>
      </c>
      <c r="BW110" s="23">
        <f t="shared" si="137"/>
        <v>1.8596477220475895E-3</v>
      </c>
      <c r="BX110" s="331"/>
      <c r="BY110" s="361"/>
      <c r="BZ110" s="361"/>
      <c r="CA110" s="361"/>
    </row>
    <row r="111" spans="3:79" ht="15.75" x14ac:dyDescent="0.3">
      <c r="C111" s="13"/>
      <c r="D111" s="379"/>
      <c r="E111" s="379"/>
      <c r="F111" s="19" t="s">
        <v>128</v>
      </c>
      <c r="G111" s="256"/>
      <c r="H111" s="55">
        <v>0.73333333333333395</v>
      </c>
      <c r="I111" s="13">
        <v>-8.5673519999999996</v>
      </c>
      <c r="J111" s="13">
        <v>115.589068</v>
      </c>
      <c r="K111" s="13">
        <f t="shared" si="121"/>
        <v>-0.14952850057732123</v>
      </c>
      <c r="L111" s="13">
        <f t="shared" si="121"/>
        <v>2.0174098159116167</v>
      </c>
      <c r="M111" s="13">
        <v>3443</v>
      </c>
      <c r="N111" s="71">
        <f t="shared" si="138"/>
        <v>0.27341325127205157</v>
      </c>
      <c r="O111" s="339"/>
      <c r="P111" s="339"/>
      <c r="Q111" s="437"/>
      <c r="R111" s="15">
        <f t="shared" si="139"/>
        <v>5.0000000000013145E-2</v>
      </c>
      <c r="S111" s="331"/>
      <c r="T111" s="20">
        <f t="shared" si="125"/>
        <v>5.4682650254395941</v>
      </c>
      <c r="U111" s="347"/>
      <c r="V111" s="15">
        <f t="shared" si="127"/>
        <v>2.8128755290861269</v>
      </c>
      <c r="W111" s="15">
        <f t="shared" si="140"/>
        <v>1.5481144131914265E-5</v>
      </c>
      <c r="X111" s="15">
        <f t="shared" si="141"/>
        <v>7.8801615727819296E-5</v>
      </c>
      <c r="Y111" s="13">
        <f t="shared" si="142"/>
        <v>1.3768096226211011</v>
      </c>
      <c r="Z111" s="13">
        <f t="shared" si="143"/>
        <v>78.885380569188683</v>
      </c>
      <c r="AA111" s="13">
        <f t="shared" si="144"/>
        <v>281.11461943081133</v>
      </c>
      <c r="AB111" s="13">
        <v>120</v>
      </c>
      <c r="AC111" s="13">
        <v>13</v>
      </c>
      <c r="AD111" s="13">
        <f t="shared" si="128"/>
        <v>4</v>
      </c>
      <c r="AE111" s="16">
        <f t="shared" si="129"/>
        <v>161.11461943081133</v>
      </c>
      <c r="AF111" s="15">
        <f t="shared" si="103"/>
        <v>0.10680333293679389</v>
      </c>
      <c r="AG111" s="366"/>
      <c r="AH111" s="331"/>
      <c r="AI111" s="339"/>
      <c r="AJ111" s="13">
        <f t="shared" si="104"/>
        <v>2.0725070257875342</v>
      </c>
      <c r="AK111" s="13">
        <f t="shared" si="130"/>
        <v>-3.999999999999998E-2</v>
      </c>
      <c r="AL111" s="15">
        <f t="shared" si="145"/>
        <v>18.610006994007279</v>
      </c>
      <c r="AM111" s="15">
        <f t="shared" si="131"/>
        <v>-1.5427748098014085</v>
      </c>
      <c r="AN111" s="15">
        <f t="shared" si="105"/>
        <v>5.3851837668235261</v>
      </c>
      <c r="AO111" s="15">
        <f t="shared" si="132"/>
        <v>2.7701385296540217</v>
      </c>
      <c r="AP111" s="15">
        <f t="shared" si="133"/>
        <v>0.10518063263176132</v>
      </c>
      <c r="AQ111" s="20">
        <f t="shared" si="106"/>
        <v>5.0771387404914048E-2</v>
      </c>
      <c r="AR111" s="13">
        <f t="shared" si="107"/>
        <v>164872209.60963547</v>
      </c>
      <c r="AS111" s="13">
        <f t="shared" si="134"/>
        <v>1.9403448720564061E-3</v>
      </c>
      <c r="AT111" s="15">
        <f t="shared" si="108"/>
        <v>249.45711486540566</v>
      </c>
      <c r="AU111" s="13">
        <f t="shared" si="109"/>
        <v>9237.7730568098978</v>
      </c>
      <c r="AV111" s="339"/>
      <c r="AW111" s="339"/>
      <c r="AX111" s="339"/>
      <c r="AY111" s="339"/>
      <c r="AZ111" s="339"/>
      <c r="BA111" s="331"/>
      <c r="BB111" s="331"/>
      <c r="BC111" s="331"/>
      <c r="BD111" s="339"/>
      <c r="BE111" s="339"/>
      <c r="BF111" s="339"/>
      <c r="BG111" s="339"/>
      <c r="BH111" s="337"/>
      <c r="BI111" s="331"/>
      <c r="BJ111" s="331"/>
      <c r="BK111" s="331"/>
      <c r="BL111" s="23">
        <f t="shared" si="110"/>
        <v>-9.1991967315323321E-5</v>
      </c>
      <c r="BM111" s="24">
        <f t="shared" si="111"/>
        <v>2.2416840216949283</v>
      </c>
      <c r="BN111" s="24">
        <f t="shared" si="112"/>
        <v>2793.9273764005375</v>
      </c>
      <c r="BO111" s="24">
        <f t="shared" si="113"/>
        <v>22.290304496310267</v>
      </c>
      <c r="BP111" s="24">
        <f t="shared" si="135"/>
        <v>25.633850170756805</v>
      </c>
      <c r="BQ111" s="23">
        <f t="shared" si="136"/>
        <v>71.009316021391754</v>
      </c>
      <c r="BR111" s="23">
        <f t="shared" si="114"/>
        <v>1.9800236470680075</v>
      </c>
      <c r="BS111" s="6">
        <f t="shared" si="115"/>
        <v>171.13902493885473</v>
      </c>
      <c r="BT111" s="23">
        <f t="shared" si="116"/>
        <v>174.63165810087219</v>
      </c>
      <c r="BU111" s="22">
        <f t="shared" si="117"/>
        <v>222.74446186335737</v>
      </c>
      <c r="BV111" s="22">
        <f t="shared" si="118"/>
        <v>10.606879136350351</v>
      </c>
      <c r="BW111" s="23">
        <f t="shared" si="137"/>
        <v>2.0265809295090006E-3</v>
      </c>
      <c r="BX111" s="331"/>
      <c r="BY111" s="361"/>
      <c r="BZ111" s="361"/>
      <c r="CA111" s="361"/>
    </row>
    <row r="112" spans="3:79" ht="15.75" x14ac:dyDescent="0.3">
      <c r="C112" s="13"/>
      <c r="D112" s="379"/>
      <c r="E112" s="379"/>
      <c r="F112" s="19" t="s">
        <v>128</v>
      </c>
      <c r="G112" s="256"/>
      <c r="H112" s="55">
        <v>0.73541666666666805</v>
      </c>
      <c r="I112" s="13">
        <v>-8.5664429999999996</v>
      </c>
      <c r="J112" s="13">
        <v>115.58493199999999</v>
      </c>
      <c r="K112" s="13">
        <f t="shared" si="121"/>
        <v>-0.1495126355344206</v>
      </c>
      <c r="L112" s="13">
        <f t="shared" si="121"/>
        <v>2.0173376290937544</v>
      </c>
      <c r="M112" s="13">
        <v>3443</v>
      </c>
      <c r="N112" s="71">
        <f t="shared" si="138"/>
        <v>0.25176321687352787</v>
      </c>
      <c r="O112" s="339"/>
      <c r="P112" s="339"/>
      <c r="Q112" s="437"/>
      <c r="R112" s="15">
        <f t="shared" si="139"/>
        <v>5.0000000000018474E-2</v>
      </c>
      <c r="S112" s="331"/>
      <c r="T112" s="20">
        <f t="shared" si="125"/>
        <v>5.0352643374686972</v>
      </c>
      <c r="U112" s="347"/>
      <c r="V112" s="15">
        <f t="shared" si="127"/>
        <v>2.5901399751938978</v>
      </c>
      <c r="W112" s="15">
        <f t="shared" si="140"/>
        <v>1.6045982662801302E-5</v>
      </c>
      <c r="X112" s="15">
        <f t="shared" si="141"/>
        <v>7.2186817862363029E-5</v>
      </c>
      <c r="Y112" s="13">
        <f t="shared" si="142"/>
        <v>1.3520684049550427</v>
      </c>
      <c r="Z112" s="13">
        <f t="shared" si="143"/>
        <v>77.467813216909022</v>
      </c>
      <c r="AA112" s="13">
        <f t="shared" si="144"/>
        <v>282.53218678309099</v>
      </c>
      <c r="AB112" s="13">
        <v>120</v>
      </c>
      <c r="AC112" s="13">
        <v>13</v>
      </c>
      <c r="AD112" s="13">
        <f t="shared" si="128"/>
        <v>4</v>
      </c>
      <c r="AE112" s="16">
        <f t="shared" si="129"/>
        <v>162.53218678309099</v>
      </c>
      <c r="AF112" s="15">
        <f t="shared" si="103"/>
        <v>9.8346186762628948E-2</v>
      </c>
      <c r="AG112" s="366"/>
      <c r="AH112" s="331"/>
      <c r="AI112" s="339"/>
      <c r="AJ112" s="13">
        <f t="shared" si="104"/>
        <v>2.1239242285495741</v>
      </c>
      <c r="AK112" s="13">
        <f t="shared" si="130"/>
        <v>-3.999999999999998E-2</v>
      </c>
      <c r="AL112" s="15">
        <f t="shared" si="145"/>
        <v>18.610006994007279</v>
      </c>
      <c r="AM112" s="15">
        <f t="shared" si="131"/>
        <v>-1.5810497899219627</v>
      </c>
      <c r="AN112" s="15">
        <f t="shared" si="105"/>
        <v>4.9568933850182102</v>
      </c>
      <c r="AO112" s="15">
        <f t="shared" si="132"/>
        <v>2.549825957253367</v>
      </c>
      <c r="AP112" s="15">
        <f t="shared" si="133"/>
        <v>9.6815485728900211E-2</v>
      </c>
      <c r="AQ112" s="20">
        <f t="shared" si="106"/>
        <v>5.0790524894979754E-2</v>
      </c>
      <c r="AR112" s="13">
        <f t="shared" si="107"/>
        <v>151759717.13763794</v>
      </c>
      <c r="AS112" s="13">
        <f t="shared" si="134"/>
        <v>1.9630067051352403E-3</v>
      </c>
      <c r="AT112" s="15">
        <f t="shared" si="108"/>
        <v>213.82419763878573</v>
      </c>
      <c r="AU112" s="13">
        <f t="shared" si="109"/>
        <v>7918.2324100369669</v>
      </c>
      <c r="AV112" s="339"/>
      <c r="AW112" s="339"/>
      <c r="AX112" s="339"/>
      <c r="AY112" s="339"/>
      <c r="AZ112" s="339"/>
      <c r="BA112" s="331"/>
      <c r="BB112" s="331"/>
      <c r="BC112" s="331"/>
      <c r="BD112" s="339"/>
      <c r="BE112" s="339"/>
      <c r="BF112" s="339"/>
      <c r="BG112" s="339"/>
      <c r="BH112" s="337"/>
      <c r="BI112" s="331"/>
      <c r="BJ112" s="331"/>
      <c r="BK112" s="331"/>
      <c r="BL112" s="23">
        <f t="shared" si="110"/>
        <v>-1.8032892419309664E-5</v>
      </c>
      <c r="BM112" s="24">
        <f t="shared" si="111"/>
        <v>0.55084972164599133</v>
      </c>
      <c r="BN112" s="24">
        <f t="shared" si="112"/>
        <v>2367.1905216398613</v>
      </c>
      <c r="BO112" s="24">
        <f t="shared" si="113"/>
        <v>19.077298324626167</v>
      </c>
      <c r="BP112" s="24">
        <f t="shared" si="135"/>
        <v>21.938893073320092</v>
      </c>
      <c r="BQ112" s="23">
        <f t="shared" si="136"/>
        <v>55.940359031757666</v>
      </c>
      <c r="BR112" s="23">
        <f t="shared" si="114"/>
        <v>1.8225498967735911</v>
      </c>
      <c r="BS112" s="6">
        <f t="shared" si="115"/>
        <v>134.8214436615668</v>
      </c>
      <c r="BT112" s="23">
        <f t="shared" si="116"/>
        <v>137.57290169547633</v>
      </c>
      <c r="BU112" s="22">
        <f t="shared" si="117"/>
        <v>175.4756399176994</v>
      </c>
      <c r="BV112" s="22">
        <f t="shared" si="118"/>
        <v>8.3559828532237805</v>
      </c>
      <c r="BW112" s="23">
        <f t="shared" si="137"/>
        <v>1.5971199745002725E-3</v>
      </c>
      <c r="BX112" s="331"/>
      <c r="BY112" s="361"/>
      <c r="BZ112" s="361"/>
      <c r="CA112" s="361"/>
    </row>
    <row r="113" spans="3:79" ht="15.75" x14ac:dyDescent="0.3">
      <c r="C113" s="13"/>
      <c r="D113" s="379"/>
      <c r="E113" s="379"/>
      <c r="F113" s="19" t="s">
        <v>128</v>
      </c>
      <c r="G113" s="256"/>
      <c r="H113" s="55">
        <v>0.73750000000000204</v>
      </c>
      <c r="I113" s="13">
        <v>-8.565194</v>
      </c>
      <c r="J113" s="13">
        <v>115.57954100000001</v>
      </c>
      <c r="K113" s="13">
        <f t="shared" si="121"/>
        <v>-0.1494908363720632</v>
      </c>
      <c r="L113" s="13">
        <f t="shared" si="121"/>
        <v>2.0172435383937795</v>
      </c>
      <c r="M113" s="13">
        <v>3443</v>
      </c>
      <c r="N113" s="71">
        <f t="shared" si="138"/>
        <v>0.32901572495438058</v>
      </c>
      <c r="O113" s="339"/>
      <c r="P113" s="339"/>
      <c r="Q113" s="437"/>
      <c r="R113" s="15">
        <f t="shared" si="139"/>
        <v>5.000000000001581E-2</v>
      </c>
      <c r="S113" s="331"/>
      <c r="T113" s="20">
        <f t="shared" si="125"/>
        <v>6.5803144990855307</v>
      </c>
      <c r="U113" s="347"/>
      <c r="V113" s="15">
        <f t="shared" si="127"/>
        <v>3.3849137783295968</v>
      </c>
      <c r="W113" s="15">
        <f t="shared" si="140"/>
        <v>2.2047717475472843E-5</v>
      </c>
      <c r="X113" s="15">
        <f t="shared" si="141"/>
        <v>9.4090699974902492E-5</v>
      </c>
      <c r="Y113" s="13">
        <f t="shared" si="142"/>
        <v>1.3406250008640992</v>
      </c>
      <c r="Z113" s="13">
        <f t="shared" si="143"/>
        <v>76.812154459235231</v>
      </c>
      <c r="AA113" s="13">
        <f t="shared" si="144"/>
        <v>283.18784554076478</v>
      </c>
      <c r="AB113" s="13">
        <v>120</v>
      </c>
      <c r="AC113" s="13">
        <v>13</v>
      </c>
      <c r="AD113" s="13">
        <f t="shared" si="128"/>
        <v>4</v>
      </c>
      <c r="AE113" s="16">
        <f t="shared" si="129"/>
        <v>163.18784554076478</v>
      </c>
      <c r="AF113" s="15">
        <f t="shared" si="103"/>
        <v>0.12852330986246338</v>
      </c>
      <c r="AG113" s="366"/>
      <c r="AH113" s="331"/>
      <c r="AI113" s="339"/>
      <c r="AJ113" s="13">
        <f t="shared" si="104"/>
        <v>1.9328521558440532</v>
      </c>
      <c r="AK113" s="13">
        <f t="shared" si="130"/>
        <v>-3.999999999999998E-2</v>
      </c>
      <c r="AL113" s="15">
        <f t="shared" si="145"/>
        <v>18.610006994007279</v>
      </c>
      <c r="AM113" s="15">
        <f t="shared" si="131"/>
        <v>-1.4388156855455945</v>
      </c>
      <c r="AN113" s="15">
        <f t="shared" si="105"/>
        <v>6.4869788301591775</v>
      </c>
      <c r="AO113" s="15">
        <f t="shared" si="132"/>
        <v>3.3369019102338808</v>
      </c>
      <c r="AP113" s="15">
        <f t="shared" si="133"/>
        <v>0.12670032570261675</v>
      </c>
      <c r="AQ113" s="20">
        <f t="shared" si="106"/>
        <v>5.071940784278884E-2</v>
      </c>
      <c r="AR113" s="13">
        <f t="shared" si="107"/>
        <v>198604649.29874331</v>
      </c>
      <c r="AS113" s="13">
        <f t="shared" si="134"/>
        <v>1.8908514510485132E-3</v>
      </c>
      <c r="AT113" s="15">
        <f t="shared" si="108"/>
        <v>352.74290274163104</v>
      </c>
      <c r="AU113" s="13">
        <f t="shared" si="109"/>
        <v>13062.601500405011</v>
      </c>
      <c r="AV113" s="339"/>
      <c r="AW113" s="339"/>
      <c r="AX113" s="339"/>
      <c r="AY113" s="339"/>
      <c r="AZ113" s="339"/>
      <c r="BA113" s="331"/>
      <c r="BB113" s="331"/>
      <c r="BC113" s="331"/>
      <c r="BD113" s="339"/>
      <c r="BE113" s="339"/>
      <c r="BF113" s="339"/>
      <c r="BG113" s="339"/>
      <c r="BH113" s="337"/>
      <c r="BI113" s="331"/>
      <c r="BJ113" s="331"/>
      <c r="BK113" s="331"/>
      <c r="BL113" s="23">
        <f t="shared" si="110"/>
        <v>-1.5276609496347215E-3</v>
      </c>
      <c r="BM113" s="24">
        <f t="shared" si="111"/>
        <v>36.767590812567803</v>
      </c>
      <c r="BN113" s="24">
        <f t="shared" si="112"/>
        <v>4054.1425814570057</v>
      </c>
      <c r="BO113" s="24">
        <f t="shared" si="113"/>
        <v>31.656441521430725</v>
      </c>
      <c r="BP113" s="24">
        <f t="shared" si="135"/>
        <v>36.404907749645332</v>
      </c>
      <c r="BQ113" s="23">
        <f t="shared" si="136"/>
        <v>121.47960621167972</v>
      </c>
      <c r="BR113" s="23">
        <f t="shared" si="114"/>
        <v>2.3851315085800757</v>
      </c>
      <c r="BS113" s="6">
        <f t="shared" si="115"/>
        <v>292.77709632859853</v>
      </c>
      <c r="BT113" s="23">
        <f t="shared" si="116"/>
        <v>298.75213911081482</v>
      </c>
      <c r="BU113" s="22">
        <f t="shared" si="117"/>
        <v>381.06140192705971</v>
      </c>
      <c r="BV113" s="22">
        <f t="shared" si="118"/>
        <v>18.1457810441457</v>
      </c>
      <c r="BW113" s="23">
        <f t="shared" si="137"/>
        <v>3.4634357914210289E-3</v>
      </c>
      <c r="BX113" s="331"/>
      <c r="BY113" s="361"/>
      <c r="BZ113" s="361"/>
      <c r="CA113" s="361"/>
    </row>
    <row r="114" spans="3:79" ht="15.75" x14ac:dyDescent="0.3">
      <c r="C114" s="13"/>
      <c r="D114" s="379"/>
      <c r="E114" s="379"/>
      <c r="F114" s="19" t="s">
        <v>128</v>
      </c>
      <c r="G114" s="256"/>
      <c r="H114" s="55">
        <v>0.73958333333333603</v>
      </c>
      <c r="I114" s="13">
        <v>-8.5642720000000008</v>
      </c>
      <c r="J114" s="13">
        <v>115.5752</v>
      </c>
      <c r="K114" s="13">
        <f t="shared" si="121"/>
        <v>-0.14947474443635983</v>
      </c>
      <c r="L114" s="13">
        <f t="shared" si="121"/>
        <v>2.0171677736509501</v>
      </c>
      <c r="M114" s="13">
        <v>3443</v>
      </c>
      <c r="N114" s="71">
        <f t="shared" si="138"/>
        <v>0.26383203018142898</v>
      </c>
      <c r="O114" s="339"/>
      <c r="P114" s="339"/>
      <c r="Q114" s="437"/>
      <c r="R114" s="15">
        <f t="shared" si="139"/>
        <v>5.000000000001581E-2</v>
      </c>
      <c r="S114" s="331"/>
      <c r="T114" s="20">
        <f t="shared" si="125"/>
        <v>5.2766406036269116</v>
      </c>
      <c r="U114" s="347"/>
      <c r="V114" s="15">
        <f t="shared" si="127"/>
        <v>2.714303926505683</v>
      </c>
      <c r="W114" s="15">
        <f t="shared" si="140"/>
        <v>1.6275370050279897E-5</v>
      </c>
      <c r="X114" s="15">
        <f t="shared" si="141"/>
        <v>7.5764742829331766E-5</v>
      </c>
      <c r="Y114" s="13">
        <f t="shared" si="142"/>
        <v>1.3591974183292492</v>
      </c>
      <c r="Z114" s="13">
        <f t="shared" si="143"/>
        <v>77.876275595343387</v>
      </c>
      <c r="AA114" s="13">
        <f t="shared" si="144"/>
        <v>282.12372440465663</v>
      </c>
      <c r="AB114" s="13">
        <v>120</v>
      </c>
      <c r="AC114" s="13">
        <v>13</v>
      </c>
      <c r="AD114" s="13">
        <f t="shared" si="128"/>
        <v>4</v>
      </c>
      <c r="AE114" s="16">
        <f t="shared" si="129"/>
        <v>162.12372440465663</v>
      </c>
      <c r="AF114" s="15">
        <f t="shared" si="103"/>
        <v>0.10306062353509746</v>
      </c>
      <c r="AG114" s="366"/>
      <c r="AH114" s="331"/>
      <c r="AI114" s="339"/>
      <c r="AJ114" s="13">
        <f t="shared" si="104"/>
        <v>2.0954663842882</v>
      </c>
      <c r="AK114" s="13">
        <f t="shared" si="130"/>
        <v>-3.999999999999998E-2</v>
      </c>
      <c r="AL114" s="15">
        <f t="shared" si="145"/>
        <v>18.610006994007279</v>
      </c>
      <c r="AM114" s="15">
        <f t="shared" si="131"/>
        <v>-1.5598657626924211</v>
      </c>
      <c r="AN114" s="15">
        <f t="shared" si="105"/>
        <v>5.1955962761475636</v>
      </c>
      <c r="AO114" s="15">
        <f t="shared" si="132"/>
        <v>2.6726147244503067</v>
      </c>
      <c r="AP114" s="15">
        <f t="shared" si="133"/>
        <v>0.10147770751874738</v>
      </c>
      <c r="AQ114" s="20">
        <f t="shared" si="106"/>
        <v>5.0779932881362261E-2</v>
      </c>
      <c r="AR114" s="13">
        <f t="shared" si="107"/>
        <v>159067819.2943669</v>
      </c>
      <c r="AS114" s="13">
        <f t="shared" si="134"/>
        <v>1.9500971003995641E-3</v>
      </c>
      <c r="AT114" s="15">
        <f t="shared" si="108"/>
        <v>233.3688801699698</v>
      </c>
      <c r="AU114" s="13">
        <f t="shared" si="109"/>
        <v>8642.0014706544225</v>
      </c>
      <c r="AV114" s="339"/>
      <c r="AW114" s="339"/>
      <c r="AX114" s="339"/>
      <c r="AY114" s="339"/>
      <c r="AZ114" s="339"/>
      <c r="BA114" s="331"/>
      <c r="BB114" s="331"/>
      <c r="BC114" s="331"/>
      <c r="BD114" s="339"/>
      <c r="BE114" s="339"/>
      <c r="BF114" s="339"/>
      <c r="BG114" s="339"/>
      <c r="BH114" s="337"/>
      <c r="BI114" s="331"/>
      <c r="BJ114" s="331"/>
      <c r="BK114" s="331"/>
      <c r="BL114" s="23">
        <f t="shared" si="110"/>
        <v>-4.6992420015264329E-5</v>
      </c>
      <c r="BM114" s="24">
        <f t="shared" si="111"/>
        <v>1.237507752719192</v>
      </c>
      <c r="BN114" s="24">
        <f t="shared" si="112"/>
        <v>2600.6676226561635</v>
      </c>
      <c r="BO114" s="24">
        <f t="shared" si="113"/>
        <v>20.838805525130034</v>
      </c>
      <c r="BP114" s="24">
        <f t="shared" si="135"/>
        <v>23.96462635389954</v>
      </c>
      <c r="BQ114" s="23">
        <f t="shared" si="136"/>
        <v>64.048213259381782</v>
      </c>
      <c r="BR114" s="23">
        <f t="shared" si="114"/>
        <v>1.9103161438553333</v>
      </c>
      <c r="BS114" s="6">
        <f t="shared" si="115"/>
        <v>154.36212289362635</v>
      </c>
      <c r="BT114" s="23">
        <f t="shared" si="116"/>
        <v>157.51237029961874</v>
      </c>
      <c r="BU114" s="22">
        <f t="shared" si="117"/>
        <v>200.90863558624838</v>
      </c>
      <c r="BV114" s="22">
        <f t="shared" si="118"/>
        <v>9.5670778850594473</v>
      </c>
      <c r="BW114" s="23">
        <f t="shared" si="137"/>
        <v>1.8282211638397526E-3</v>
      </c>
      <c r="BX114" s="331"/>
      <c r="BY114" s="361"/>
      <c r="BZ114" s="361"/>
      <c r="CA114" s="361"/>
    </row>
    <row r="115" spans="3:79" ht="15.75" x14ac:dyDescent="0.3">
      <c r="C115" s="13"/>
      <c r="D115" s="379"/>
      <c r="E115" s="379"/>
      <c r="F115" s="19" t="s">
        <v>128</v>
      </c>
      <c r="G115" s="256"/>
      <c r="H115" s="55">
        <v>0.74166666666667103</v>
      </c>
      <c r="I115" s="13">
        <v>-8.5635969999999997</v>
      </c>
      <c r="J115" s="13">
        <v>115.57113699999999</v>
      </c>
      <c r="K115" s="13">
        <f t="shared" si="121"/>
        <v>-0.14946296346390883</v>
      </c>
      <c r="L115" s="13">
        <f t="shared" si="121"/>
        <v>2.0170968609234419</v>
      </c>
      <c r="M115" s="13">
        <v>3443</v>
      </c>
      <c r="N115" s="71">
        <f t="shared" si="138"/>
        <v>0.2448139186622886</v>
      </c>
      <c r="O115" s="339"/>
      <c r="P115" s="339"/>
      <c r="Q115" s="437"/>
      <c r="R115" s="15">
        <f t="shared" si="139"/>
        <v>5.000000000003979E-2</v>
      </c>
      <c r="S115" s="331"/>
      <c r="T115" s="20">
        <f t="shared" si="125"/>
        <v>4.8962783732418753</v>
      </c>
      <c r="U115" s="347"/>
      <c r="V115" s="15">
        <f t="shared" si="127"/>
        <v>2.5186455951956206</v>
      </c>
      <c r="W115" s="15">
        <f t="shared" si="140"/>
        <v>1.1915240349061238E-5</v>
      </c>
      <c r="X115" s="15">
        <f t="shared" si="141"/>
        <v>7.0912727508254392E-5</v>
      </c>
      <c r="Y115" s="13">
        <f t="shared" si="142"/>
        <v>1.4043245461444727</v>
      </c>
      <c r="Z115" s="13">
        <f t="shared" si="143"/>
        <v>80.461869560703107</v>
      </c>
      <c r="AA115" s="13">
        <f t="shared" si="144"/>
        <v>279.53813043929688</v>
      </c>
      <c r="AB115" s="13">
        <v>120</v>
      </c>
      <c r="AC115" s="13">
        <v>13</v>
      </c>
      <c r="AD115" s="13">
        <f t="shared" si="128"/>
        <v>4</v>
      </c>
      <c r="AE115" s="16">
        <f t="shared" si="129"/>
        <v>159.53813043929688</v>
      </c>
      <c r="AF115" s="15">
        <f t="shared" si="103"/>
        <v>9.5631584573122722E-2</v>
      </c>
      <c r="AG115" s="366"/>
      <c r="AH115" s="331"/>
      <c r="AI115" s="339"/>
      <c r="AJ115" s="13">
        <f t="shared" si="104"/>
        <v>2.1400764974510369</v>
      </c>
      <c r="AK115" s="13">
        <f t="shared" si="130"/>
        <v>-3.999999999999998E-2</v>
      </c>
      <c r="AL115" s="15">
        <f t="shared" si="145"/>
        <v>18.610006994007279</v>
      </c>
      <c r="AM115" s="15">
        <f t="shared" si="131"/>
        <v>-1.5930735434109751</v>
      </c>
      <c r="AN115" s="15">
        <f t="shared" si="105"/>
        <v>4.8195001907779496</v>
      </c>
      <c r="AO115" s="15">
        <f t="shared" si="132"/>
        <v>2.4791508981361772</v>
      </c>
      <c r="AP115" s="15">
        <f t="shared" si="133"/>
        <v>9.4131992701509418E-2</v>
      </c>
      <c r="AQ115" s="20">
        <f t="shared" si="106"/>
        <v>5.079653677174592E-2</v>
      </c>
      <c r="AR115" s="13">
        <f t="shared" si="107"/>
        <v>147553301.81356457</v>
      </c>
      <c r="AS115" s="13">
        <f t="shared" si="134"/>
        <v>1.9707834802917068E-3</v>
      </c>
      <c r="AT115" s="15">
        <f t="shared" si="108"/>
        <v>202.93587519049728</v>
      </c>
      <c r="AU115" s="13">
        <f t="shared" si="109"/>
        <v>7515.0214140269809</v>
      </c>
      <c r="AV115" s="339"/>
      <c r="AW115" s="339"/>
      <c r="AX115" s="339"/>
      <c r="AY115" s="339"/>
      <c r="AZ115" s="339"/>
      <c r="BA115" s="331"/>
      <c r="BB115" s="331"/>
      <c r="BC115" s="331"/>
      <c r="BD115" s="339"/>
      <c r="BE115" s="339"/>
      <c r="BF115" s="339"/>
      <c r="BG115" s="339"/>
      <c r="BH115" s="337"/>
      <c r="BI115" s="331"/>
      <c r="BJ115" s="331"/>
      <c r="BK115" s="331"/>
      <c r="BL115" s="23">
        <f t="shared" si="110"/>
        <v>-9.7303227500648924E-6</v>
      </c>
      <c r="BM115" s="24">
        <f t="shared" si="111"/>
        <v>0.33398274978838</v>
      </c>
      <c r="BN115" s="24">
        <f t="shared" si="112"/>
        <v>2237.7834663760291</v>
      </c>
      <c r="BO115" s="24">
        <f t="shared" si="113"/>
        <v>18.096792948914672</v>
      </c>
      <c r="BP115" s="24">
        <f t="shared" si="135"/>
        <v>20.811311891251872</v>
      </c>
      <c r="BQ115" s="23">
        <f t="shared" si="136"/>
        <v>51.594382566589182</v>
      </c>
      <c r="BR115" s="23">
        <f t="shared" si="114"/>
        <v>1.7720331854929308</v>
      </c>
      <c r="BS115" s="6">
        <f t="shared" si="115"/>
        <v>124.34723807378052</v>
      </c>
      <c r="BT115" s="23">
        <f t="shared" si="116"/>
        <v>126.88493680998012</v>
      </c>
      <c r="BU115" s="22">
        <f t="shared" si="117"/>
        <v>161.84303164538281</v>
      </c>
      <c r="BV115" s="22">
        <f t="shared" si="118"/>
        <v>7.7068110307325144</v>
      </c>
      <c r="BW115" s="23">
        <f t="shared" si="137"/>
        <v>1.4732149390740141E-3</v>
      </c>
      <c r="BX115" s="331"/>
      <c r="BY115" s="362"/>
      <c r="BZ115" s="362"/>
      <c r="CA115" s="362"/>
    </row>
    <row r="116" spans="3:79" ht="15.75" x14ac:dyDescent="0.3">
      <c r="C116" s="13">
        <v>13</v>
      </c>
      <c r="D116" s="379"/>
      <c r="E116" s="379"/>
      <c r="F116" s="19" t="s">
        <v>128</v>
      </c>
      <c r="G116" s="255">
        <v>0.74305555555555503</v>
      </c>
      <c r="H116" s="54">
        <v>0.74305555555555503</v>
      </c>
      <c r="I116" s="13">
        <v>-8.5628600000000006</v>
      </c>
      <c r="J116" s="13">
        <v>115.568167</v>
      </c>
      <c r="K116" s="13">
        <f t="shared" si="121"/>
        <v>-0.14945010038732165</v>
      </c>
      <c r="L116" s="13">
        <f t="shared" si="121"/>
        <v>2.0170450246446578</v>
      </c>
      <c r="M116" s="13">
        <v>3443</v>
      </c>
      <c r="N116" s="71">
        <f t="shared" si="138"/>
        <v>0.18195477798757162</v>
      </c>
      <c r="O116" s="398"/>
      <c r="P116" s="398"/>
      <c r="Q116" s="437"/>
      <c r="R116" s="15">
        <f t="shared" si="139"/>
        <v>3.3333333333215975E-2</v>
      </c>
      <c r="S116" s="358"/>
      <c r="T116" s="20">
        <f t="shared" si="125"/>
        <v>5.4586433396463674</v>
      </c>
      <c r="U116" s="348"/>
      <c r="V116" s="15">
        <f t="shared" si="127"/>
        <v>2.8079261339140911</v>
      </c>
      <c r="W116" s="15">
        <f t="shared" si="140"/>
        <v>1.3009652970201389E-5</v>
      </c>
      <c r="X116" s="15">
        <f t="shared" si="141"/>
        <v>5.1836278784023193E-5</v>
      </c>
      <c r="Y116" s="13">
        <f t="shared" si="142"/>
        <v>1.3248994487291974</v>
      </c>
      <c r="Z116" s="13">
        <f t="shared" si="143"/>
        <v>75.911146691392418</v>
      </c>
      <c r="AA116" s="13">
        <f t="shared" si="144"/>
        <v>284.08885330860755</v>
      </c>
      <c r="AB116" s="13">
        <v>120</v>
      </c>
      <c r="AC116" s="13">
        <v>13</v>
      </c>
      <c r="AD116" s="13">
        <f t="shared" si="128"/>
        <v>4</v>
      </c>
      <c r="AE116" s="16">
        <f t="shared" si="129"/>
        <v>164.08885330860755</v>
      </c>
      <c r="AF116" s="15">
        <f t="shared" si="103"/>
        <v>0.10661540713100238</v>
      </c>
      <c r="AG116" s="366"/>
      <c r="AH116" s="331"/>
      <c r="AI116" s="339"/>
      <c r="AJ116" s="13">
        <f t="shared" si="104"/>
        <v>2.0736675911778621</v>
      </c>
      <c r="AK116" s="13">
        <f t="shared" si="130"/>
        <v>-3.999999999999998E-2</v>
      </c>
      <c r="AL116" s="15">
        <f t="shared" si="145"/>
        <v>18.610006994007279</v>
      </c>
      <c r="AM116" s="15">
        <f t="shared" si="131"/>
        <v>-1.5436387350026488</v>
      </c>
      <c r="AN116" s="15">
        <f t="shared" si="105"/>
        <v>5.3756625305615948</v>
      </c>
      <c r="AO116" s="15">
        <f t="shared" si="132"/>
        <v>2.7652408057208842</v>
      </c>
      <c r="AP116" s="15">
        <f t="shared" si="133"/>
        <v>0.10499466875442141</v>
      </c>
      <c r="AQ116" s="20">
        <f t="shared" si="106"/>
        <v>3.3847879578215043E-2</v>
      </c>
      <c r="AR116" s="13">
        <f t="shared" si="107"/>
        <v>164580708.45968568</v>
      </c>
      <c r="AS116" s="13">
        <f t="shared" si="134"/>
        <v>1.9408246713701256E-3</v>
      </c>
      <c r="AT116" s="15">
        <f t="shared" si="108"/>
        <v>248.63725951724052</v>
      </c>
      <c r="AU116" s="13">
        <f t="shared" si="109"/>
        <v>9207.4125772146472</v>
      </c>
      <c r="AV116" s="339"/>
      <c r="AW116" s="339"/>
      <c r="AX116" s="339"/>
      <c r="AY116" s="339"/>
      <c r="AZ116" s="339"/>
      <c r="BA116" s="331"/>
      <c r="BB116" s="331"/>
      <c r="BC116" s="331"/>
      <c r="BD116" s="339"/>
      <c r="BE116" s="339"/>
      <c r="BF116" s="339"/>
      <c r="BG116" s="339"/>
      <c r="BH116" s="337"/>
      <c r="BI116" s="331"/>
      <c r="BJ116" s="331"/>
      <c r="BK116" s="331"/>
      <c r="BL116" s="23">
        <f t="shared" si="110"/>
        <v>-8.9090527786116964E-5</v>
      </c>
      <c r="BM116" s="24">
        <f t="shared" si="111"/>
        <v>2.1778554560393486</v>
      </c>
      <c r="BN116" s="24">
        <f t="shared" si="112"/>
        <v>2784.056542877795</v>
      </c>
      <c r="BO116" s="24">
        <f t="shared" si="113"/>
        <v>22.216301221852998</v>
      </c>
      <c r="BP116" s="24">
        <f t="shared" si="135"/>
        <v>25.548746405130949</v>
      </c>
      <c r="BQ116" s="23">
        <f t="shared" si="136"/>
        <v>70.648436094482847</v>
      </c>
      <c r="BR116" s="23">
        <f t="shared" si="114"/>
        <v>1.976522880192773</v>
      </c>
      <c r="BS116" s="6">
        <f t="shared" si="115"/>
        <v>170.26927090837526</v>
      </c>
      <c r="BT116" s="23">
        <f t="shared" si="116"/>
        <v>173.74415398813804</v>
      </c>
      <c r="BU116" s="22">
        <f t="shared" si="117"/>
        <v>221.61244131140054</v>
      </c>
      <c r="BV116" s="22">
        <f t="shared" si="118"/>
        <v>10.552973395780977</v>
      </c>
      <c r="BW116" s="23">
        <f t="shared" si="137"/>
        <v>1.3441991317964218E-3</v>
      </c>
      <c r="BX116" s="331"/>
      <c r="BY116" s="360">
        <f t="shared" ref="BY116" si="158">SUM(BW117:BW122)*1000</f>
        <v>13.276271347709764</v>
      </c>
      <c r="BZ116" s="360">
        <v>30</v>
      </c>
      <c r="CA116" s="360">
        <f t="shared" ref="CA116" si="159">AVERAGE(AN116:AN122)</f>
        <v>5.4725421775750149</v>
      </c>
    </row>
    <row r="117" spans="3:79" ht="15.75" x14ac:dyDescent="0.3">
      <c r="C117" s="13"/>
      <c r="D117" s="379"/>
      <c r="E117" s="379"/>
      <c r="F117" s="19" t="s">
        <v>128</v>
      </c>
      <c r="G117" s="256"/>
      <c r="H117" s="54">
        <v>0.74513888888888891</v>
      </c>
      <c r="I117" s="13">
        <v>-8.5617459999999994</v>
      </c>
      <c r="J117" s="13">
        <v>115.56278</v>
      </c>
      <c r="K117" s="13">
        <f t="shared" si="121"/>
        <v>-0.14943065741945441</v>
      </c>
      <c r="L117" s="13">
        <f t="shared" si="121"/>
        <v>2.0169510037578529</v>
      </c>
      <c r="M117" s="13">
        <v>3443</v>
      </c>
      <c r="N117" s="71">
        <f t="shared" si="138"/>
        <v>0.3270307113365834</v>
      </c>
      <c r="O117" s="357">
        <f t="shared" ref="O117" si="160">SUM(N117:N123)</f>
        <v>1.9067683791938863</v>
      </c>
      <c r="P117" s="338">
        <v>1.9</v>
      </c>
      <c r="Q117" s="437">
        <f t="shared" ref="Q117" si="161">ABS((O117-P117)/P117*100%)</f>
        <v>3.562304838887578E-3</v>
      </c>
      <c r="R117" s="15">
        <f t="shared" si="139"/>
        <v>5.0000000000013145E-2</v>
      </c>
      <c r="S117" s="357">
        <f t="shared" ref="S117" si="162">SUM(R117:R123)</f>
        <v>0.33333333333333481</v>
      </c>
      <c r="T117" s="20">
        <f t="shared" si="125"/>
        <v>6.5406142267299483</v>
      </c>
      <c r="U117" s="346">
        <f t="shared" ref="U117" si="163">AVERAGE(T117:T123)</f>
        <v>5.7836749778666041</v>
      </c>
      <c r="V117" s="15">
        <f t="shared" si="127"/>
        <v>3.3644919582298853</v>
      </c>
      <c r="W117" s="15">
        <f t="shared" si="140"/>
        <v>1.9664474856525327E-5</v>
      </c>
      <c r="X117" s="15">
        <f t="shared" si="141"/>
        <v>9.4020886804990766E-5</v>
      </c>
      <c r="Y117" s="13">
        <f t="shared" si="142"/>
        <v>1.3646183048379477</v>
      </c>
      <c r="Z117" s="13">
        <f t="shared" si="143"/>
        <v>78.186869513511212</v>
      </c>
      <c r="AA117" s="13">
        <f t="shared" si="144"/>
        <v>281.81313048648877</v>
      </c>
      <c r="AB117" s="13">
        <v>120</v>
      </c>
      <c r="AC117" s="13">
        <v>13</v>
      </c>
      <c r="AD117" s="13">
        <f t="shared" si="128"/>
        <v>4</v>
      </c>
      <c r="AE117" s="16">
        <f t="shared" si="129"/>
        <v>161.81313048648877</v>
      </c>
      <c r="AF117" s="15">
        <f t="shared" si="103"/>
        <v>0.12774790461301977</v>
      </c>
      <c r="AG117" s="366"/>
      <c r="AH117" s="331"/>
      <c r="AI117" s="339"/>
      <c r="AJ117" s="13">
        <f t="shared" si="104"/>
        <v>1.9380262381888276</v>
      </c>
      <c r="AK117" s="13">
        <f t="shared" si="130"/>
        <v>-3.999999999999998E-2</v>
      </c>
      <c r="AL117" s="15">
        <f t="shared" si="145"/>
        <v>18.610006994007279</v>
      </c>
      <c r="AM117" s="15">
        <f t="shared" si="131"/>
        <v>-1.4426672738905473</v>
      </c>
      <c r="AN117" s="15">
        <f t="shared" si="105"/>
        <v>6.4475968569227282</v>
      </c>
      <c r="AO117" s="15">
        <f t="shared" si="132"/>
        <v>3.3166438232010513</v>
      </c>
      <c r="AP117" s="15">
        <f t="shared" si="133"/>
        <v>0.12593113730744707</v>
      </c>
      <c r="AQ117" s="20">
        <f t="shared" si="106"/>
        <v>5.0721333636958611E-2</v>
      </c>
      <c r="AR117" s="13">
        <f t="shared" si="107"/>
        <v>197398935.02279192</v>
      </c>
      <c r="AS117" s="13">
        <f t="shared" si="134"/>
        <v>1.8924404369051501E-3</v>
      </c>
      <c r="AT117" s="15">
        <f t="shared" si="108"/>
        <v>348.76579172022991</v>
      </c>
      <c r="AU117" s="13">
        <f t="shared" si="109"/>
        <v>12915.323083201863</v>
      </c>
      <c r="AV117" s="339"/>
      <c r="AW117" s="339"/>
      <c r="AX117" s="339"/>
      <c r="AY117" s="339"/>
      <c r="AZ117" s="339"/>
      <c r="BA117" s="331"/>
      <c r="BB117" s="331"/>
      <c r="BC117" s="331"/>
      <c r="BD117" s="339"/>
      <c r="BE117" s="339"/>
      <c r="BF117" s="339"/>
      <c r="BG117" s="339"/>
      <c r="BH117" s="337"/>
      <c r="BI117" s="331"/>
      <c r="BJ117" s="331"/>
      <c r="BK117" s="331"/>
      <c r="BL117" s="23">
        <f t="shared" si="110"/>
        <v>-1.4153929770736166E-3</v>
      </c>
      <c r="BM117" s="24">
        <f t="shared" si="111"/>
        <v>33.795448109105998</v>
      </c>
      <c r="BN117" s="24">
        <f t="shared" si="112"/>
        <v>4005.0671963457207</v>
      </c>
      <c r="BO117" s="24">
        <f t="shared" si="113"/>
        <v>31.293597723336873</v>
      </c>
      <c r="BP117" s="24">
        <f t="shared" si="135"/>
        <v>35.987637381837402</v>
      </c>
      <c r="BQ117" s="23">
        <f t="shared" si="136"/>
        <v>119.35817523407027</v>
      </c>
      <c r="BR117" s="23">
        <f t="shared" si="114"/>
        <v>2.3706515499281977</v>
      </c>
      <c r="BS117" s="6">
        <f t="shared" si="115"/>
        <v>287.66425129184603</v>
      </c>
      <c r="BT117" s="23">
        <f t="shared" si="116"/>
        <v>293.53495029780208</v>
      </c>
      <c r="BU117" s="22">
        <f t="shared" si="117"/>
        <v>374.40682435944143</v>
      </c>
      <c r="BV117" s="22">
        <f t="shared" si="118"/>
        <v>17.82889639806864</v>
      </c>
      <c r="BW117" s="23">
        <f t="shared" si="137"/>
        <v>3.4030820910086585E-3</v>
      </c>
      <c r="BX117" s="331"/>
      <c r="BY117" s="361"/>
      <c r="BZ117" s="361"/>
      <c r="CA117" s="361"/>
    </row>
    <row r="118" spans="3:79" ht="15.75" x14ac:dyDescent="0.3">
      <c r="C118" s="13"/>
      <c r="D118" s="379"/>
      <c r="E118" s="379"/>
      <c r="F118" s="19" t="s">
        <v>128</v>
      </c>
      <c r="G118" s="256"/>
      <c r="H118" s="54">
        <v>0.74722222222222301</v>
      </c>
      <c r="I118" s="13">
        <v>-8.5608629999999994</v>
      </c>
      <c r="J118" s="13">
        <v>115.55887800000001</v>
      </c>
      <c r="K118" s="13">
        <f t="shared" si="121"/>
        <v>-0.14941524616215932</v>
      </c>
      <c r="L118" s="13">
        <f t="shared" si="121"/>
        <v>2.0168829010104399</v>
      </c>
      <c r="M118" s="13">
        <v>3443</v>
      </c>
      <c r="N118" s="71">
        <f t="shared" si="138"/>
        <v>0.23785888101774963</v>
      </c>
      <c r="O118" s="339"/>
      <c r="P118" s="339"/>
      <c r="Q118" s="437"/>
      <c r="R118" s="15">
        <f t="shared" si="139"/>
        <v>5.0000000000018474E-2</v>
      </c>
      <c r="S118" s="331"/>
      <c r="T118" s="20">
        <f t="shared" si="125"/>
        <v>4.757177620353235</v>
      </c>
      <c r="U118" s="347"/>
      <c r="V118" s="15">
        <f t="shared" si="127"/>
        <v>2.447092167909704</v>
      </c>
      <c r="W118" s="15">
        <f t="shared" si="140"/>
        <v>1.5586791287159998E-5</v>
      </c>
      <c r="X118" s="15">
        <f t="shared" si="141"/>
        <v>6.810274741297917E-5</v>
      </c>
      <c r="Y118" s="13">
        <f t="shared" si="142"/>
        <v>1.3457998183328126</v>
      </c>
      <c r="Z118" s="13">
        <f t="shared" si="143"/>
        <v>77.108649659943069</v>
      </c>
      <c r="AA118" s="13">
        <f t="shared" si="144"/>
        <v>282.89135034005693</v>
      </c>
      <c r="AB118" s="13">
        <v>120</v>
      </c>
      <c r="AC118" s="13">
        <v>13</v>
      </c>
      <c r="AD118" s="13">
        <f t="shared" si="128"/>
        <v>4</v>
      </c>
      <c r="AE118" s="16">
        <f t="shared" si="129"/>
        <v>162.89135034005693</v>
      </c>
      <c r="AF118" s="15">
        <f t="shared" si="103"/>
        <v>9.2914740390661055E-2</v>
      </c>
      <c r="AG118" s="366"/>
      <c r="AH118" s="331"/>
      <c r="AI118" s="339"/>
      <c r="AJ118" s="13">
        <f t="shared" si="104"/>
        <v>2.1560709323649325</v>
      </c>
      <c r="AK118" s="13">
        <f t="shared" si="130"/>
        <v>-3.999999999999998E-2</v>
      </c>
      <c r="AL118" s="15">
        <f t="shared" si="145"/>
        <v>18.610006994007279</v>
      </c>
      <c r="AM118" s="15">
        <f t="shared" si="131"/>
        <v>-1.6049798052354867</v>
      </c>
      <c r="AN118" s="15">
        <f t="shared" si="105"/>
        <v>4.6820319530323928</v>
      </c>
      <c r="AO118" s="15">
        <f t="shared" si="132"/>
        <v>2.4084372366398625</v>
      </c>
      <c r="AP118" s="15">
        <f t="shared" si="133"/>
        <v>9.1447033963066998E-2</v>
      </c>
      <c r="AQ118" s="20">
        <f t="shared" si="106"/>
        <v>5.0802489902636506E-2</v>
      </c>
      <c r="AR118" s="13">
        <f t="shared" si="107"/>
        <v>143344588.96556801</v>
      </c>
      <c r="AS118" s="13">
        <f t="shared" si="134"/>
        <v>1.9788380026625782E-3</v>
      </c>
      <c r="AT118" s="15">
        <f t="shared" si="108"/>
        <v>192.30691488675143</v>
      </c>
      <c r="AU118" s="13">
        <f t="shared" si="109"/>
        <v>7121.4149892560436</v>
      </c>
      <c r="AV118" s="339"/>
      <c r="AW118" s="339"/>
      <c r="AX118" s="339"/>
      <c r="AY118" s="339"/>
      <c r="AZ118" s="339"/>
      <c r="BA118" s="331"/>
      <c r="BB118" s="331"/>
      <c r="BC118" s="331"/>
      <c r="BD118" s="339"/>
      <c r="BE118" s="339"/>
      <c r="BF118" s="339"/>
      <c r="BG118" s="339"/>
      <c r="BH118" s="337"/>
      <c r="BI118" s="331"/>
      <c r="BJ118" s="331"/>
      <c r="BK118" s="331"/>
      <c r="BL118" s="23">
        <f t="shared" si="110"/>
        <v>-4.9669614739012883E-6</v>
      </c>
      <c r="BM118" s="24">
        <f t="shared" si="111"/>
        <v>0.19687401399883084</v>
      </c>
      <c r="BN118" s="24">
        <f t="shared" si="112"/>
        <v>2111.9459713561955</v>
      </c>
      <c r="BO118" s="24">
        <f t="shared" si="113"/>
        <v>17.140205067940261</v>
      </c>
      <c r="BP118" s="24">
        <f t="shared" si="135"/>
        <v>19.711235828131301</v>
      </c>
      <c r="BQ118" s="23">
        <f t="shared" si="136"/>
        <v>47.473274348661199</v>
      </c>
      <c r="BR118" s="23">
        <f t="shared" si="114"/>
        <v>1.7214888822262806</v>
      </c>
      <c r="BS118" s="6">
        <f t="shared" si="115"/>
        <v>114.41498577788137</v>
      </c>
      <c r="BT118" s="23">
        <f t="shared" si="116"/>
        <v>116.74998548763405</v>
      </c>
      <c r="BU118" s="22">
        <f t="shared" si="117"/>
        <v>148.91579781585975</v>
      </c>
      <c r="BV118" s="22">
        <f t="shared" si="118"/>
        <v>7.0912284674218924</v>
      </c>
      <c r="BW118" s="23">
        <f t="shared" si="137"/>
        <v>1.3557005620270827E-3</v>
      </c>
      <c r="BX118" s="331"/>
      <c r="BY118" s="361"/>
      <c r="BZ118" s="361"/>
      <c r="CA118" s="361"/>
    </row>
    <row r="119" spans="3:79" ht="15.75" x14ac:dyDescent="0.3">
      <c r="C119" s="13"/>
      <c r="D119" s="379"/>
      <c r="E119" s="379"/>
      <c r="F119" s="19" t="s">
        <v>128</v>
      </c>
      <c r="G119" s="256"/>
      <c r="H119" s="54">
        <v>0.749305555555557</v>
      </c>
      <c r="I119" s="13">
        <v>-8.5600710000000007</v>
      </c>
      <c r="J119" s="13">
        <v>115.55414399999999</v>
      </c>
      <c r="K119" s="13">
        <f t="shared" si="121"/>
        <v>-0.14940142315448354</v>
      </c>
      <c r="L119" s="13">
        <f t="shared" si="121"/>
        <v>2.0168002771236502</v>
      </c>
      <c r="M119" s="13">
        <v>3443</v>
      </c>
      <c r="N119" s="71">
        <f t="shared" si="138"/>
        <v>0.28530238759913024</v>
      </c>
      <c r="O119" s="339"/>
      <c r="P119" s="339"/>
      <c r="Q119" s="437"/>
      <c r="R119" s="15">
        <f t="shared" si="139"/>
        <v>5.000000000001581E-2</v>
      </c>
      <c r="S119" s="331"/>
      <c r="T119" s="20">
        <f t="shared" si="125"/>
        <v>5.7060477519808002</v>
      </c>
      <c r="U119" s="347"/>
      <c r="V119" s="15">
        <f t="shared" si="127"/>
        <v>2.9351909636189233</v>
      </c>
      <c r="W119" s="15">
        <f t="shared" si="140"/>
        <v>1.3980420599149215E-5</v>
      </c>
      <c r="X119" s="15">
        <f t="shared" si="141"/>
        <v>8.2623886789701118E-5</v>
      </c>
      <c r="Y119" s="13">
        <f t="shared" si="142"/>
        <v>1.4031784015405599</v>
      </c>
      <c r="Z119" s="13">
        <f t="shared" si="143"/>
        <v>80.396200312187219</v>
      </c>
      <c r="AA119" s="13">
        <f t="shared" si="144"/>
        <v>279.6037996878128</v>
      </c>
      <c r="AB119" s="13">
        <v>120</v>
      </c>
      <c r="AC119" s="13">
        <v>13</v>
      </c>
      <c r="AD119" s="13">
        <f t="shared" si="128"/>
        <v>4</v>
      </c>
      <c r="AE119" s="16">
        <f t="shared" si="129"/>
        <v>159.6037996878128</v>
      </c>
      <c r="AF119" s="15">
        <f t="shared" si="103"/>
        <v>0.11144758254635949</v>
      </c>
      <c r="AG119" s="366"/>
      <c r="AH119" s="331"/>
      <c r="AI119" s="339"/>
      <c r="AJ119" s="13">
        <f t="shared" si="104"/>
        <v>2.0435654061755097</v>
      </c>
      <c r="AK119" s="13">
        <f t="shared" si="130"/>
        <v>-3.999999999999998E-2</v>
      </c>
      <c r="AL119" s="15">
        <f t="shared" si="145"/>
        <v>18.610006994007279</v>
      </c>
      <c r="AM119" s="15">
        <f t="shared" si="131"/>
        <v>-1.5212306600655017</v>
      </c>
      <c r="AN119" s="15">
        <f t="shared" si="105"/>
        <v>5.6205462787256542</v>
      </c>
      <c r="AO119" s="15">
        <f t="shared" si="132"/>
        <v>2.8912090057764761</v>
      </c>
      <c r="AP119" s="15">
        <f t="shared" si="133"/>
        <v>0.10977761185690453</v>
      </c>
      <c r="AQ119" s="20">
        <f t="shared" si="106"/>
        <v>5.076061533004881E-2</v>
      </c>
      <c r="AR119" s="13">
        <f t="shared" si="107"/>
        <v>172078043.07360044</v>
      </c>
      <c r="AS119" s="13">
        <f t="shared" si="134"/>
        <v>1.9288004160823316E-3</v>
      </c>
      <c r="AT119" s="15">
        <f t="shared" si="108"/>
        <v>270.12218819978085</v>
      </c>
      <c r="AU119" s="13">
        <f t="shared" si="109"/>
        <v>10003.031878023681</v>
      </c>
      <c r="AV119" s="339"/>
      <c r="AW119" s="339"/>
      <c r="AX119" s="339"/>
      <c r="AY119" s="339"/>
      <c r="AZ119" s="339"/>
      <c r="BA119" s="331"/>
      <c r="BB119" s="331"/>
      <c r="BC119" s="331"/>
      <c r="BD119" s="339"/>
      <c r="BE119" s="339"/>
      <c r="BF119" s="339"/>
      <c r="BG119" s="339"/>
      <c r="BH119" s="337"/>
      <c r="BI119" s="331"/>
      <c r="BJ119" s="331"/>
      <c r="BK119" s="331"/>
      <c r="BL119" s="23">
        <f t="shared" si="110"/>
        <v>-1.9303814597415136E-4</v>
      </c>
      <c r="BM119" s="24">
        <f t="shared" si="111"/>
        <v>4.4447804656754117</v>
      </c>
      <c r="BN119" s="24">
        <f t="shared" si="112"/>
        <v>3043.4846334826643</v>
      </c>
      <c r="BO119" s="24">
        <f t="shared" si="113"/>
        <v>24.156962619299566</v>
      </c>
      <c r="BP119" s="24">
        <f t="shared" si="135"/>
        <v>27.780507012194501</v>
      </c>
      <c r="BQ119" s="23">
        <f t="shared" si="136"/>
        <v>80.319252058693294</v>
      </c>
      <c r="BR119" s="23">
        <f t="shared" si="114"/>
        <v>2.0665617039622894</v>
      </c>
      <c r="BS119" s="6">
        <f t="shared" si="115"/>
        <v>193.57683260886392</v>
      </c>
      <c r="BT119" s="23">
        <f t="shared" si="116"/>
        <v>197.52738021312646</v>
      </c>
      <c r="BU119" s="22">
        <f t="shared" si="117"/>
        <v>251.94818904735519</v>
      </c>
      <c r="BV119" s="22">
        <f t="shared" si="118"/>
        <v>11.997532811778818</v>
      </c>
      <c r="BW119" s="23">
        <f t="shared" si="137"/>
        <v>2.29179688323447E-3</v>
      </c>
      <c r="BX119" s="331"/>
      <c r="BY119" s="361"/>
      <c r="BZ119" s="361"/>
      <c r="CA119" s="361"/>
    </row>
    <row r="120" spans="3:79" ht="15.75" x14ac:dyDescent="0.3">
      <c r="C120" s="13"/>
      <c r="D120" s="379"/>
      <c r="E120" s="379"/>
      <c r="F120" s="19" t="s">
        <v>128</v>
      </c>
      <c r="G120" s="256"/>
      <c r="H120" s="54">
        <v>0.75138888888889099</v>
      </c>
      <c r="I120" s="13">
        <v>-8.5591969999999993</v>
      </c>
      <c r="J120" s="13">
        <v>115.549829</v>
      </c>
      <c r="K120" s="13">
        <f t="shared" si="121"/>
        <v>-0.14938616897682108</v>
      </c>
      <c r="L120" s="13">
        <f t="shared" si="121"/>
        <v>2.0167249661664268</v>
      </c>
      <c r="M120" s="13">
        <v>3443</v>
      </c>
      <c r="N120" s="71">
        <f t="shared" si="138"/>
        <v>0.26173106210136099</v>
      </c>
      <c r="O120" s="339"/>
      <c r="P120" s="339"/>
      <c r="Q120" s="437"/>
      <c r="R120" s="15">
        <f t="shared" si="139"/>
        <v>5.000000000001581E-2</v>
      </c>
      <c r="S120" s="331"/>
      <c r="T120" s="20">
        <f t="shared" si="125"/>
        <v>5.2346212420255647</v>
      </c>
      <c r="U120" s="347"/>
      <c r="V120" s="15">
        <f t="shared" si="127"/>
        <v>2.6926891668979502</v>
      </c>
      <c r="W120" s="15">
        <f t="shared" si="140"/>
        <v>1.5427854443704924E-5</v>
      </c>
      <c r="X120" s="15">
        <f t="shared" si="141"/>
        <v>7.5310957223351238E-5</v>
      </c>
      <c r="Y120" s="13">
        <f t="shared" si="142"/>
        <v>1.3687365253497301</v>
      </c>
      <c r="Z120" s="13">
        <f t="shared" si="143"/>
        <v>78.422826167940556</v>
      </c>
      <c r="AA120" s="13">
        <f t="shared" si="144"/>
        <v>281.57717383205943</v>
      </c>
      <c r="AB120" s="13">
        <v>120</v>
      </c>
      <c r="AC120" s="13">
        <v>13</v>
      </c>
      <c r="AD120" s="13">
        <f t="shared" si="128"/>
        <v>4</v>
      </c>
      <c r="AE120" s="16">
        <f t="shared" si="129"/>
        <v>161.57717383205943</v>
      </c>
      <c r="AF120" s="15">
        <f t="shared" si="103"/>
        <v>0.10223992303027155</v>
      </c>
      <c r="AG120" s="366"/>
      <c r="AH120" s="331"/>
      <c r="AI120" s="339"/>
      <c r="AJ120" s="13">
        <f t="shared" si="104"/>
        <v>2.1004574631976598</v>
      </c>
      <c r="AK120" s="13">
        <f t="shared" si="130"/>
        <v>-3.999999999999998E-2</v>
      </c>
      <c r="AL120" s="15">
        <f t="shared" si="145"/>
        <v>18.610006994007279</v>
      </c>
      <c r="AM120" s="15">
        <f t="shared" si="131"/>
        <v>-1.5635811232289285</v>
      </c>
      <c r="AN120" s="15">
        <f t="shared" si="105"/>
        <v>5.1540337433300074</v>
      </c>
      <c r="AO120" s="15">
        <f t="shared" si="132"/>
        <v>2.6512349575689558</v>
      </c>
      <c r="AP120" s="15">
        <f t="shared" si="133"/>
        <v>0.10066592955817696</v>
      </c>
      <c r="AQ120" s="20">
        <f t="shared" si="106"/>
        <v>5.078179056163052E-2</v>
      </c>
      <c r="AR120" s="13">
        <f t="shared" si="107"/>
        <v>157795345.23975435</v>
      </c>
      <c r="AS120" s="13">
        <f t="shared" si="134"/>
        <v>1.9522926541362805E-3</v>
      </c>
      <c r="AT120" s="15">
        <f t="shared" si="108"/>
        <v>229.9086690072383</v>
      </c>
      <c r="AU120" s="13">
        <f t="shared" si="109"/>
        <v>8513.8646345204816</v>
      </c>
      <c r="AV120" s="339"/>
      <c r="AW120" s="339"/>
      <c r="AX120" s="339"/>
      <c r="AY120" s="339"/>
      <c r="AZ120" s="339"/>
      <c r="BA120" s="331"/>
      <c r="BB120" s="331"/>
      <c r="BC120" s="331"/>
      <c r="BD120" s="339"/>
      <c r="BE120" s="339"/>
      <c r="BF120" s="339"/>
      <c r="BG120" s="339"/>
      <c r="BH120" s="337"/>
      <c r="BI120" s="331"/>
      <c r="BJ120" s="331"/>
      <c r="BK120" s="331"/>
      <c r="BL120" s="23">
        <f t="shared" si="110"/>
        <v>-4.0154566899096793E-5</v>
      </c>
      <c r="BM120" s="24">
        <f t="shared" si="111"/>
        <v>1.0803652425373691</v>
      </c>
      <c r="BN120" s="24">
        <f t="shared" si="112"/>
        <v>2559.2256053661031</v>
      </c>
      <c r="BO120" s="24">
        <f t="shared" si="113"/>
        <v>20.526803875188538</v>
      </c>
      <c r="BP120" s="24">
        <f t="shared" si="135"/>
        <v>23.60582445646682</v>
      </c>
      <c r="BQ120" s="23">
        <f t="shared" si="136"/>
        <v>62.584587001221031</v>
      </c>
      <c r="BR120" s="23">
        <f t="shared" si="114"/>
        <v>1.8950344373483439</v>
      </c>
      <c r="BS120" s="6">
        <f t="shared" si="115"/>
        <v>150.83464812368101</v>
      </c>
      <c r="BT120" s="23">
        <f t="shared" si="116"/>
        <v>153.91290624865408</v>
      </c>
      <c r="BU120" s="22">
        <f t="shared" si="117"/>
        <v>196.31748246001794</v>
      </c>
      <c r="BV120" s="22">
        <f t="shared" si="118"/>
        <v>9.3484515457151396</v>
      </c>
      <c r="BW120" s="23">
        <f t="shared" si="137"/>
        <v>1.7865081073945195E-3</v>
      </c>
      <c r="BX120" s="331"/>
      <c r="BY120" s="361"/>
      <c r="BZ120" s="361"/>
      <c r="CA120" s="361"/>
    </row>
    <row r="121" spans="3:79" ht="15.75" x14ac:dyDescent="0.3">
      <c r="C121" s="13"/>
      <c r="D121" s="379"/>
      <c r="E121" s="379"/>
      <c r="F121" s="19" t="s">
        <v>128</v>
      </c>
      <c r="G121" s="256"/>
      <c r="H121" s="54">
        <v>0.75347222222222399</v>
      </c>
      <c r="I121" s="13">
        <v>-8.5580960000000008</v>
      </c>
      <c r="J121" s="13">
        <v>115.54480599999999</v>
      </c>
      <c r="K121" s="13">
        <f t="shared" si="121"/>
        <v>-0.14936695290175664</v>
      </c>
      <c r="L121" s="13">
        <f t="shared" si="121"/>
        <v>2.0166372982780989</v>
      </c>
      <c r="M121" s="13">
        <v>3443</v>
      </c>
      <c r="N121" s="71">
        <f t="shared" si="138"/>
        <v>0.30572395840353883</v>
      </c>
      <c r="O121" s="339"/>
      <c r="P121" s="339"/>
      <c r="Q121" s="437"/>
      <c r="R121" s="15">
        <f t="shared" si="139"/>
        <v>4.9999999999991829E-2</v>
      </c>
      <c r="S121" s="331"/>
      <c r="T121" s="20">
        <f t="shared" si="125"/>
        <v>6.1144791680717763</v>
      </c>
      <c r="U121" s="347"/>
      <c r="V121" s="15">
        <f t="shared" si="127"/>
        <v>3.1452880840561215</v>
      </c>
      <c r="W121" s="15">
        <f t="shared" si="140"/>
        <v>1.9434809430249783E-5</v>
      </c>
      <c r="X121" s="15">
        <f t="shared" si="141"/>
        <v>8.7667888327924715E-5</v>
      </c>
      <c r="Y121" s="13">
        <f t="shared" si="142"/>
        <v>1.3526377102364084</v>
      </c>
      <c r="Z121" s="13">
        <f t="shared" si="143"/>
        <v>77.5004320067858</v>
      </c>
      <c r="AA121" s="13">
        <f t="shared" si="144"/>
        <v>282.49956799321421</v>
      </c>
      <c r="AB121" s="13">
        <v>120</v>
      </c>
      <c r="AC121" s="13">
        <v>13</v>
      </c>
      <c r="AD121" s="13">
        <f t="shared" si="128"/>
        <v>4</v>
      </c>
      <c r="AE121" s="16">
        <f t="shared" si="129"/>
        <v>162.49956799321421</v>
      </c>
      <c r="AF121" s="15">
        <f t="shared" si="103"/>
        <v>0.11942485437054361</v>
      </c>
      <c r="AG121" s="366"/>
      <c r="AH121" s="331"/>
      <c r="AI121" s="339"/>
      <c r="AJ121" s="13">
        <f t="shared" si="104"/>
        <v>1.9926854070684521</v>
      </c>
      <c r="AK121" s="13">
        <f t="shared" si="130"/>
        <v>-3.999999999999998E-2</v>
      </c>
      <c r="AL121" s="15">
        <f t="shared" si="145"/>
        <v>18.610006994007279</v>
      </c>
      <c r="AM121" s="15">
        <f t="shared" si="131"/>
        <v>-1.4833555744960047</v>
      </c>
      <c r="AN121" s="15">
        <f t="shared" si="105"/>
        <v>6.0251054307948193</v>
      </c>
      <c r="AO121" s="15">
        <f t="shared" si="132"/>
        <v>3.0993142336008548</v>
      </c>
      <c r="AP121" s="15">
        <f t="shared" si="133"/>
        <v>0.11767925261682667</v>
      </c>
      <c r="AQ121" s="20">
        <f t="shared" si="106"/>
        <v>5.074167778723971E-2</v>
      </c>
      <c r="AR121" s="13">
        <f t="shared" si="107"/>
        <v>184463982.75691554</v>
      </c>
      <c r="AS121" s="13">
        <f t="shared" si="134"/>
        <v>1.9102611308381085E-3</v>
      </c>
      <c r="AT121" s="15">
        <f t="shared" si="108"/>
        <v>307.42412995782905</v>
      </c>
      <c r="AU121" s="13">
        <f t="shared" si="109"/>
        <v>11384.379019495716</v>
      </c>
      <c r="AV121" s="339"/>
      <c r="AW121" s="339"/>
      <c r="AX121" s="339"/>
      <c r="AY121" s="339"/>
      <c r="AZ121" s="339"/>
      <c r="BA121" s="331"/>
      <c r="BB121" s="331"/>
      <c r="BC121" s="331"/>
      <c r="BD121" s="339"/>
      <c r="BE121" s="339"/>
      <c r="BF121" s="339"/>
      <c r="BG121" s="339"/>
      <c r="BH121" s="337"/>
      <c r="BI121" s="331"/>
      <c r="BJ121" s="331"/>
      <c r="BK121" s="331"/>
      <c r="BL121" s="23">
        <f t="shared" si="110"/>
        <v>-5.6669515853728387E-4</v>
      </c>
      <c r="BM121" s="24">
        <f t="shared" si="111"/>
        <v>12.804912805862035</v>
      </c>
      <c r="BN121" s="24">
        <f t="shared" si="112"/>
        <v>3497.3843222286887</v>
      </c>
      <c r="BO121" s="24">
        <f t="shared" si="113"/>
        <v>27.53422891372426</v>
      </c>
      <c r="BP121" s="24">
        <f t="shared" si="135"/>
        <v>31.664363250782898</v>
      </c>
      <c r="BQ121" s="23">
        <f t="shared" si="136"/>
        <v>98.137811721059265</v>
      </c>
      <c r="BR121" s="23">
        <f t="shared" si="114"/>
        <v>2.215309958881587</v>
      </c>
      <c r="BS121" s="6">
        <f t="shared" si="115"/>
        <v>236.52121085795824</v>
      </c>
      <c r="BT121" s="23">
        <f t="shared" si="116"/>
        <v>241.34817434485535</v>
      </c>
      <c r="BU121" s="22">
        <f t="shared" si="117"/>
        <v>307.84205911333589</v>
      </c>
      <c r="BV121" s="22">
        <f t="shared" si="118"/>
        <v>14.659145672063614</v>
      </c>
      <c r="BW121" s="23">
        <f t="shared" si="137"/>
        <v>2.7991797250617604E-3</v>
      </c>
      <c r="BX121" s="331"/>
      <c r="BY121" s="361"/>
      <c r="BZ121" s="361"/>
      <c r="CA121" s="361"/>
    </row>
    <row r="122" spans="3:79" ht="15.75" x14ac:dyDescent="0.3">
      <c r="C122" s="13"/>
      <c r="D122" s="379"/>
      <c r="E122" s="379"/>
      <c r="F122" s="19" t="s">
        <v>128</v>
      </c>
      <c r="G122" s="257"/>
      <c r="H122" s="54">
        <v>0.75555555555555798</v>
      </c>
      <c r="I122" s="13">
        <v>-8.5570120000000003</v>
      </c>
      <c r="J122" s="13">
        <v>115.540673</v>
      </c>
      <c r="K122" s="13">
        <f t="shared" si="121"/>
        <v>-0.14934803353266501</v>
      </c>
      <c r="L122" s="13">
        <f t="shared" si="121"/>
        <v>2.0165651638201143</v>
      </c>
      <c r="M122" s="13">
        <v>3443</v>
      </c>
      <c r="N122" s="71">
        <f t="shared" si="138"/>
        <v>0.25408565261738658</v>
      </c>
      <c r="O122" s="339"/>
      <c r="P122" s="339"/>
      <c r="Q122" s="437"/>
      <c r="R122" s="15">
        <f t="shared" si="139"/>
        <v>5.000000000001581E-2</v>
      </c>
      <c r="S122" s="331"/>
      <c r="T122" s="20">
        <f t="shared" si="125"/>
        <v>5.0817130523461245</v>
      </c>
      <c r="U122" s="347"/>
      <c r="V122" s="15">
        <f t="shared" si="127"/>
        <v>2.6140331941268462</v>
      </c>
      <c r="W122" s="15">
        <f t="shared" si="140"/>
        <v>1.913467088434612E-5</v>
      </c>
      <c r="X122" s="15">
        <f t="shared" si="141"/>
        <v>7.2134457984596168E-5</v>
      </c>
      <c r="Y122" s="13">
        <f t="shared" si="142"/>
        <v>1.3115039868621434</v>
      </c>
      <c r="Z122" s="13">
        <f t="shared" si="143"/>
        <v>75.14364326178179</v>
      </c>
      <c r="AA122" s="13">
        <f t="shared" si="144"/>
        <v>284.85635673821821</v>
      </c>
      <c r="AB122" s="13">
        <v>120</v>
      </c>
      <c r="AC122" s="13">
        <v>13</v>
      </c>
      <c r="AD122" s="13">
        <f t="shared" si="128"/>
        <v>4</v>
      </c>
      <c r="AE122" s="16">
        <f t="shared" si="129"/>
        <v>164.85635673821821</v>
      </c>
      <c r="AF122" s="15">
        <f t="shared" si="103"/>
        <v>9.9253399111785559E-2</v>
      </c>
      <c r="AG122" s="366"/>
      <c r="AH122" s="331"/>
      <c r="AI122" s="339"/>
      <c r="AJ122" s="13">
        <f t="shared" si="104"/>
        <v>2.1184880713575702</v>
      </c>
      <c r="AK122" s="13">
        <f t="shared" si="130"/>
        <v>-3.999999999999998E-2</v>
      </c>
      <c r="AL122" s="15">
        <f t="shared" si="145"/>
        <v>18.610006994007279</v>
      </c>
      <c r="AM122" s="15">
        <f t="shared" si="131"/>
        <v>-1.577003112987414</v>
      </c>
      <c r="AN122" s="15">
        <f t="shared" si="105"/>
        <v>5.0028184496579104</v>
      </c>
      <c r="AO122" s="15">
        <f t="shared" si="132"/>
        <v>2.5734498105040289</v>
      </c>
      <c r="AP122" s="15">
        <f t="shared" si="133"/>
        <v>9.7712470411617444E-2</v>
      </c>
      <c r="AQ122" s="20">
        <f t="shared" si="106"/>
        <v>5.0788501556509769E-2</v>
      </c>
      <c r="AR122" s="13">
        <f t="shared" si="107"/>
        <v>153165753.99941784</v>
      </c>
      <c r="AS122" s="13">
        <f t="shared" si="134"/>
        <v>1.9604652615391183E-3</v>
      </c>
      <c r="AT122" s="15">
        <f t="shared" si="108"/>
        <v>217.52268171112181</v>
      </c>
      <c r="AU122" s="13">
        <f t="shared" si="109"/>
        <v>8055.1928512450713</v>
      </c>
      <c r="AV122" s="339"/>
      <c r="AW122" s="339"/>
      <c r="AX122" s="339"/>
      <c r="AY122" s="339"/>
      <c r="AZ122" s="339"/>
      <c r="BA122" s="331"/>
      <c r="BB122" s="331"/>
      <c r="BC122" s="331"/>
      <c r="BD122" s="339"/>
      <c r="BE122" s="339"/>
      <c r="BF122" s="339"/>
      <c r="BG122" s="339"/>
      <c r="BH122" s="337"/>
      <c r="BI122" s="331"/>
      <c r="BJ122" s="331"/>
      <c r="BK122" s="331"/>
      <c r="BL122" s="23">
        <f t="shared" si="110"/>
        <v>-2.1915009412736222E-5</v>
      </c>
      <c r="BM122" s="24">
        <f t="shared" si="111"/>
        <v>0.64735056814858694</v>
      </c>
      <c r="BN122" s="24">
        <f t="shared" si="112"/>
        <v>2411.2572295152995</v>
      </c>
      <c r="BO122" s="24">
        <f t="shared" si="113"/>
        <v>19.410484155342651</v>
      </c>
      <c r="BP122" s="24">
        <f t="shared" si="135"/>
        <v>22.322056778644047</v>
      </c>
      <c r="BQ122" s="23">
        <f t="shared" si="136"/>
        <v>57.444692787061697</v>
      </c>
      <c r="BR122" s="23">
        <f t="shared" si="114"/>
        <v>1.8394356183974181</v>
      </c>
      <c r="BS122" s="6">
        <f t="shared" si="115"/>
        <v>138.44702726791758</v>
      </c>
      <c r="BT122" s="23">
        <f t="shared" si="116"/>
        <v>141.27247680399753</v>
      </c>
      <c r="BU122" s="22">
        <f t="shared" si="117"/>
        <v>180.1944857193846</v>
      </c>
      <c r="BV122" s="22">
        <f t="shared" si="118"/>
        <v>8.5806897961611721</v>
      </c>
      <c r="BW122" s="23">
        <f t="shared" si="137"/>
        <v>1.6400039789832726E-3</v>
      </c>
      <c r="BX122" s="331"/>
      <c r="BY122" s="362"/>
      <c r="BZ122" s="362"/>
      <c r="CA122" s="362"/>
    </row>
    <row r="123" spans="3:79" ht="15.75" x14ac:dyDescent="0.3">
      <c r="C123" s="13">
        <v>14</v>
      </c>
      <c r="D123" s="379"/>
      <c r="E123" s="379"/>
      <c r="F123" s="19" t="s">
        <v>128</v>
      </c>
      <c r="G123" s="255">
        <v>0.75694444444444398</v>
      </c>
      <c r="H123" s="54">
        <v>0.75694444444444398</v>
      </c>
      <c r="I123" s="13">
        <v>-8.5563260000000003</v>
      </c>
      <c r="J123" s="13">
        <v>115.536779</v>
      </c>
      <c r="K123" s="13">
        <f t="shared" si="121"/>
        <v>-0.14933606057399634</v>
      </c>
      <c r="L123" s="13">
        <f t="shared" si="121"/>
        <v>2.0164972006990416</v>
      </c>
      <c r="M123" s="13">
        <v>3443</v>
      </c>
      <c r="N123" s="71">
        <f t="shared" si="138"/>
        <v>0.23503572611813686</v>
      </c>
      <c r="O123" s="398"/>
      <c r="P123" s="398"/>
      <c r="Q123" s="437"/>
      <c r="R123" s="15">
        <f t="shared" si="139"/>
        <v>3.3333333333263937E-2</v>
      </c>
      <c r="S123" s="358"/>
      <c r="T123" s="20">
        <f t="shared" si="125"/>
        <v>7.0510717835587853</v>
      </c>
      <c r="U123" s="348"/>
      <c r="V123" s="15">
        <f t="shared" si="127"/>
        <v>3.627071325462639</v>
      </c>
      <c r="W123" s="15">
        <f t="shared" si="140"/>
        <v>1.2109182244722459E-5</v>
      </c>
      <c r="X123" s="15">
        <f t="shared" si="141"/>
        <v>6.796312107271163E-5</v>
      </c>
      <c r="Y123" s="13">
        <f t="shared" si="142"/>
        <v>1.3944737693422991</v>
      </c>
      <c r="Z123" s="13">
        <f t="shared" si="143"/>
        <v>79.897461625013179</v>
      </c>
      <c r="AA123" s="13">
        <f t="shared" si="144"/>
        <v>280.10253837498681</v>
      </c>
      <c r="AB123" s="13">
        <v>120</v>
      </c>
      <c r="AC123" s="13">
        <v>13</v>
      </c>
      <c r="AD123" s="13">
        <f t="shared" si="128"/>
        <v>4</v>
      </c>
      <c r="AE123" s="16">
        <f t="shared" si="129"/>
        <v>160.10253837498681</v>
      </c>
      <c r="AF123" s="15">
        <f t="shared" si="103"/>
        <v>0.1377178984115025</v>
      </c>
      <c r="AG123" s="366"/>
      <c r="AH123" s="331"/>
      <c r="AI123" s="339"/>
      <c r="AJ123" s="13">
        <f t="shared" si="104"/>
        <v>1.8704356291800224</v>
      </c>
      <c r="AK123" s="13">
        <f t="shared" si="130"/>
        <v>-3.999999999999998E-2</v>
      </c>
      <c r="AL123" s="15">
        <f t="shared" si="145"/>
        <v>18.610006994007279</v>
      </c>
      <c r="AM123" s="15">
        <f t="shared" si="131"/>
        <v>-1.3923528056352241</v>
      </c>
      <c r="AN123" s="15">
        <f t="shared" si="105"/>
        <v>6.9542441697505391</v>
      </c>
      <c r="AO123" s="15">
        <f t="shared" si="132"/>
        <v>3.5772632009196772</v>
      </c>
      <c r="AP123" s="15">
        <f t="shared" si="133"/>
        <v>0.13582671138473507</v>
      </c>
      <c r="AQ123" s="20">
        <f t="shared" si="106"/>
        <v>3.3797450935141381E-2</v>
      </c>
      <c r="AR123" s="13">
        <f t="shared" si="107"/>
        <v>212910394.90524215</v>
      </c>
      <c r="AS123" s="13">
        <f t="shared" si="134"/>
        <v>1.8728426927182033E-3</v>
      </c>
      <c r="AT123" s="15">
        <f t="shared" si="108"/>
        <v>401.52915327106592</v>
      </c>
      <c r="AU123" s="13">
        <f t="shared" si="109"/>
        <v>14869.229909968528</v>
      </c>
      <c r="AV123" s="339"/>
      <c r="AW123" s="339"/>
      <c r="AX123" s="339"/>
      <c r="AY123" s="339"/>
      <c r="AZ123" s="339"/>
      <c r="BA123" s="331"/>
      <c r="BB123" s="331"/>
      <c r="BC123" s="331"/>
      <c r="BD123" s="339"/>
      <c r="BE123" s="339"/>
      <c r="BF123" s="339"/>
      <c r="BG123" s="339"/>
      <c r="BH123" s="337"/>
      <c r="BI123" s="331"/>
      <c r="BJ123" s="331"/>
      <c r="BK123" s="331"/>
      <c r="BL123" s="23">
        <f t="shared" si="110"/>
        <v>-3.4305993360548817E-3</v>
      </c>
      <c r="BM123" s="24">
        <f t="shared" si="111"/>
        <v>93.070515933351402</v>
      </c>
      <c r="BN123" s="24">
        <f t="shared" si="112"/>
        <v>4659.2276151164597</v>
      </c>
      <c r="BO123" s="24">
        <f t="shared" si="113"/>
        <v>36.130291496951216</v>
      </c>
      <c r="BP123" s="24">
        <f t="shared" si="135"/>
        <v>41.5498352214939</v>
      </c>
      <c r="BQ123" s="23">
        <f t="shared" si="136"/>
        <v>148.63469654212642</v>
      </c>
      <c r="BR123" s="23">
        <f t="shared" si="114"/>
        <v>2.5569355661400071</v>
      </c>
      <c r="BS123" s="6">
        <f t="shared" si="115"/>
        <v>358.22337776974291</v>
      </c>
      <c r="BT123" s="23">
        <f t="shared" si="116"/>
        <v>365.53405894871725</v>
      </c>
      <c r="BU123" s="22">
        <f t="shared" si="117"/>
        <v>466.24242212846588</v>
      </c>
      <c r="BV123" s="22">
        <f t="shared" si="118"/>
        <v>22.202020101355519</v>
      </c>
      <c r="BW123" s="23">
        <f t="shared" si="137"/>
        <v>2.8237987251296792E-3</v>
      </c>
      <c r="BX123" s="331"/>
      <c r="BY123" s="360">
        <f t="shared" ref="BY123" si="164">SUM(BW124:BW129)*1000</f>
        <v>0.97237138157553682</v>
      </c>
      <c r="BZ123" s="360">
        <v>20</v>
      </c>
      <c r="CA123" s="360">
        <f t="shared" ref="CA123" si="165">AVERAGE(AN123:AN129)</f>
        <v>2.6067501590021207</v>
      </c>
    </row>
    <row r="124" spans="3:79" ht="15.75" x14ac:dyDescent="0.3">
      <c r="C124" s="13"/>
      <c r="D124" s="379"/>
      <c r="E124" s="379"/>
      <c r="F124" s="19" t="s">
        <v>128</v>
      </c>
      <c r="G124" s="256"/>
      <c r="H124" s="54">
        <v>0.75902777777777775</v>
      </c>
      <c r="I124" s="13">
        <v>-8.5557029999999994</v>
      </c>
      <c r="J124" s="13">
        <v>115.53420199999999</v>
      </c>
      <c r="K124" s="13">
        <f t="shared" si="121"/>
        <v>-0.14932518717275639</v>
      </c>
      <c r="L124" s="13">
        <f t="shared" si="121"/>
        <v>2.0164522235642175</v>
      </c>
      <c r="M124" s="13">
        <v>3443</v>
      </c>
      <c r="N124" s="71">
        <f t="shared" si="138"/>
        <v>0.15764267019345801</v>
      </c>
      <c r="O124" s="357">
        <f t="shared" ref="O124" si="166">SUM(N124:N130)</f>
        <v>0.64497103160686575</v>
      </c>
      <c r="P124" s="338">
        <v>0.62</v>
      </c>
      <c r="Q124" s="437">
        <f t="shared" ref="Q124" si="167">ABS((O124-P124)/P124*100%)</f>
        <v>4.0275857430428642E-2</v>
      </c>
      <c r="R124" s="15">
        <f t="shared" si="139"/>
        <v>5.0000000000010481E-2</v>
      </c>
      <c r="S124" s="357">
        <f t="shared" ref="S124" si="168">SUM(R124:R130)</f>
        <v>0.33333333333333748</v>
      </c>
      <c r="T124" s="20">
        <f t="shared" si="125"/>
        <v>3.1528534038684994</v>
      </c>
      <c r="U124" s="346">
        <f t="shared" ref="U124" si="169">AVERAGE(T124:T130)</f>
        <v>1.9430885822134401</v>
      </c>
      <c r="V124" s="15">
        <f t="shared" si="127"/>
        <v>1.6218277909499561</v>
      </c>
      <c r="W124" s="15">
        <f t="shared" si="140"/>
        <v>1.099709548470913E-5</v>
      </c>
      <c r="X124" s="15">
        <f t="shared" si="141"/>
        <v>4.4977134824097931E-5</v>
      </c>
      <c r="Y124" s="13">
        <f t="shared" si="142"/>
        <v>1.3309968929007017</v>
      </c>
      <c r="Z124" s="13">
        <f t="shared" si="143"/>
        <v>76.260504508236252</v>
      </c>
      <c r="AA124" s="13">
        <f t="shared" si="144"/>
        <v>283.73949549176376</v>
      </c>
      <c r="AB124" s="13">
        <v>120</v>
      </c>
      <c r="AC124" s="13">
        <v>13</v>
      </c>
      <c r="AD124" s="13">
        <f t="shared" si="128"/>
        <v>4</v>
      </c>
      <c r="AE124" s="16">
        <f t="shared" si="129"/>
        <v>163.73949549176376</v>
      </c>
      <c r="AF124" s="15">
        <f t="shared" si="103"/>
        <v>6.1579907013962092E-2</v>
      </c>
      <c r="AG124" s="366"/>
      <c r="AH124" s="331"/>
      <c r="AI124" s="339"/>
      <c r="AJ124" s="13">
        <f t="shared" si="104"/>
        <v>2.3281661586533007</v>
      </c>
      <c r="AK124" s="13">
        <f t="shared" si="130"/>
        <v>-3.999999999999998E-2</v>
      </c>
      <c r="AL124" s="15">
        <f t="shared" si="145"/>
        <v>18.610006994007279</v>
      </c>
      <c r="AM124" s="15">
        <f t="shared" si="131"/>
        <v>-1.7330875398299586</v>
      </c>
      <c r="AN124" s="15">
        <f t="shared" si="105"/>
        <v>3.0991425504844843</v>
      </c>
      <c r="AO124" s="15">
        <f t="shared" si="132"/>
        <v>1.5941989279692186</v>
      </c>
      <c r="AP124" s="15">
        <f t="shared" si="133"/>
        <v>6.0530854319989717E-2</v>
      </c>
      <c r="AQ124" s="20">
        <f t="shared" si="106"/>
        <v>5.0866543769925644E-2</v>
      </c>
      <c r="AR124" s="13">
        <f t="shared" si="107"/>
        <v>94883016.498248786</v>
      </c>
      <c r="AS124" s="13">
        <f t="shared" si="134"/>
        <v>2.0992654657699646E-3</v>
      </c>
      <c r="AT124" s="15">
        <f t="shared" si="108"/>
        <v>89.385357004851471</v>
      </c>
      <c r="AU124" s="13">
        <f t="shared" si="109"/>
        <v>3310.0745314811647</v>
      </c>
      <c r="AV124" s="339"/>
      <c r="AW124" s="339"/>
      <c r="AX124" s="339"/>
      <c r="AY124" s="339"/>
      <c r="AZ124" s="339"/>
      <c r="BA124" s="331"/>
      <c r="BB124" s="331"/>
      <c r="BC124" s="331"/>
      <c r="BD124" s="339"/>
      <c r="BE124" s="339"/>
      <c r="BF124" s="339"/>
      <c r="BG124" s="339"/>
      <c r="BH124" s="337"/>
      <c r="BI124" s="331"/>
      <c r="BJ124" s="331"/>
      <c r="BK124" s="331"/>
      <c r="BL124" s="23">
        <f t="shared" si="110"/>
        <v>-1.0872877745619776E-12</v>
      </c>
      <c r="BM124" s="24">
        <f t="shared" si="111"/>
        <v>1.9019978840810993E-5</v>
      </c>
      <c r="BN124" s="24">
        <f t="shared" si="112"/>
        <v>925.33110848567162</v>
      </c>
      <c r="BO124" s="24">
        <f t="shared" si="113"/>
        <v>7.91046064116148</v>
      </c>
      <c r="BP124" s="24">
        <f t="shared" si="135"/>
        <v>9.0970297373357027</v>
      </c>
      <c r="BQ124" s="23">
        <f t="shared" si="136"/>
        <v>14.502475054964679</v>
      </c>
      <c r="BR124" s="23">
        <f t="shared" si="114"/>
        <v>1.1394923184234254</v>
      </c>
      <c r="BS124" s="6">
        <f t="shared" si="115"/>
        <v>34.952307375542489</v>
      </c>
      <c r="BT124" s="23">
        <f t="shared" si="116"/>
        <v>35.665619770961726</v>
      </c>
      <c r="BU124" s="22">
        <f t="shared" si="117"/>
        <v>45.491861952757304</v>
      </c>
      <c r="BV124" s="22">
        <f t="shared" si="118"/>
        <v>2.1662791406074908</v>
      </c>
      <c r="BW124" s="23">
        <f t="shared" si="137"/>
        <v>4.146712706654057E-4</v>
      </c>
      <c r="BX124" s="331"/>
      <c r="BY124" s="361"/>
      <c r="BZ124" s="361"/>
      <c r="CA124" s="361"/>
    </row>
    <row r="125" spans="3:79" ht="15.75" x14ac:dyDescent="0.3">
      <c r="C125" s="13"/>
      <c r="D125" s="379"/>
      <c r="E125" s="379"/>
      <c r="F125" s="19" t="s">
        <v>128</v>
      </c>
      <c r="G125" s="256"/>
      <c r="H125" s="54">
        <v>0.76111111111111196</v>
      </c>
      <c r="I125" s="13">
        <v>-8.5550739999999994</v>
      </c>
      <c r="J125" s="13">
        <v>115.531629</v>
      </c>
      <c r="K125" s="13">
        <f t="shared" si="121"/>
        <v>-0.14931420905176135</v>
      </c>
      <c r="L125" s="13">
        <f t="shared" si="121"/>
        <v>2.0164073162425638</v>
      </c>
      <c r="M125" s="13">
        <v>3443</v>
      </c>
      <c r="N125" s="71">
        <f t="shared" si="138"/>
        <v>0.15749817114139555</v>
      </c>
      <c r="O125" s="339"/>
      <c r="P125" s="339"/>
      <c r="Q125" s="437"/>
      <c r="R125" s="15">
        <f t="shared" si="139"/>
        <v>5.0000000000021139E-2</v>
      </c>
      <c r="S125" s="331"/>
      <c r="T125" s="20">
        <f t="shared" si="125"/>
        <v>3.1499634228265792</v>
      </c>
      <c r="U125" s="347"/>
      <c r="V125" s="15">
        <f t="shared" si="127"/>
        <v>1.6203411847019922</v>
      </c>
      <c r="W125" s="15">
        <f t="shared" si="140"/>
        <v>1.110298816738167E-5</v>
      </c>
      <c r="X125" s="15">
        <f t="shared" si="141"/>
        <v>4.4907321653742116E-5</v>
      </c>
      <c r="Y125" s="13">
        <f t="shared" si="142"/>
        <v>1.3284148532153215</v>
      </c>
      <c r="Z125" s="13">
        <f t="shared" si="143"/>
        <v>76.11256453172868</v>
      </c>
      <c r="AA125" s="13">
        <f t="shared" si="144"/>
        <v>283.88743546827129</v>
      </c>
      <c r="AB125" s="13">
        <v>120</v>
      </c>
      <c r="AC125" s="13">
        <v>13</v>
      </c>
      <c r="AD125" s="13">
        <f t="shared" si="128"/>
        <v>4</v>
      </c>
      <c r="AE125" s="16">
        <f t="shared" si="129"/>
        <v>163.88743546827129</v>
      </c>
      <c r="AF125" s="15">
        <f t="shared" si="103"/>
        <v>6.1523461394379773E-2</v>
      </c>
      <c r="AG125" s="366"/>
      <c r="AH125" s="331"/>
      <c r="AI125" s="339"/>
      <c r="AJ125" s="13">
        <f t="shared" si="104"/>
        <v>2.3284556117382245</v>
      </c>
      <c r="AK125" s="13">
        <f t="shared" si="130"/>
        <v>-3.999999999999998E-2</v>
      </c>
      <c r="AL125" s="15">
        <f t="shared" si="145"/>
        <v>18.610006994007279</v>
      </c>
      <c r="AM125" s="15">
        <f t="shared" si="131"/>
        <v>-1.7333030087873533</v>
      </c>
      <c r="AN125" s="15">
        <f t="shared" si="105"/>
        <v>3.0962952441979561</v>
      </c>
      <c r="AO125" s="15">
        <f t="shared" si="132"/>
        <v>1.5927342736154284</v>
      </c>
      <c r="AP125" s="15">
        <f t="shared" si="133"/>
        <v>6.0475242201725815E-2</v>
      </c>
      <c r="AQ125" s="20">
        <f t="shared" si="106"/>
        <v>5.0866651504415189E-2</v>
      </c>
      <c r="AR125" s="13">
        <f t="shared" si="107"/>
        <v>94795843.673843533</v>
      </c>
      <c r="AS125" s="13">
        <f t="shared" si="134"/>
        <v>2.0995458931652548E-3</v>
      </c>
      <c r="AT125" s="15">
        <f t="shared" si="108"/>
        <v>89.233107130047472</v>
      </c>
      <c r="AU125" s="13">
        <f t="shared" si="109"/>
        <v>3304.4364890780612</v>
      </c>
      <c r="AV125" s="339"/>
      <c r="AW125" s="339"/>
      <c r="AX125" s="339"/>
      <c r="AY125" s="339"/>
      <c r="AZ125" s="339"/>
      <c r="BA125" s="331"/>
      <c r="BB125" s="331"/>
      <c r="BC125" s="331"/>
      <c r="BD125" s="339"/>
      <c r="BE125" s="339"/>
      <c r="BF125" s="339"/>
      <c r="BG125" s="339"/>
      <c r="BH125" s="337"/>
      <c r="BI125" s="331"/>
      <c r="BJ125" s="331"/>
      <c r="BK125" s="331"/>
      <c r="BL125" s="23">
        <f t="shared" si="110"/>
        <v>-1.0340336711347028E-12</v>
      </c>
      <c r="BM125" s="24">
        <f t="shared" si="111"/>
        <v>1.8556591811149863E-5</v>
      </c>
      <c r="BN125" s="24">
        <f t="shared" si="112"/>
        <v>923.63161210126805</v>
      </c>
      <c r="BO125" s="24">
        <f t="shared" si="113"/>
        <v>7.8968633891379048</v>
      </c>
      <c r="BP125" s="24">
        <f t="shared" si="135"/>
        <v>9.0813928975085911</v>
      </c>
      <c r="BQ125" s="23">
        <f t="shared" si="136"/>
        <v>14.464245720029657</v>
      </c>
      <c r="BR125" s="23">
        <f t="shared" si="114"/>
        <v>1.138445421228848</v>
      </c>
      <c r="BS125" s="6">
        <f t="shared" si="115"/>
        <v>34.860171139462295</v>
      </c>
      <c r="BT125" s="23">
        <f t="shared" si="116"/>
        <v>35.571603203532952</v>
      </c>
      <c r="BU125" s="22">
        <f t="shared" si="117"/>
        <v>45.371942861649167</v>
      </c>
      <c r="BV125" s="22">
        <f t="shared" si="118"/>
        <v>2.1605687076975792</v>
      </c>
      <c r="BW125" s="23">
        <f t="shared" si="137"/>
        <v>4.1357904996741694E-4</v>
      </c>
      <c r="BX125" s="331"/>
      <c r="BY125" s="361"/>
      <c r="BZ125" s="361"/>
      <c r="CA125" s="361"/>
    </row>
    <row r="126" spans="3:79" ht="15.75" x14ac:dyDescent="0.3">
      <c r="C126" s="13"/>
      <c r="D126" s="379"/>
      <c r="E126" s="379"/>
      <c r="F126" s="19" t="s">
        <v>128</v>
      </c>
      <c r="G126" s="256"/>
      <c r="H126" s="54">
        <v>0.76319444444444495</v>
      </c>
      <c r="I126" s="13">
        <v>-8.5543779999999998</v>
      </c>
      <c r="J126" s="13">
        <v>115.53088099999999</v>
      </c>
      <c r="K126" s="13">
        <f t="shared" si="121"/>
        <v>-0.14930206156016748</v>
      </c>
      <c r="L126" s="13">
        <f t="shared" si="121"/>
        <v>2.0163942611797587</v>
      </c>
      <c r="M126" s="13">
        <v>3443</v>
      </c>
      <c r="N126" s="71">
        <f t="shared" si="138"/>
        <v>6.1031958662526302E-2</v>
      </c>
      <c r="O126" s="339"/>
      <c r="P126" s="339"/>
      <c r="Q126" s="437"/>
      <c r="R126" s="15">
        <f t="shared" si="139"/>
        <v>4.9999999999991829E-2</v>
      </c>
      <c r="S126" s="331"/>
      <c r="T126" s="20">
        <f t="shared" si="125"/>
        <v>1.2206391732507256</v>
      </c>
      <c r="U126" s="347"/>
      <c r="V126" s="15">
        <f t="shared" si="127"/>
        <v>0.62789679072017324</v>
      </c>
      <c r="W126" s="15">
        <f t="shared" si="140"/>
        <v>1.2285637917425648E-5</v>
      </c>
      <c r="X126" s="15">
        <f t="shared" si="141"/>
        <v>1.3055062805022999E-5</v>
      </c>
      <c r="Y126" s="13">
        <f t="shared" si="142"/>
        <v>0.81575204256805511</v>
      </c>
      <c r="Z126" s="13">
        <f t="shared" si="143"/>
        <v>46.739149168325831</v>
      </c>
      <c r="AA126" s="13">
        <f t="shared" si="144"/>
        <v>313.26085083167419</v>
      </c>
      <c r="AB126" s="13">
        <v>120</v>
      </c>
      <c r="AC126" s="13">
        <v>13</v>
      </c>
      <c r="AD126" s="13">
        <f t="shared" si="128"/>
        <v>4</v>
      </c>
      <c r="AE126" s="16">
        <f t="shared" si="129"/>
        <v>166.73914916832581</v>
      </c>
      <c r="AF126" s="15">
        <f t="shared" si="103"/>
        <v>2.3840894947462752E-2</v>
      </c>
      <c r="AG126" s="366"/>
      <c r="AH126" s="331"/>
      <c r="AI126" s="339"/>
      <c r="AJ126" s="13">
        <f t="shared" si="104"/>
        <v>2.5051953847403947</v>
      </c>
      <c r="AK126" s="13">
        <f t="shared" si="130"/>
        <v>-3.999999999999998E-2</v>
      </c>
      <c r="AL126" s="15">
        <f t="shared" si="145"/>
        <v>18.610006994007279</v>
      </c>
      <c r="AM126" s="15">
        <f t="shared" si="131"/>
        <v>-1.8648681452549389</v>
      </c>
      <c r="AN126" s="15">
        <f t="shared" si="105"/>
        <v>1.1982925963347306</v>
      </c>
      <c r="AO126" s="15">
        <f t="shared" si="132"/>
        <v>0.61640171155458534</v>
      </c>
      <c r="AP126" s="15">
        <f t="shared" si="133"/>
        <v>2.3404433129454061E-2</v>
      </c>
      <c r="AQ126" s="20">
        <f t="shared" si="106"/>
        <v>5.0932434072619152E-2</v>
      </c>
      <c r="AR126" s="13">
        <f t="shared" si="107"/>
        <v>36686797.827348545</v>
      </c>
      <c r="AS126" s="13">
        <f t="shared" si="134"/>
        <v>2.422185718590287E-3</v>
      </c>
      <c r="AT126" s="15">
        <f t="shared" si="108"/>
        <v>15.418747740802155</v>
      </c>
      <c r="AU126" s="13">
        <f t="shared" si="109"/>
        <v>570.97947487519536</v>
      </c>
      <c r="AV126" s="339"/>
      <c r="AW126" s="339"/>
      <c r="AX126" s="339"/>
      <c r="AY126" s="339"/>
      <c r="AZ126" s="339"/>
      <c r="BA126" s="331"/>
      <c r="BB126" s="331"/>
      <c r="BC126" s="331"/>
      <c r="BD126" s="339"/>
      <c r="BE126" s="339"/>
      <c r="BF126" s="339"/>
      <c r="BG126" s="339"/>
      <c r="BH126" s="337"/>
      <c r="BI126" s="331"/>
      <c r="BJ126" s="331"/>
      <c r="BK126" s="331"/>
      <c r="BL126" s="23">
        <f t="shared" si="110"/>
        <v>-4.0267366873891056E-80</v>
      </c>
      <c r="BM126" s="24">
        <f t="shared" si="111"/>
        <v>6.0475395332558192E-23</v>
      </c>
      <c r="BN126" s="24">
        <f t="shared" si="112"/>
        <v>138.33746378195161</v>
      </c>
      <c r="BO126" s="24">
        <f t="shared" si="113"/>
        <v>1.3432546170696615</v>
      </c>
      <c r="BP126" s="24">
        <f t="shared" si="135"/>
        <v>1.5447428096301108</v>
      </c>
      <c r="BQ126" s="23">
        <f t="shared" si="136"/>
        <v>0.95218211176763934</v>
      </c>
      <c r="BR126" s="23">
        <f t="shared" si="114"/>
        <v>0.44058806153774044</v>
      </c>
      <c r="BS126" s="6">
        <f t="shared" si="115"/>
        <v>2.2948470327899311</v>
      </c>
      <c r="BT126" s="23">
        <f t="shared" si="116"/>
        <v>2.3416806457040114</v>
      </c>
      <c r="BU126" s="22">
        <f t="shared" si="117"/>
        <v>2.9868375582959326</v>
      </c>
      <c r="BV126" s="22">
        <f t="shared" si="118"/>
        <v>0.14223035991885394</v>
      </c>
      <c r="BW126" s="23">
        <f t="shared" si="137"/>
        <v>2.7261141738616638E-5</v>
      </c>
      <c r="BX126" s="331"/>
      <c r="BY126" s="361"/>
      <c r="BZ126" s="361"/>
      <c r="CA126" s="361"/>
    </row>
    <row r="127" spans="3:79" ht="15.75" x14ac:dyDescent="0.3">
      <c r="C127" s="13"/>
      <c r="D127" s="379"/>
      <c r="E127" s="379"/>
      <c r="F127" s="19" t="s">
        <v>128</v>
      </c>
      <c r="G127" s="256"/>
      <c r="H127" s="54">
        <v>0.76527777777777894</v>
      </c>
      <c r="I127" s="13">
        <v>-8.5537259999999993</v>
      </c>
      <c r="J127" s="13">
        <v>115.530497</v>
      </c>
      <c r="K127" s="13">
        <f t="shared" si="121"/>
        <v>-0.14929068201344448</v>
      </c>
      <c r="L127" s="13">
        <f t="shared" si="121"/>
        <v>2.0163875591154312</v>
      </c>
      <c r="M127" s="13">
        <v>3443</v>
      </c>
      <c r="N127" s="71">
        <f t="shared" si="138"/>
        <v>4.5340267928779245E-2</v>
      </c>
      <c r="O127" s="339"/>
      <c r="P127" s="339"/>
      <c r="Q127" s="437"/>
      <c r="R127" s="15">
        <f t="shared" si="139"/>
        <v>5.000000000001581E-2</v>
      </c>
      <c r="S127" s="331"/>
      <c r="T127" s="20">
        <f t="shared" si="125"/>
        <v>0.9068053585752982</v>
      </c>
      <c r="U127" s="347"/>
      <c r="V127" s="15">
        <f t="shared" si="127"/>
        <v>0.46646067645113337</v>
      </c>
      <c r="W127" s="15">
        <f t="shared" si="140"/>
        <v>1.150893918304201E-5</v>
      </c>
      <c r="X127" s="15">
        <f t="shared" si="141"/>
        <v>6.7020643275128577E-6</v>
      </c>
      <c r="Y127" s="13">
        <f t="shared" si="142"/>
        <v>0.52732965843470203</v>
      </c>
      <c r="Z127" s="13">
        <f t="shared" si="143"/>
        <v>30.213763840383699</v>
      </c>
      <c r="AA127" s="13">
        <f t="shared" si="144"/>
        <v>329.78623615961629</v>
      </c>
      <c r="AB127" s="13">
        <v>120</v>
      </c>
      <c r="AC127" s="13">
        <v>13</v>
      </c>
      <c r="AD127" s="13">
        <f t="shared" si="128"/>
        <v>4</v>
      </c>
      <c r="AE127" s="16">
        <f t="shared" si="129"/>
        <v>150.21376384038371</v>
      </c>
      <c r="AF127" s="15">
        <f t="shared" ref="AF127:AF150" si="170">V127/((9.81*$D$3)^0.5)</f>
        <v>1.7711254697828145E-2</v>
      </c>
      <c r="AG127" s="366"/>
      <c r="AH127" s="331"/>
      <c r="AI127" s="339"/>
      <c r="AJ127" s="13">
        <f t="shared" ref="AJ127:AJ149" si="171">IF(AND(F127="NORMAL",AND($D$6&gt;=0.55,$D$6&lt;0.6)),1.7-1.4*AF127-7.4*AF127^2,IF(AND(F127="NORMAL",AND($D$6&gt;=0.6,$D$6&lt;0.65)),2.2-2.5*AF127-9.7*AF127^2,IF(AND(F127="NORMAL",AND($D$6&gt;=0.65,$D$6&lt;0.7)),2.6-3.7*AF127-11.6*AF127^2,IF(AND(F127="NORMAL",AND($D$6&gt;=0.7,$D$6&lt;0.75)),3.1-5.3*AF127-12.4*AF127^2,IF(AND(F127="NORMAL OR LOADED",AND($D$6&gt;=0.75,$D$6&lt;0.8)),2.4-10.6*AF127-9.5*AF127^2,IF(AND(F127="NORMAL OR LOADED",AND($D$6&gt;=0.8,$D$6&lt;0.85)),2.6-13.1*AF127-15.1*AF127^2,IF(AND(F127="NORMAL OR LOADED",AND($D$6&gt;=0.85,$D$6&lt;0.9)),3.1-18.7*AF127+28*AF127^2,IF(AND(F127="BALLAST",AND($D$6&gt;=0.75,$D$6&lt;0.8)),2.6-12.5*AF127-13.5*AF127^2,IF(AND(F127="BALLAST",AND($D$6&gt;=0.8,$D$6&lt;0.85)),IF(AND(F127="BALLAST",AND($D$6&gt;=0.85,$D$6&lt;0.9)),3.4-20.9*AF127+31.8*AF127^2))))))))))</f>
        <v>2.5308295705195687</v>
      </c>
      <c r="AK127" s="13">
        <f t="shared" si="130"/>
        <v>-3.999999999999998E-2</v>
      </c>
      <c r="AL127" s="15">
        <f t="shared" si="145"/>
        <v>18.610006994007279</v>
      </c>
      <c r="AM127" s="15">
        <f t="shared" si="131"/>
        <v>-1.8839502403203834</v>
      </c>
      <c r="AN127" s="15">
        <f t="shared" ref="AN127:AN153" si="172">T127/(1-(0.01*AM127))</f>
        <v>0.89003749504839258</v>
      </c>
      <c r="AO127" s="15">
        <f t="shared" si="132"/>
        <v>0.45783528745289309</v>
      </c>
      <c r="AP127" s="15">
        <f t="shared" si="133"/>
        <v>1.7383753433245809E-2</v>
      </c>
      <c r="AQ127" s="20">
        <f t="shared" ref="AQ127:AQ149" si="173">N127/AN127</f>
        <v>5.0941975120176293E-2</v>
      </c>
      <c r="AR127" s="13">
        <f t="shared" ref="AR127:AR149" si="174">(AO127*$D$3)/$U$3</f>
        <v>27249292.651457679</v>
      </c>
      <c r="AS127" s="13">
        <f t="shared" si="134"/>
        <v>2.5386650095940238E-3</v>
      </c>
      <c r="AT127" s="15">
        <f t="shared" ref="AT127:AT149" si="175">0.5*1024*(AO127^2)*$W$5*$W$6*AS127</f>
        <v>8.9153400899223225</v>
      </c>
      <c r="AU127" s="13">
        <f t="shared" ref="AU127:AU149" si="176">0.5*1024*AS127*$U$10*(AO127)^2</f>
        <v>330.14848471817561</v>
      </c>
      <c r="AV127" s="339"/>
      <c r="AW127" s="339"/>
      <c r="AX127" s="339"/>
      <c r="AY127" s="339"/>
      <c r="AZ127" s="339"/>
      <c r="BA127" s="331"/>
      <c r="BB127" s="331"/>
      <c r="BC127" s="331"/>
      <c r="BD127" s="339"/>
      <c r="BE127" s="339"/>
      <c r="BF127" s="339"/>
      <c r="BG127" s="339"/>
      <c r="BH127" s="337"/>
      <c r="BI127" s="331"/>
      <c r="BJ127" s="331"/>
      <c r="BK127" s="331"/>
      <c r="BL127" s="23">
        <f t="shared" ref="BL127:BL150" si="177">$BI$31*($G$6^2)*EXP(-0.1*(AP127^-2))</f>
        <v>-1.4997894862392854E-144</v>
      </c>
      <c r="BM127" s="24">
        <f t="shared" ref="BM127:BM150" si="178">$BC$31*$BD$31*$BG$31*($D$3*$D$4*$AI$31*$AH$31)*1025*9.81*(EXP(($BK$31*(AP127^-0.9))+(BL127*COS($Y$10*(AP127^-2)))))</f>
        <v>2.7511883603940178E-32</v>
      </c>
      <c r="BN127" s="24">
        <f t="shared" ref="BN127:BN150" si="179">0.5*1025*(AO127^2)*$AY$31*$W$3</f>
        <v>76.318647046428723</v>
      </c>
      <c r="BO127" s="24">
        <f t="shared" ref="BO127:BO150" si="180">((AU127*$U$8)+AT127+BM127+BN127)/1000</f>
        <v>0.7730189486743051</v>
      </c>
      <c r="BP127" s="24">
        <f t="shared" si="135"/>
        <v>0.88897179097545087</v>
      </c>
      <c r="BQ127" s="23">
        <f t="shared" si="136"/>
        <v>0.40700265545875874</v>
      </c>
      <c r="BR127" s="23">
        <f t="shared" ref="BR127:BR150" si="181">(1-$AJ$5)*AO127</f>
        <v>0.32724886712872364</v>
      </c>
      <c r="BS127" s="6">
        <f t="shared" ref="BS127:BS150" si="182">BQ127/$AJ$11</f>
        <v>0.9809140758622874</v>
      </c>
      <c r="BT127" s="23">
        <f t="shared" ref="BT127:BT150" si="183">BS127/$AO$5</f>
        <v>1.0009327304717219</v>
      </c>
      <c r="BU127" s="22">
        <f t="shared" ref="BU127:BU150" si="184">((BT127/$AO$6)/80%)</f>
        <v>1.2766999113159718</v>
      </c>
      <c r="BV127" s="22">
        <f t="shared" ref="BV127:BV150" si="185">(BU127/$AK$19)*100</f>
        <v>6.0795233872189137E-2</v>
      </c>
      <c r="BW127" s="23">
        <f t="shared" si="137"/>
        <v>1.1654740629179561E-5</v>
      </c>
      <c r="BX127" s="331"/>
      <c r="BY127" s="361"/>
      <c r="BZ127" s="361"/>
      <c r="CA127" s="361"/>
    </row>
    <row r="128" spans="3:79" ht="15.75" x14ac:dyDescent="0.3">
      <c r="C128" s="13"/>
      <c r="D128" s="379"/>
      <c r="E128" s="379"/>
      <c r="F128" s="19" t="s">
        <v>128</v>
      </c>
      <c r="G128" s="256"/>
      <c r="H128" s="54">
        <v>0.76736111111111305</v>
      </c>
      <c r="I128" s="13">
        <v>-8.5527709999999999</v>
      </c>
      <c r="J128" s="13">
        <v>115.52973900000001</v>
      </c>
      <c r="K128" s="13">
        <f t="shared" si="121"/>
        <v>-0.14927401411908794</v>
      </c>
      <c r="L128" s="13">
        <f t="shared" si="121"/>
        <v>2.0163743295197012</v>
      </c>
      <c r="M128" s="13">
        <v>3443</v>
      </c>
      <c r="N128" s="71">
        <f t="shared" si="138"/>
        <v>7.2953374730104506E-2</v>
      </c>
      <c r="O128" s="339"/>
      <c r="P128" s="339"/>
      <c r="Q128" s="437"/>
      <c r="R128" s="15">
        <f t="shared" si="139"/>
        <v>5.0000000000018474E-2</v>
      </c>
      <c r="S128" s="331"/>
      <c r="T128" s="20">
        <f t="shared" si="125"/>
        <v>1.4590674946015509</v>
      </c>
      <c r="U128" s="347"/>
      <c r="V128" s="15">
        <f t="shared" si="127"/>
        <v>0.75054431922303777</v>
      </c>
      <c r="W128" s="15">
        <f t="shared" si="140"/>
        <v>1.685738283905223E-5</v>
      </c>
      <c r="X128" s="15">
        <f t="shared" si="141"/>
        <v>1.3229595730024357E-5</v>
      </c>
      <c r="Y128" s="13">
        <f t="shared" si="142"/>
        <v>0.66540081129497008</v>
      </c>
      <c r="Z128" s="13">
        <f t="shared" si="143"/>
        <v>38.124658171782706</v>
      </c>
      <c r="AA128" s="13">
        <f t="shared" si="144"/>
        <v>321.8753418282173</v>
      </c>
      <c r="AB128" s="13">
        <v>120</v>
      </c>
      <c r="AC128" s="13">
        <v>13</v>
      </c>
      <c r="AD128" s="13">
        <f t="shared" si="128"/>
        <v>4</v>
      </c>
      <c r="AE128" s="16">
        <f t="shared" si="129"/>
        <v>158.1246581717827</v>
      </c>
      <c r="AF128" s="15">
        <f t="shared" si="170"/>
        <v>2.8497753981969031E-2</v>
      </c>
      <c r="AG128" s="366"/>
      <c r="AH128" s="331"/>
      <c r="AI128" s="339"/>
      <c r="AJ128" s="13">
        <f t="shared" si="171"/>
        <v>2.4851376952753195</v>
      </c>
      <c r="AK128" s="13">
        <f t="shared" si="130"/>
        <v>-3.999999999999998E-2</v>
      </c>
      <c r="AL128" s="15">
        <f t="shared" si="145"/>
        <v>18.610006994007279</v>
      </c>
      <c r="AM128" s="15">
        <f t="shared" si="131"/>
        <v>-1.8499371956057922</v>
      </c>
      <c r="AN128" s="15">
        <f t="shared" si="172"/>
        <v>1.432565924708789</v>
      </c>
      <c r="AO128" s="15">
        <f t="shared" si="132"/>
        <v>0.73691191167020098</v>
      </c>
      <c r="AP128" s="15">
        <f t="shared" si="133"/>
        <v>2.7980138983530502E-2</v>
      </c>
      <c r="AQ128" s="20">
        <f t="shared" si="173"/>
        <v>5.0924968597821717E-2</v>
      </c>
      <c r="AR128" s="13">
        <f t="shared" si="174"/>
        <v>43859284.965037808</v>
      </c>
      <c r="AS128" s="13">
        <f t="shared" si="134"/>
        <v>2.3560560857687476E-3</v>
      </c>
      <c r="AT128" s="15">
        <f t="shared" si="175"/>
        <v>21.43535942170827</v>
      </c>
      <c r="AU128" s="13">
        <f t="shared" si="176"/>
        <v>793.78367634746223</v>
      </c>
      <c r="AV128" s="339"/>
      <c r="AW128" s="339"/>
      <c r="AX128" s="339"/>
      <c r="AY128" s="339"/>
      <c r="AZ128" s="339"/>
      <c r="BA128" s="331"/>
      <c r="BB128" s="331"/>
      <c r="BC128" s="331"/>
      <c r="BD128" s="339"/>
      <c r="BE128" s="339"/>
      <c r="BF128" s="339"/>
      <c r="BG128" s="339"/>
      <c r="BH128" s="337"/>
      <c r="BI128" s="331"/>
      <c r="BJ128" s="331"/>
      <c r="BK128" s="331"/>
      <c r="BL128" s="23">
        <f t="shared" si="177"/>
        <v>-2.6063765917097167E-56</v>
      </c>
      <c r="BM128" s="24">
        <f t="shared" si="178"/>
        <v>1.9996421997336979E-18</v>
      </c>
      <c r="BN128" s="24">
        <f t="shared" si="179"/>
        <v>197.71667150869729</v>
      </c>
      <c r="BO128" s="24">
        <f t="shared" si="180"/>
        <v>1.8728094020134081</v>
      </c>
      <c r="BP128" s="24">
        <f t="shared" si="135"/>
        <v>2.1537308123154193</v>
      </c>
      <c r="BQ128" s="23">
        <f t="shared" si="136"/>
        <v>1.5871098901263705</v>
      </c>
      <c r="BR128" s="23">
        <f t="shared" si="181"/>
        <v>0.52672564757811025</v>
      </c>
      <c r="BS128" s="6">
        <f t="shared" si="182"/>
        <v>3.8250817538534618</v>
      </c>
      <c r="BT128" s="23">
        <f t="shared" si="183"/>
        <v>3.9031446467892468</v>
      </c>
      <c r="BU128" s="22">
        <f t="shared" si="184"/>
        <v>4.9785008249862841</v>
      </c>
      <c r="BV128" s="22">
        <f t="shared" si="185"/>
        <v>0.23707146785648972</v>
      </c>
      <c r="BW128" s="23">
        <f t="shared" ref="BW128:BW150" si="186">((($AK$21*BU128*AQ128)/1000000))</f>
        <v>4.543257567325676E-5</v>
      </c>
      <c r="BX128" s="331"/>
      <c r="BY128" s="361"/>
      <c r="BZ128" s="361"/>
      <c r="CA128" s="361"/>
    </row>
    <row r="129" spans="3:79" ht="15.75" x14ac:dyDescent="0.3">
      <c r="C129" s="13"/>
      <c r="D129" s="379"/>
      <c r="E129" s="379"/>
      <c r="F129" s="19" t="s">
        <v>128</v>
      </c>
      <c r="G129" s="256"/>
      <c r="H129" s="54">
        <v>0.76944444444444704</v>
      </c>
      <c r="I129" s="13">
        <v>-8.5518409999999996</v>
      </c>
      <c r="J129" s="13">
        <v>115.528769</v>
      </c>
      <c r="K129" s="13">
        <f t="shared" si="121"/>
        <v>-0.14925778255704439</v>
      </c>
      <c r="L129" s="13">
        <f t="shared" si="121"/>
        <v>2.016357399825957</v>
      </c>
      <c r="M129" s="13">
        <v>3443</v>
      </c>
      <c r="N129" s="71">
        <f t="shared" si="138"/>
        <v>8.0284644615051332E-2</v>
      </c>
      <c r="O129" s="339"/>
      <c r="P129" s="339"/>
      <c r="Q129" s="437"/>
      <c r="R129" s="15">
        <f t="shared" si="139"/>
        <v>5.000000000001581E-2</v>
      </c>
      <c r="S129" s="331"/>
      <c r="T129" s="20">
        <f t="shared" si="125"/>
        <v>1.6056928923005189</v>
      </c>
      <c r="U129" s="347"/>
      <c r="V129" s="15">
        <f t="shared" si="127"/>
        <v>0.82596842379938684</v>
      </c>
      <c r="W129" s="15">
        <f t="shared" si="140"/>
        <v>1.6416049262532811E-5</v>
      </c>
      <c r="X129" s="15">
        <f t="shared" si="141"/>
        <v>1.6929693744227592E-5</v>
      </c>
      <c r="Y129" s="13">
        <f t="shared" si="142"/>
        <v>0.80080054513711874</v>
      </c>
      <c r="Z129" s="13">
        <f t="shared" si="143"/>
        <v>45.882491468132486</v>
      </c>
      <c r="AA129" s="13">
        <f t="shared" si="144"/>
        <v>314.11750853186754</v>
      </c>
      <c r="AB129" s="13">
        <v>120</v>
      </c>
      <c r="AC129" s="13">
        <v>13</v>
      </c>
      <c r="AD129" s="13">
        <f t="shared" si="128"/>
        <v>4</v>
      </c>
      <c r="AE129" s="16">
        <f t="shared" si="129"/>
        <v>165.88249146813246</v>
      </c>
      <c r="AF129" s="15">
        <f t="shared" si="170"/>
        <v>3.1361565647017906E-2</v>
      </c>
      <c r="AG129" s="366"/>
      <c r="AH129" s="331"/>
      <c r="AI129" s="339"/>
      <c r="AJ129" s="13">
        <f t="shared" si="171"/>
        <v>2.4725530526279802</v>
      </c>
      <c r="AK129" s="13">
        <f t="shared" si="130"/>
        <v>-3.999999999999998E-2</v>
      </c>
      <c r="AL129" s="15">
        <f t="shared" si="145"/>
        <v>18.610006994007279</v>
      </c>
      <c r="AM129" s="15">
        <f t="shared" si="131"/>
        <v>-1.8405691840984295</v>
      </c>
      <c r="AN129" s="15">
        <f t="shared" si="172"/>
        <v>1.5766731324899494</v>
      </c>
      <c r="AO129" s="15">
        <f t="shared" si="132"/>
        <v>0.81104065935282998</v>
      </c>
      <c r="AP129" s="15">
        <f t="shared" si="133"/>
        <v>3.0794766661530755E-2</v>
      </c>
      <c r="AQ129" s="20">
        <f t="shared" si="173"/>
        <v>5.0920284592065317E-2</v>
      </c>
      <c r="AR129" s="13">
        <f t="shared" si="174"/>
        <v>48271255.80880519</v>
      </c>
      <c r="AS129" s="13">
        <f t="shared" si="134"/>
        <v>2.3216711919136082E-3</v>
      </c>
      <c r="AT129" s="15">
        <f t="shared" si="175"/>
        <v>25.585856428564071</v>
      </c>
      <c r="AU129" s="13">
        <f t="shared" si="176"/>
        <v>947.48283799690898</v>
      </c>
      <c r="AV129" s="339"/>
      <c r="AW129" s="339"/>
      <c r="AX129" s="339"/>
      <c r="AY129" s="339"/>
      <c r="AZ129" s="339"/>
      <c r="BA129" s="331"/>
      <c r="BB129" s="331"/>
      <c r="BC129" s="331"/>
      <c r="BD129" s="339"/>
      <c r="BE129" s="339"/>
      <c r="BF129" s="339"/>
      <c r="BG129" s="339"/>
      <c r="BH129" s="337"/>
      <c r="BI129" s="331"/>
      <c r="BJ129" s="331"/>
      <c r="BK129" s="331"/>
      <c r="BL129" s="23">
        <f t="shared" si="177"/>
        <v>-1.2390866182854415E-46</v>
      </c>
      <c r="BM129" s="24">
        <f t="shared" si="178"/>
        <v>2.7755292140250871E-16</v>
      </c>
      <c r="BN129" s="24">
        <f t="shared" si="179"/>
        <v>239.49551852954713</v>
      </c>
      <c r="BO129" s="24">
        <f t="shared" si="180"/>
        <v>2.2389339820535379</v>
      </c>
      <c r="BP129" s="24">
        <f t="shared" si="135"/>
        <v>2.5747740793615685</v>
      </c>
      <c r="BQ129" s="23">
        <f t="shared" si="136"/>
        <v>2.0882464670099825</v>
      </c>
      <c r="BR129" s="23">
        <f t="shared" si="181"/>
        <v>0.57971096645942799</v>
      </c>
      <c r="BS129" s="6">
        <f t="shared" si="182"/>
        <v>5.0328672943200132</v>
      </c>
      <c r="BT129" s="23">
        <f t="shared" si="183"/>
        <v>5.1355788717551158</v>
      </c>
      <c r="BU129" s="22">
        <f t="shared" si="184"/>
        <v>6.5504832547896878</v>
      </c>
      <c r="BV129" s="22">
        <f t="shared" si="185"/>
        <v>0.31192777403760419</v>
      </c>
      <c r="BW129" s="23">
        <f t="shared" si="186"/>
        <v>5.9772602901661297E-5</v>
      </c>
      <c r="BX129" s="331"/>
      <c r="BY129" s="362"/>
      <c r="BZ129" s="362"/>
      <c r="CA129" s="362"/>
    </row>
    <row r="130" spans="3:79" ht="15.75" x14ac:dyDescent="0.3">
      <c r="C130" s="13">
        <v>15</v>
      </c>
      <c r="D130" s="379"/>
      <c r="E130" s="379"/>
      <c r="F130" s="19" t="s">
        <v>128</v>
      </c>
      <c r="G130" s="255">
        <v>0.77083333333333304</v>
      </c>
      <c r="H130" s="54">
        <v>0.77083333333333304</v>
      </c>
      <c r="I130" s="13">
        <v>-8.550853</v>
      </c>
      <c r="J130" s="13">
        <v>115.528138</v>
      </c>
      <c r="K130" s="13">
        <f t="shared" si="121"/>
        <v>-0.1492405387040347</v>
      </c>
      <c r="L130" s="13">
        <f t="shared" si="121"/>
        <v>2.0163463867983769</v>
      </c>
      <c r="M130" s="13">
        <v>3443</v>
      </c>
      <c r="N130" s="71">
        <f t="shared" si="138"/>
        <v>7.0219944335550802E-2</v>
      </c>
      <c r="O130" s="398"/>
      <c r="P130" s="398"/>
      <c r="Q130" s="437"/>
      <c r="R130" s="15">
        <f t="shared" si="139"/>
        <v>3.3333333333263937E-2</v>
      </c>
      <c r="S130" s="358"/>
      <c r="T130" s="20">
        <f t="shared" si="125"/>
        <v>2.1065983300709097</v>
      </c>
      <c r="U130" s="348"/>
      <c r="V130" s="15">
        <f t="shared" si="127"/>
        <v>1.083634180988476</v>
      </c>
      <c r="W130" s="15">
        <f t="shared" si="140"/>
        <v>1.7439801750633813E-5</v>
      </c>
      <c r="X130" s="15">
        <f t="shared" si="141"/>
        <v>1.1013027580109025E-5</v>
      </c>
      <c r="Y130" s="13">
        <f t="shared" si="142"/>
        <v>0.56325132908707765</v>
      </c>
      <c r="Z130" s="13">
        <f t="shared" si="143"/>
        <v>32.271923961823774</v>
      </c>
      <c r="AA130" s="13">
        <f t="shared" si="144"/>
        <v>327.72807603817625</v>
      </c>
      <c r="AB130" s="13">
        <v>120</v>
      </c>
      <c r="AC130" s="13">
        <v>13</v>
      </c>
      <c r="AD130" s="13">
        <f t="shared" si="128"/>
        <v>4</v>
      </c>
      <c r="AE130" s="16">
        <f t="shared" si="129"/>
        <v>152.27192396182375</v>
      </c>
      <c r="AF130" s="15">
        <f t="shared" si="170"/>
        <v>4.1144992381302939E-2</v>
      </c>
      <c r="AG130" s="366"/>
      <c r="AH130" s="331"/>
      <c r="AI130" s="339"/>
      <c r="AJ130" s="13">
        <f t="shared" si="171"/>
        <v>2.4281257675717125</v>
      </c>
      <c r="AK130" s="13">
        <f t="shared" si="130"/>
        <v>-3.999999999999998E-2</v>
      </c>
      <c r="AL130" s="15">
        <f t="shared" si="145"/>
        <v>18.610006994007279</v>
      </c>
      <c r="AM130" s="15">
        <f t="shared" si="131"/>
        <v>-1.8074975006735534</v>
      </c>
      <c r="AN130" s="15">
        <f t="shared" si="172"/>
        <v>2.0691976345425567</v>
      </c>
      <c r="AO130" s="15">
        <f t="shared" si="132"/>
        <v>1.064395263208691</v>
      </c>
      <c r="AP130" s="15">
        <f t="shared" si="133"/>
        <v>4.0414501280743809E-2</v>
      </c>
      <c r="AQ130" s="20">
        <f t="shared" si="173"/>
        <v>3.3935832500153869E-2</v>
      </c>
      <c r="AR130" s="13">
        <f t="shared" si="174"/>
        <v>63350333.228701122</v>
      </c>
      <c r="AS130" s="13">
        <f t="shared" si="134"/>
        <v>2.2281447735613318E-3</v>
      </c>
      <c r="AT130" s="15">
        <f t="shared" si="175"/>
        <v>42.292490864584707</v>
      </c>
      <c r="AU130" s="13">
        <f t="shared" si="176"/>
        <v>1566.1546988749342</v>
      </c>
      <c r="AV130" s="339"/>
      <c r="AW130" s="339"/>
      <c r="AX130" s="339"/>
      <c r="AY130" s="339"/>
      <c r="AZ130" s="339"/>
      <c r="BA130" s="331"/>
      <c r="BB130" s="331"/>
      <c r="BC130" s="331"/>
      <c r="BD130" s="339"/>
      <c r="BE130" s="339"/>
      <c r="BF130" s="339"/>
      <c r="BG130" s="339"/>
      <c r="BH130" s="337"/>
      <c r="BI130" s="331"/>
      <c r="BJ130" s="331"/>
      <c r="BK130" s="331"/>
      <c r="BL130" s="23">
        <f t="shared" si="177"/>
        <v>-1.9949378265478118E-27</v>
      </c>
      <c r="BM130" s="24">
        <f t="shared" si="178"/>
        <v>4.0191639552746191E-11</v>
      </c>
      <c r="BN130" s="24">
        <f t="shared" si="179"/>
        <v>412.49434941714475</v>
      </c>
      <c r="BO130" s="24">
        <f t="shared" si="180"/>
        <v>3.7174934683242786</v>
      </c>
      <c r="BP130" s="24">
        <f t="shared" si="135"/>
        <v>4.2751174885729206</v>
      </c>
      <c r="BQ130" s="23">
        <f t="shared" si="136"/>
        <v>4.5504148044976525</v>
      </c>
      <c r="BR130" s="23">
        <f t="shared" si="181"/>
        <v>0.76080230949446603</v>
      </c>
      <c r="BS130" s="6">
        <f t="shared" si="182"/>
        <v>10.966920910412034</v>
      </c>
      <c r="BT130" s="23">
        <f t="shared" si="183"/>
        <v>11.190735622869422</v>
      </c>
      <c r="BU130" s="22">
        <f t="shared" si="184"/>
        <v>14.273897478149772</v>
      </c>
      <c r="BV130" s="22">
        <f t="shared" si="185"/>
        <v>0.67970940372141775</v>
      </c>
      <c r="BW130" s="23">
        <f t="shared" si="186"/>
        <v>8.6803869634560397E-5</v>
      </c>
      <c r="BX130" s="331"/>
      <c r="BY130" s="360">
        <f t="shared" ref="BY130" si="187">SUM(BW131:BW136)*1000</f>
        <v>0.72324732756253618</v>
      </c>
      <c r="BZ130" s="360">
        <v>20</v>
      </c>
      <c r="CA130" s="360">
        <f t="shared" ref="CA130" si="188">AVERAGE(AN130:AN136)</f>
        <v>2.0014051647332685</v>
      </c>
    </row>
    <row r="131" spans="3:79" ht="15.75" x14ac:dyDescent="0.3">
      <c r="C131" s="13"/>
      <c r="D131" s="379"/>
      <c r="E131" s="379"/>
      <c r="F131" s="19" t="s">
        <v>128</v>
      </c>
      <c r="G131" s="256"/>
      <c r="H131" s="54">
        <v>0.7729166666666667</v>
      </c>
      <c r="I131" s="13">
        <v>-8.5499810000000007</v>
      </c>
      <c r="J131" s="13">
        <v>115.526734</v>
      </c>
      <c r="K131" s="13">
        <f t="shared" si="121"/>
        <v>-0.1492253194329573</v>
      </c>
      <c r="L131" s="13">
        <f t="shared" si="121"/>
        <v>2.0163218823756788</v>
      </c>
      <c r="M131" s="13">
        <v>3443</v>
      </c>
      <c r="N131" s="71">
        <f t="shared" si="138"/>
        <v>9.852150647641407E-2</v>
      </c>
      <c r="O131" s="357">
        <f t="shared" ref="O131" si="189">SUM(N131:N137)</f>
        <v>0.71129706371192258</v>
      </c>
      <c r="P131" s="338">
        <v>0.71</v>
      </c>
      <c r="Q131" s="437">
        <f t="shared" ref="Q131" si="190">ABS((O131-P131)/P131*100%)</f>
        <v>1.8268502984825623E-3</v>
      </c>
      <c r="R131" s="15">
        <f t="shared" si="139"/>
        <v>5.0000000000007816E-2</v>
      </c>
      <c r="S131" s="357">
        <f t="shared" ref="S131" si="191">SUM(R131:R137)</f>
        <v>0.33333333333334014</v>
      </c>
      <c r="T131" s="20">
        <f t="shared" si="125"/>
        <v>1.9704301295279734</v>
      </c>
      <c r="U131" s="346">
        <f t="shared" ref="U131" si="192">AVERAGE(T131:T137)</f>
        <v>2.1800669975062563</v>
      </c>
      <c r="V131" s="15">
        <f t="shared" si="127"/>
        <v>1.0135892586291895</v>
      </c>
      <c r="W131" s="15">
        <f t="shared" si="140"/>
        <v>1.539217592159658E-5</v>
      </c>
      <c r="X131" s="15">
        <f t="shared" si="141"/>
        <v>2.4504422698079509E-5</v>
      </c>
      <c r="Y131" s="13">
        <f t="shared" si="142"/>
        <v>1.0099431606556448</v>
      </c>
      <c r="Z131" s="13">
        <f t="shared" si="143"/>
        <v>57.865480653671305</v>
      </c>
      <c r="AA131" s="13">
        <f t="shared" si="144"/>
        <v>302.13451934632872</v>
      </c>
      <c r="AB131" s="13">
        <v>120</v>
      </c>
      <c r="AC131" s="13">
        <v>13</v>
      </c>
      <c r="AD131" s="13">
        <f t="shared" si="128"/>
        <v>4</v>
      </c>
      <c r="AE131" s="16">
        <f t="shared" si="129"/>
        <v>177.86548065367128</v>
      </c>
      <c r="AF131" s="15">
        <f t="shared" si="170"/>
        <v>3.8485425299178526E-2</v>
      </c>
      <c r="AG131" s="366"/>
      <c r="AH131" s="331"/>
      <c r="AI131" s="339"/>
      <c r="AJ131" s="13">
        <f t="shared" si="171"/>
        <v>2.4404228420517189</v>
      </c>
      <c r="AK131" s="13">
        <f t="shared" si="130"/>
        <v>-3.999999999999998E-2</v>
      </c>
      <c r="AL131" s="15">
        <f t="shared" si="145"/>
        <v>18.610006994007279</v>
      </c>
      <c r="AM131" s="15">
        <f t="shared" si="131"/>
        <v>-1.8166514463567034</v>
      </c>
      <c r="AN131" s="15">
        <f t="shared" si="172"/>
        <v>1.9352729652144549</v>
      </c>
      <c r="AO131" s="15">
        <f t="shared" si="132"/>
        <v>0.99550441330631556</v>
      </c>
      <c r="AP131" s="15">
        <f t="shared" si="133"/>
        <v>3.779875369350074E-2</v>
      </c>
      <c r="AQ131" s="20">
        <f t="shared" si="173"/>
        <v>5.0908325723186307E-2</v>
      </c>
      <c r="AR131" s="13">
        <f t="shared" si="174"/>
        <v>59250109.891960993</v>
      </c>
      <c r="AS131" s="13">
        <f t="shared" si="134"/>
        <v>2.2506342192705094E-3</v>
      </c>
      <c r="AT131" s="15">
        <f t="shared" si="175"/>
        <v>37.368467644389035</v>
      </c>
      <c r="AU131" s="13">
        <f t="shared" si="176"/>
        <v>1383.8106953408105</v>
      </c>
      <c r="AV131" s="339"/>
      <c r="AW131" s="339"/>
      <c r="AX131" s="339"/>
      <c r="AY131" s="339"/>
      <c r="AZ131" s="339"/>
      <c r="BA131" s="331"/>
      <c r="BB131" s="331"/>
      <c r="BC131" s="331"/>
      <c r="BD131" s="339"/>
      <c r="BE131" s="339"/>
      <c r="BF131" s="339"/>
      <c r="BG131" s="339"/>
      <c r="BH131" s="337"/>
      <c r="BI131" s="331"/>
      <c r="BJ131" s="331"/>
      <c r="BK131" s="331"/>
      <c r="BL131" s="23">
        <f t="shared" si="177"/>
        <v>-3.1081835260671197E-31</v>
      </c>
      <c r="BM131" s="24">
        <f t="shared" si="178"/>
        <v>2.8083929330737602E-12</v>
      </c>
      <c r="BN131" s="24">
        <f t="shared" si="179"/>
        <v>360.82657563787529</v>
      </c>
      <c r="BO131" s="24">
        <f t="shared" si="180"/>
        <v>3.2810317968213374</v>
      </c>
      <c r="BP131" s="24">
        <f t="shared" si="135"/>
        <v>3.7731865663445379</v>
      </c>
      <c r="BQ131" s="23">
        <f t="shared" si="136"/>
        <v>3.7562238790240903</v>
      </c>
      <c r="BR131" s="23">
        <f t="shared" si="181"/>
        <v>0.71156090498956115</v>
      </c>
      <c r="BS131" s="6">
        <f t="shared" si="182"/>
        <v>9.0528472618236329</v>
      </c>
      <c r="BT131" s="23">
        <f t="shared" si="183"/>
        <v>9.2375992467588084</v>
      </c>
      <c r="BU131" s="22">
        <f t="shared" si="184"/>
        <v>11.782652100457664</v>
      </c>
      <c r="BV131" s="22">
        <f t="shared" si="185"/>
        <v>0.56107867145036494</v>
      </c>
      <c r="BW131" s="23">
        <f t="shared" si="186"/>
        <v>1.0749044830954465E-4</v>
      </c>
      <c r="BX131" s="331"/>
      <c r="BY131" s="361"/>
      <c r="BZ131" s="361"/>
      <c r="CA131" s="361"/>
    </row>
    <row r="132" spans="3:79" ht="15.75" x14ac:dyDescent="0.3">
      <c r="C132" s="13"/>
      <c r="D132" s="379"/>
      <c r="E132" s="379"/>
      <c r="F132" s="19" t="s">
        <v>128</v>
      </c>
      <c r="G132" s="256"/>
      <c r="H132" s="54">
        <v>0.77500000000000002</v>
      </c>
      <c r="I132" s="13">
        <v>-8.5485579999999999</v>
      </c>
      <c r="J132" s="13">
        <v>115.52518999999999</v>
      </c>
      <c r="K132" s="13">
        <f t="shared" si="121"/>
        <v>-0.14920048339770142</v>
      </c>
      <c r="L132" s="13">
        <f t="shared" si="121"/>
        <v>2.016294934492028</v>
      </c>
      <c r="M132" s="13">
        <v>3443</v>
      </c>
      <c r="N132" s="71">
        <f t="shared" si="138"/>
        <v>0.1254201540377903</v>
      </c>
      <c r="O132" s="339"/>
      <c r="P132" s="339"/>
      <c r="Q132" s="437"/>
      <c r="R132" s="15">
        <f t="shared" si="139"/>
        <v>4.9999999999999822E-2</v>
      </c>
      <c r="S132" s="331"/>
      <c r="T132" s="20">
        <f t="shared" si="125"/>
        <v>2.5084030807558149</v>
      </c>
      <c r="U132" s="347"/>
      <c r="V132" s="15">
        <f t="shared" si="127"/>
        <v>1.2903225447407911</v>
      </c>
      <c r="W132" s="15">
        <f t="shared" si="140"/>
        <v>2.5118119300671707E-5</v>
      </c>
      <c r="X132" s="15">
        <f t="shared" si="141"/>
        <v>2.694788365076306E-5</v>
      </c>
      <c r="Y132" s="13">
        <f t="shared" si="142"/>
        <v>0.82052687551866554</v>
      </c>
      <c r="Z132" s="13">
        <f t="shared" si="143"/>
        <v>47.012726944275805</v>
      </c>
      <c r="AA132" s="13">
        <f t="shared" si="144"/>
        <v>312.98727305572419</v>
      </c>
      <c r="AB132" s="13">
        <v>120</v>
      </c>
      <c r="AC132" s="13">
        <v>13</v>
      </c>
      <c r="AD132" s="13">
        <f t="shared" si="128"/>
        <v>4</v>
      </c>
      <c r="AE132" s="16">
        <f t="shared" si="129"/>
        <v>167.01272694427581</v>
      </c>
      <c r="AF132" s="15">
        <f t="shared" si="170"/>
        <v>4.8992835593608751E-2</v>
      </c>
      <c r="AG132" s="366"/>
      <c r="AH132" s="331"/>
      <c r="AI132" s="339"/>
      <c r="AJ132" s="13">
        <f t="shared" si="171"/>
        <v>2.3908830522054201</v>
      </c>
      <c r="AK132" s="13">
        <f t="shared" si="130"/>
        <v>-3.999999999999998E-2</v>
      </c>
      <c r="AL132" s="15">
        <f t="shared" si="145"/>
        <v>18.610006994007279</v>
      </c>
      <c r="AM132" s="15">
        <f t="shared" si="131"/>
        <v>-1.7797740129358528</v>
      </c>
      <c r="AN132" s="15">
        <f t="shared" si="172"/>
        <v>2.464539841125021</v>
      </c>
      <c r="AO132" s="15">
        <f t="shared" si="132"/>
        <v>1.2677592942747107</v>
      </c>
      <c r="AP132" s="15">
        <f t="shared" si="133"/>
        <v>4.8136121413849799E-2</v>
      </c>
      <c r="AQ132" s="20">
        <f t="shared" si="173"/>
        <v>5.0889887006467752E-2</v>
      </c>
      <c r="AR132" s="13">
        <f t="shared" si="174"/>
        <v>75454087.895860255</v>
      </c>
      <c r="AS132" s="13">
        <f t="shared" si="134"/>
        <v>2.1709457829845384E-3</v>
      </c>
      <c r="AT132" s="15">
        <f t="shared" si="175"/>
        <v>58.457007041380933</v>
      </c>
      <c r="AU132" s="13">
        <f t="shared" si="176"/>
        <v>2164.7511032907541</v>
      </c>
      <c r="AV132" s="339"/>
      <c r="AW132" s="339"/>
      <c r="AX132" s="339"/>
      <c r="AY132" s="339"/>
      <c r="AZ132" s="339"/>
      <c r="BA132" s="331"/>
      <c r="BB132" s="331"/>
      <c r="BC132" s="331"/>
      <c r="BD132" s="339"/>
      <c r="BE132" s="339"/>
      <c r="BF132" s="339"/>
      <c r="BG132" s="339"/>
      <c r="BH132" s="337"/>
      <c r="BI132" s="331"/>
      <c r="BJ132" s="331"/>
      <c r="BK132" s="331"/>
      <c r="BL132" s="23">
        <f t="shared" si="177"/>
        <v>-1.4004908893253304E-19</v>
      </c>
      <c r="BM132" s="24">
        <f t="shared" si="178"/>
        <v>2.0656181434565295E-8</v>
      </c>
      <c r="BN132" s="24">
        <f t="shared" si="179"/>
        <v>585.17497287055369</v>
      </c>
      <c r="BO132" s="24">
        <f t="shared" si="180"/>
        <v>5.1533702438747362</v>
      </c>
      <c r="BP132" s="24">
        <f t="shared" si="135"/>
        <v>5.9263757804559463</v>
      </c>
      <c r="BQ132" s="23">
        <f t="shared" si="136"/>
        <v>7.5132179770375682</v>
      </c>
      <c r="BR132" s="23">
        <f t="shared" si="181"/>
        <v>0.90616167913006429</v>
      </c>
      <c r="BS132" s="6">
        <f t="shared" si="182"/>
        <v>18.10755082271081</v>
      </c>
      <c r="BT132" s="23">
        <f t="shared" si="183"/>
        <v>18.477092676235522</v>
      </c>
      <c r="BU132" s="22">
        <f t="shared" si="184"/>
        <v>23.567720250300408</v>
      </c>
      <c r="BV132" s="22">
        <f t="shared" si="185"/>
        <v>1.122272392871448</v>
      </c>
      <c r="BW132" s="23">
        <f t="shared" si="186"/>
        <v>2.1492506480037907E-4</v>
      </c>
      <c r="BX132" s="331"/>
      <c r="BY132" s="361"/>
      <c r="BZ132" s="361"/>
      <c r="CA132" s="361"/>
    </row>
    <row r="133" spans="3:79" ht="15.75" x14ac:dyDescent="0.3">
      <c r="C133" s="13"/>
      <c r="D133" s="379"/>
      <c r="E133" s="379"/>
      <c r="F133" s="19" t="s">
        <v>128</v>
      </c>
      <c r="G133" s="256"/>
      <c r="H133" s="54">
        <v>0.77708333333333401</v>
      </c>
      <c r="I133" s="13">
        <v>-8.5475469999999998</v>
      </c>
      <c r="J133" s="13">
        <v>115.52401500000001</v>
      </c>
      <c r="K133" s="13">
        <f t="shared" si="121"/>
        <v>-0.14918283811896374</v>
      </c>
      <c r="L133" s="13">
        <f t="shared" si="121"/>
        <v>2.0162744268733173</v>
      </c>
      <c r="M133" s="13">
        <v>3443</v>
      </c>
      <c r="N133" s="71">
        <f t="shared" si="138"/>
        <v>9.2553744102230953E-2</v>
      </c>
      <c r="O133" s="339"/>
      <c r="P133" s="339"/>
      <c r="Q133" s="437"/>
      <c r="R133" s="15">
        <f t="shared" si="139"/>
        <v>5.000000000001581E-2</v>
      </c>
      <c r="S133" s="331"/>
      <c r="T133" s="20">
        <f t="shared" si="125"/>
        <v>1.8510748820440337</v>
      </c>
      <c r="U133" s="347"/>
      <c r="V133" s="15">
        <f t="shared" si="127"/>
        <v>0.95219291932345085</v>
      </c>
      <c r="W133" s="15">
        <f t="shared" si="140"/>
        <v>1.7845633936939194E-5</v>
      </c>
      <c r="X133" s="15">
        <f t="shared" si="141"/>
        <v>2.050761871075224E-5</v>
      </c>
      <c r="Y133" s="13">
        <f t="shared" si="142"/>
        <v>0.85469404697551887</v>
      </c>
      <c r="Z133" s="13">
        <f t="shared" si="143"/>
        <v>48.970361666653353</v>
      </c>
      <c r="AA133" s="13">
        <f t="shared" si="144"/>
        <v>311.02963833334667</v>
      </c>
      <c r="AB133" s="13">
        <v>120</v>
      </c>
      <c r="AC133" s="13">
        <v>13</v>
      </c>
      <c r="AD133" s="13">
        <f t="shared" si="128"/>
        <v>4</v>
      </c>
      <c r="AE133" s="16">
        <f t="shared" si="129"/>
        <v>168.97036166665333</v>
      </c>
      <c r="AF133" s="15">
        <f t="shared" si="170"/>
        <v>3.6154240147128244E-2</v>
      </c>
      <c r="AG133" s="366"/>
      <c r="AH133" s="331"/>
      <c r="AI133" s="339"/>
      <c r="AJ133" s="13">
        <f t="shared" si="171"/>
        <v>2.4510666141204775</v>
      </c>
      <c r="AK133" s="13">
        <f t="shared" si="130"/>
        <v>-3.999999999999998E-2</v>
      </c>
      <c r="AL133" s="15">
        <f t="shared" si="145"/>
        <v>18.610006994007279</v>
      </c>
      <c r="AM133" s="15">
        <f t="shared" si="131"/>
        <v>-1.8245746732623922</v>
      </c>
      <c r="AN133" s="15">
        <f t="shared" si="172"/>
        <v>1.8179058326379613</v>
      </c>
      <c r="AO133" s="15">
        <f t="shared" si="132"/>
        <v>0.93513076030896725</v>
      </c>
      <c r="AP133" s="15">
        <f t="shared" si="133"/>
        <v>3.5506399376713328E-2</v>
      </c>
      <c r="AQ133" s="20">
        <f t="shared" si="173"/>
        <v>5.0912287336647301E-2</v>
      </c>
      <c r="AR133" s="13">
        <f t="shared" si="174"/>
        <v>55656810.327580944</v>
      </c>
      <c r="AS133" s="13">
        <f t="shared" si="134"/>
        <v>2.2719712784056334E-3</v>
      </c>
      <c r="AT133" s="15">
        <f t="shared" si="175"/>
        <v>33.285992801738182</v>
      </c>
      <c r="AU133" s="13">
        <f t="shared" si="176"/>
        <v>1232.6304969853045</v>
      </c>
      <c r="AV133" s="339"/>
      <c r="AW133" s="339"/>
      <c r="AX133" s="339"/>
      <c r="AY133" s="339"/>
      <c r="AZ133" s="339"/>
      <c r="BA133" s="331"/>
      <c r="BB133" s="331"/>
      <c r="BC133" s="331"/>
      <c r="BD133" s="339"/>
      <c r="BE133" s="339"/>
      <c r="BF133" s="339"/>
      <c r="BG133" s="339"/>
      <c r="BH133" s="337"/>
      <c r="BI133" s="331"/>
      <c r="BJ133" s="331"/>
      <c r="BK133" s="331"/>
      <c r="BL133" s="23">
        <f t="shared" si="177"/>
        <v>-2.7596424713148643E-35</v>
      </c>
      <c r="BM133" s="24">
        <f t="shared" si="178"/>
        <v>2.009525048974075E-13</v>
      </c>
      <c r="BN133" s="24">
        <f t="shared" si="179"/>
        <v>318.38809707870854</v>
      </c>
      <c r="BO133" s="24">
        <f t="shared" si="180"/>
        <v>2.9195632615761484</v>
      </c>
      <c r="BP133" s="24">
        <f t="shared" si="135"/>
        <v>3.3574977508125707</v>
      </c>
      <c r="BQ133" s="23">
        <f t="shared" si="136"/>
        <v>3.1396994244530068</v>
      </c>
      <c r="BR133" s="23">
        <f t="shared" si="181"/>
        <v>0.66840737338276524</v>
      </c>
      <c r="BS133" s="6">
        <f t="shared" si="182"/>
        <v>7.5669662546826988</v>
      </c>
      <c r="BT133" s="23">
        <f t="shared" si="183"/>
        <v>7.7213941374313251</v>
      </c>
      <c r="BU133" s="22">
        <f t="shared" si="184"/>
        <v>9.848717012029752</v>
      </c>
      <c r="BV133" s="22">
        <f t="shared" si="185"/>
        <v>0.46898652438236921</v>
      </c>
      <c r="BW133" s="23">
        <f t="shared" si="186"/>
        <v>8.9854591306150295E-5</v>
      </c>
      <c r="BX133" s="331"/>
      <c r="BY133" s="361"/>
      <c r="BZ133" s="361"/>
      <c r="CA133" s="361"/>
    </row>
    <row r="134" spans="3:79" ht="15.75" x14ac:dyDescent="0.3">
      <c r="C134" s="13"/>
      <c r="D134" s="379"/>
      <c r="E134" s="379"/>
      <c r="F134" s="19" t="s">
        <v>128</v>
      </c>
      <c r="G134" s="256"/>
      <c r="H134" s="54">
        <v>0.77916666666666801</v>
      </c>
      <c r="I134" s="13">
        <v>-8.5464929999999999</v>
      </c>
      <c r="J134" s="13">
        <v>115.52278099999999</v>
      </c>
      <c r="K134" s="13">
        <f t="shared" si="121"/>
        <v>-0.14916444234864773</v>
      </c>
      <c r="L134" s="13">
        <f t="shared" si="121"/>
        <v>2.0162528895103473</v>
      </c>
      <c r="M134" s="13">
        <v>3443</v>
      </c>
      <c r="N134" s="71">
        <f t="shared" si="138"/>
        <v>9.6895622971256479E-2</v>
      </c>
      <c r="O134" s="339"/>
      <c r="P134" s="339"/>
      <c r="Q134" s="437"/>
      <c r="R134" s="15">
        <f t="shared" si="139"/>
        <v>5.000000000001581E-2</v>
      </c>
      <c r="S134" s="331"/>
      <c r="T134" s="20">
        <f t="shared" si="125"/>
        <v>1.9379124594245167</v>
      </c>
      <c r="U134" s="347"/>
      <c r="V134" s="15">
        <f t="shared" si="127"/>
        <v>0.99686216912797132</v>
      </c>
      <c r="W134" s="15">
        <f t="shared" si="140"/>
        <v>1.8604596388456202E-5</v>
      </c>
      <c r="X134" s="15">
        <f t="shared" si="141"/>
        <v>2.1537362969947793E-5</v>
      </c>
      <c r="Y134" s="13">
        <f t="shared" si="142"/>
        <v>0.85832846266727747</v>
      </c>
      <c r="Z134" s="13">
        <f t="shared" si="143"/>
        <v>49.17859834678724</v>
      </c>
      <c r="AA134" s="13">
        <f t="shared" si="144"/>
        <v>310.82140165321277</v>
      </c>
      <c r="AB134" s="13">
        <v>120</v>
      </c>
      <c r="AC134" s="13">
        <v>13</v>
      </c>
      <c r="AD134" s="13">
        <f t="shared" si="128"/>
        <v>4</v>
      </c>
      <c r="AE134" s="16">
        <f t="shared" si="129"/>
        <v>169.17859834678723</v>
      </c>
      <c r="AF134" s="15">
        <f t="shared" si="170"/>
        <v>3.785030693343891E-2</v>
      </c>
      <c r="AG134" s="366"/>
      <c r="AH134" s="331"/>
      <c r="AI134" s="339"/>
      <c r="AJ134" s="13">
        <f t="shared" si="171"/>
        <v>2.4433351738207918</v>
      </c>
      <c r="AK134" s="13">
        <f t="shared" si="130"/>
        <v>-3.999999999999998E-2</v>
      </c>
      <c r="AL134" s="15">
        <f t="shared" ref="AL134:AL149" si="193">IF($T$21="ALL SHIP TYPE LOADED",(0.5*AD134+AD134^6.5)/(2.2*$G$5^(2/3)),IF($T$22="ALL SHIP TYPE BALLAST",(0.7*AD134+AD134^6.5)/(2.7*I108^(2/3)),IF($T$23="CONTAINER NORMAL",(0.7*AD134+AD134^6.5)/(2.2*$G$5^(2/3)))))</f>
        <v>18.610006994007279</v>
      </c>
      <c r="AM134" s="15">
        <f t="shared" si="131"/>
        <v>-1.8188193869403562</v>
      </c>
      <c r="AN134" s="15">
        <f t="shared" si="172"/>
        <v>1.903294961670986</v>
      </c>
      <c r="AO134" s="15">
        <f t="shared" si="132"/>
        <v>0.97905492828355511</v>
      </c>
      <c r="AP134" s="15">
        <f t="shared" si="133"/>
        <v>3.7174175816748596E-2</v>
      </c>
      <c r="AQ134" s="20">
        <f t="shared" si="173"/>
        <v>5.0909409693486271E-2</v>
      </c>
      <c r="AR134" s="13">
        <f t="shared" si="174"/>
        <v>58271074.759381607</v>
      </c>
      <c r="AS134" s="13">
        <f t="shared" si="134"/>
        <v>2.256287237656219E-3</v>
      </c>
      <c r="AT134" s="15">
        <f t="shared" si="175"/>
        <v>36.234518514000207</v>
      </c>
      <c r="AU134" s="13">
        <f t="shared" si="176"/>
        <v>1341.8188494471756</v>
      </c>
      <c r="AV134" s="339"/>
      <c r="AW134" s="339"/>
      <c r="AX134" s="339"/>
      <c r="AY134" s="339"/>
      <c r="AZ134" s="339"/>
      <c r="BA134" s="331"/>
      <c r="BB134" s="331"/>
      <c r="BC134" s="331"/>
      <c r="BD134" s="339"/>
      <c r="BE134" s="339"/>
      <c r="BF134" s="339"/>
      <c r="BG134" s="339"/>
      <c r="BH134" s="337"/>
      <c r="BI134" s="331"/>
      <c r="BJ134" s="331"/>
      <c r="BK134" s="331"/>
      <c r="BL134" s="23">
        <f t="shared" si="177"/>
        <v>-2.9007176226688584E-32</v>
      </c>
      <c r="BM134" s="24">
        <f t="shared" si="178"/>
        <v>1.4115538251855322E-12</v>
      </c>
      <c r="BN134" s="24">
        <f t="shared" si="179"/>
        <v>349.00066388928656</v>
      </c>
      <c r="BO134" s="24">
        <f t="shared" si="180"/>
        <v>3.180592024782035</v>
      </c>
      <c r="BP134" s="24">
        <f t="shared" si="135"/>
        <v>3.6576808284993403</v>
      </c>
      <c r="BQ134" s="23">
        <f t="shared" si="136"/>
        <v>3.5810704412305561</v>
      </c>
      <c r="BR134" s="23">
        <f t="shared" si="181"/>
        <v>0.69980323692404944</v>
      </c>
      <c r="BS134" s="6">
        <f t="shared" si="182"/>
        <v>8.630711262800018</v>
      </c>
      <c r="BT134" s="23">
        <f t="shared" si="183"/>
        <v>8.8068482273469577</v>
      </c>
      <c r="BU134" s="22">
        <f t="shared" si="184"/>
        <v>11.233224779779283</v>
      </c>
      <c r="BV134" s="22">
        <f t="shared" si="185"/>
        <v>0.53491546570377546</v>
      </c>
      <c r="BW134" s="23">
        <f t="shared" si="186"/>
        <v>1.0248033017471075E-4</v>
      </c>
      <c r="BX134" s="331"/>
      <c r="BY134" s="361"/>
      <c r="BZ134" s="361"/>
      <c r="CA134" s="361"/>
    </row>
    <row r="135" spans="3:79" ht="15.75" x14ac:dyDescent="0.3">
      <c r="C135" s="13"/>
      <c r="D135" s="379"/>
      <c r="E135" s="379"/>
      <c r="F135" s="19" t="s">
        <v>128</v>
      </c>
      <c r="G135" s="256"/>
      <c r="H135" s="54">
        <v>0.781250000000001</v>
      </c>
      <c r="I135" s="13">
        <v>-8.5453390000000002</v>
      </c>
      <c r="J135" s="13">
        <v>115.52176</v>
      </c>
      <c r="K135" s="13">
        <f t="shared" si="121"/>
        <v>-0.14914430124907974</v>
      </c>
      <c r="L135" s="13">
        <f t="shared" si="121"/>
        <v>2.0162350696986846</v>
      </c>
      <c r="M135" s="13">
        <v>3443</v>
      </c>
      <c r="N135" s="71">
        <f t="shared" si="138"/>
        <v>9.21410977434753E-2</v>
      </c>
      <c r="O135" s="339"/>
      <c r="P135" s="339"/>
      <c r="Q135" s="437"/>
      <c r="R135" s="15">
        <f t="shared" si="139"/>
        <v>4.9999999999991829E-2</v>
      </c>
      <c r="S135" s="331"/>
      <c r="T135" s="20">
        <f t="shared" si="125"/>
        <v>1.8428219548698073</v>
      </c>
      <c r="U135" s="347"/>
      <c r="V135" s="15">
        <f t="shared" si="127"/>
        <v>0.94794761358502877</v>
      </c>
      <c r="W135" s="15">
        <f t="shared" si="140"/>
        <v>2.0369679057555684E-5</v>
      </c>
      <c r="X135" s="15">
        <f t="shared" si="141"/>
        <v>1.7819811662711516E-5</v>
      </c>
      <c r="Y135" s="13">
        <f t="shared" si="142"/>
        <v>0.71872829473350541</v>
      </c>
      <c r="Z135" s="13">
        <f t="shared" si="143"/>
        <v>41.180097904864574</v>
      </c>
      <c r="AA135" s="13">
        <f t="shared" si="144"/>
        <v>318.81990209513543</v>
      </c>
      <c r="AB135" s="13">
        <v>120</v>
      </c>
      <c r="AC135" s="13">
        <v>13</v>
      </c>
      <c r="AD135" s="13">
        <f t="shared" si="128"/>
        <v>4</v>
      </c>
      <c r="AE135" s="16">
        <f t="shared" si="129"/>
        <v>161.18009790486457</v>
      </c>
      <c r="AF135" s="15">
        <f t="shared" si="170"/>
        <v>3.599304822892542E-2</v>
      </c>
      <c r="AG135" s="366"/>
      <c r="AH135" s="331"/>
      <c r="AI135" s="339"/>
      <c r="AJ135" s="13">
        <f t="shared" si="171"/>
        <v>2.4517979271115831</v>
      </c>
      <c r="AK135" s="13">
        <f t="shared" si="130"/>
        <v>-3.999999999999998E-2</v>
      </c>
      <c r="AL135" s="15">
        <f t="shared" si="193"/>
        <v>18.610006994007279</v>
      </c>
      <c r="AM135" s="15">
        <f t="shared" si="131"/>
        <v>-1.8251190628575635</v>
      </c>
      <c r="AN135" s="15">
        <f t="shared" si="172"/>
        <v>1.809791112281653</v>
      </c>
      <c r="AO135" s="15">
        <f t="shared" si="132"/>
        <v>0.93095654815768225</v>
      </c>
      <c r="AP135" s="15">
        <f t="shared" si="133"/>
        <v>3.5347906842816051E-2</v>
      </c>
      <c r="AQ135" s="20">
        <f t="shared" si="173"/>
        <v>5.0912559531420452E-2</v>
      </c>
      <c r="AR135" s="13">
        <f t="shared" si="174"/>
        <v>55408370.918001056</v>
      </c>
      <c r="AS135" s="13">
        <f t="shared" si="134"/>
        <v>2.2735086595402224E-3</v>
      </c>
      <c r="AT135" s="15">
        <f t="shared" si="175"/>
        <v>33.011816844405821</v>
      </c>
      <c r="AU135" s="13">
        <f t="shared" si="176"/>
        <v>1222.4773479246476</v>
      </c>
      <c r="AV135" s="339"/>
      <c r="AW135" s="339"/>
      <c r="AX135" s="339"/>
      <c r="AY135" s="339"/>
      <c r="AZ135" s="339"/>
      <c r="BA135" s="331"/>
      <c r="BB135" s="331"/>
      <c r="BC135" s="331"/>
      <c r="BD135" s="339"/>
      <c r="BE135" s="339"/>
      <c r="BF135" s="339"/>
      <c r="BG135" s="339"/>
      <c r="BH135" s="337"/>
      <c r="BI135" s="331"/>
      <c r="BJ135" s="331"/>
      <c r="BK135" s="331"/>
      <c r="BL135" s="23">
        <f t="shared" si="177"/>
        <v>-1.3528204772950173E-35</v>
      </c>
      <c r="BM135" s="24">
        <f t="shared" si="178"/>
        <v>1.6546016928168145E-13</v>
      </c>
      <c r="BN135" s="24">
        <f t="shared" si="179"/>
        <v>315.55201618215608</v>
      </c>
      <c r="BO135" s="24">
        <f t="shared" si="180"/>
        <v>2.8953013606608526</v>
      </c>
      <c r="BP135" s="24">
        <f t="shared" si="135"/>
        <v>3.3295965647599806</v>
      </c>
      <c r="BQ135" s="23">
        <f t="shared" si="136"/>
        <v>3.0997097246866283</v>
      </c>
      <c r="BR135" s="23">
        <f t="shared" si="181"/>
        <v>0.66542375408757604</v>
      </c>
      <c r="BS135" s="6">
        <f t="shared" si="182"/>
        <v>7.470587376402082</v>
      </c>
      <c r="BT135" s="23">
        <f t="shared" si="183"/>
        <v>7.6230483432674312</v>
      </c>
      <c r="BU135" s="22">
        <f t="shared" si="184"/>
        <v>9.7232759480451936</v>
      </c>
      <c r="BV135" s="22">
        <f t="shared" si="185"/>
        <v>0.46301314038310443</v>
      </c>
      <c r="BW135" s="23">
        <f t="shared" si="186"/>
        <v>8.87106063057141E-5</v>
      </c>
      <c r="BX135" s="331"/>
      <c r="BY135" s="361"/>
      <c r="BZ135" s="361"/>
      <c r="CA135" s="361"/>
    </row>
    <row r="136" spans="3:79" ht="15.75" x14ac:dyDescent="0.3">
      <c r="C136" s="13"/>
      <c r="D136" s="379"/>
      <c r="E136" s="379"/>
      <c r="F136" s="19" t="s">
        <v>128</v>
      </c>
      <c r="G136" s="257"/>
      <c r="H136" s="54">
        <v>0.78333333333333499</v>
      </c>
      <c r="I136" s="13">
        <v>-8.5442400000000003</v>
      </c>
      <c r="J136" s="13">
        <v>115.520445</v>
      </c>
      <c r="K136" s="13">
        <f t="shared" si="121"/>
        <v>-0.1491251200806003</v>
      </c>
      <c r="L136" s="13">
        <f t="shared" si="121"/>
        <v>2.0162121186190207</v>
      </c>
      <c r="M136" s="13">
        <v>3443</v>
      </c>
      <c r="N136" s="71">
        <f t="shared" si="138"/>
        <v>0.10231216755041037</v>
      </c>
      <c r="O136" s="339"/>
      <c r="P136" s="339"/>
      <c r="Q136" s="437"/>
      <c r="R136" s="15">
        <f t="shared" si="139"/>
        <v>5.000000000001581E-2</v>
      </c>
      <c r="S136" s="331"/>
      <c r="T136" s="20">
        <f t="shared" si="125"/>
        <v>2.0462433510075604</v>
      </c>
      <c r="U136" s="347"/>
      <c r="V136" s="15">
        <f t="shared" si="127"/>
        <v>1.0525875797582891</v>
      </c>
      <c r="W136" s="15">
        <f t="shared" si="140"/>
        <v>1.9398796179030304E-5</v>
      </c>
      <c r="X136" s="15">
        <f t="shared" si="141"/>
        <v>2.2951079663879881E-5</v>
      </c>
      <c r="Y136" s="13">
        <f t="shared" si="142"/>
        <v>0.86908170211090885</v>
      </c>
      <c r="Z136" s="13">
        <f t="shared" si="143"/>
        <v>49.794713583000927</v>
      </c>
      <c r="AA136" s="13">
        <f t="shared" si="144"/>
        <v>310.20528641699906</v>
      </c>
      <c r="AB136" s="13">
        <v>120</v>
      </c>
      <c r="AC136" s="13">
        <v>13</v>
      </c>
      <c r="AD136" s="13">
        <f t="shared" si="128"/>
        <v>4</v>
      </c>
      <c r="AE136" s="16">
        <f t="shared" si="129"/>
        <v>169.79471358300094</v>
      </c>
      <c r="AF136" s="15">
        <f t="shared" si="170"/>
        <v>3.9966170050397737E-2</v>
      </c>
      <c r="AG136" s="366"/>
      <c r="AH136" s="331"/>
      <c r="AI136" s="339"/>
      <c r="AJ136" s="13">
        <f t="shared" si="171"/>
        <v>2.4335965517309597</v>
      </c>
      <c r="AK136" s="13">
        <f t="shared" si="130"/>
        <v>-3.999999999999998E-2</v>
      </c>
      <c r="AL136" s="15">
        <f t="shared" si="193"/>
        <v>18.610006994007279</v>
      </c>
      <c r="AM136" s="15">
        <f t="shared" si="131"/>
        <v>-1.8115699539322054</v>
      </c>
      <c r="AN136" s="15">
        <f t="shared" si="172"/>
        <v>2.0098338056602469</v>
      </c>
      <c r="AO136" s="15">
        <f t="shared" si="132"/>
        <v>1.0338585096316311</v>
      </c>
      <c r="AP136" s="15">
        <f t="shared" si="133"/>
        <v>3.9255037584119037E-2</v>
      </c>
      <c r="AQ136" s="20">
        <f t="shared" si="173"/>
        <v>5.0905784976982199E-2</v>
      </c>
      <c r="AR136" s="13">
        <f t="shared" si="174"/>
        <v>61532856.599767476</v>
      </c>
      <c r="AS136" s="13">
        <f t="shared" si="134"/>
        <v>2.2378867163181729E-3</v>
      </c>
      <c r="AT136" s="15">
        <f t="shared" si="175"/>
        <v>40.075071331805866</v>
      </c>
      <c r="AU136" s="13">
        <f t="shared" si="176"/>
        <v>1484.0403104895784</v>
      </c>
      <c r="AV136" s="339"/>
      <c r="AW136" s="339"/>
      <c r="AX136" s="339"/>
      <c r="AY136" s="339"/>
      <c r="AZ136" s="339"/>
      <c r="BA136" s="331"/>
      <c r="BB136" s="331"/>
      <c r="BC136" s="331"/>
      <c r="BD136" s="339"/>
      <c r="BE136" s="339"/>
      <c r="BF136" s="339"/>
      <c r="BG136" s="339"/>
      <c r="BH136" s="337"/>
      <c r="BI136" s="331"/>
      <c r="BJ136" s="331"/>
      <c r="BK136" s="331"/>
      <c r="BL136" s="23">
        <f t="shared" si="177"/>
        <v>-5.0816178164998187E-29</v>
      </c>
      <c r="BM136" s="24">
        <f t="shared" si="178"/>
        <v>1.2880223527961671E-11</v>
      </c>
      <c r="BN136" s="24">
        <f t="shared" si="179"/>
        <v>389.16551640169422</v>
      </c>
      <c r="BO136" s="24">
        <f t="shared" si="180"/>
        <v>3.5208816374937379</v>
      </c>
      <c r="BP136" s="24">
        <f t="shared" si="135"/>
        <v>4.0490138831177989</v>
      </c>
      <c r="BQ136" s="23">
        <f t="shared" si="136"/>
        <v>4.1861074586779505</v>
      </c>
      <c r="BR136" s="23">
        <f t="shared" si="181"/>
        <v>0.73897542483147449</v>
      </c>
      <c r="BS136" s="6">
        <f t="shared" si="182"/>
        <v>10.08890648308163</v>
      </c>
      <c r="BT136" s="23">
        <f t="shared" si="183"/>
        <v>10.294802533756766</v>
      </c>
      <c r="BU136" s="22">
        <f t="shared" si="184"/>
        <v>13.1311256808122</v>
      </c>
      <c r="BV136" s="22">
        <f t="shared" si="185"/>
        <v>0.62529169908629523</v>
      </c>
      <c r="BW136" s="23">
        <f t="shared" si="186"/>
        <v>1.1978628666603734E-4</v>
      </c>
      <c r="BX136" s="331"/>
      <c r="BY136" s="362"/>
      <c r="BZ136" s="362"/>
      <c r="CA136" s="362"/>
    </row>
    <row r="137" spans="3:79" ht="15.75" x14ac:dyDescent="0.3">
      <c r="C137" s="13">
        <v>16</v>
      </c>
      <c r="D137" s="379"/>
      <c r="E137" s="379"/>
      <c r="F137" s="19" t="s">
        <v>128</v>
      </c>
      <c r="G137" s="255">
        <v>0.78472222222222199</v>
      </c>
      <c r="H137" s="54">
        <v>0.78472222222222221</v>
      </c>
      <c r="I137" s="13">
        <v>-8.5430080000000004</v>
      </c>
      <c r="J137" s="13">
        <v>115.519229</v>
      </c>
      <c r="K137" s="13">
        <f t="shared" si="121"/>
        <v>-0.14910361762421573</v>
      </c>
      <c r="L137" s="13">
        <f t="shared" si="121"/>
        <v>2.0161908954153165</v>
      </c>
      <c r="M137" s="13">
        <v>3443</v>
      </c>
      <c r="N137" s="71">
        <f t="shared" si="138"/>
        <v>0.10345277083034513</v>
      </c>
      <c r="O137" s="398"/>
      <c r="P137" s="398"/>
      <c r="Q137" s="437"/>
      <c r="R137" s="15">
        <f t="shared" si="139"/>
        <v>3.3333333333293247E-2</v>
      </c>
      <c r="S137" s="358"/>
      <c r="T137" s="20">
        <f t="shared" si="125"/>
        <v>3.1035831249140862</v>
      </c>
      <c r="U137" s="348"/>
      <c r="V137" s="15">
        <f t="shared" si="127"/>
        <v>1.5964831594558058</v>
      </c>
      <c r="W137" s="15">
        <f t="shared" si="140"/>
        <v>2.1746354373531375E-5</v>
      </c>
      <c r="X137" s="15">
        <f t="shared" si="141"/>
        <v>2.1223203704234805E-5</v>
      </c>
      <c r="Y137" s="13">
        <f t="shared" si="142"/>
        <v>0.77322385101493363</v>
      </c>
      <c r="Z137" s="13">
        <f t="shared" si="143"/>
        <v>44.302463282008056</v>
      </c>
      <c r="AA137" s="13">
        <f t="shared" si="144"/>
        <v>315.69753671799197</v>
      </c>
      <c r="AB137" s="13">
        <v>120</v>
      </c>
      <c r="AC137" s="13">
        <v>13</v>
      </c>
      <c r="AD137" s="13">
        <f t="shared" si="128"/>
        <v>4</v>
      </c>
      <c r="AE137" s="16">
        <f t="shared" si="129"/>
        <v>164.30246328200803</v>
      </c>
      <c r="AF137" s="15">
        <f t="shared" si="170"/>
        <v>6.0617585330105174E-2</v>
      </c>
      <c r="AG137" s="366"/>
      <c r="AH137" s="331"/>
      <c r="AI137" s="339"/>
      <c r="AJ137" s="13">
        <f t="shared" si="171"/>
        <v>2.333090831124081</v>
      </c>
      <c r="AK137" s="13">
        <f t="shared" si="130"/>
        <v>-3.999999999999998E-2</v>
      </c>
      <c r="AL137" s="15">
        <f t="shared" si="193"/>
        <v>18.610006994007279</v>
      </c>
      <c r="AM137" s="15">
        <f t="shared" si="131"/>
        <v>-1.7367534673949352</v>
      </c>
      <c r="AN137" s="15">
        <f t="shared" si="172"/>
        <v>3.0506016942134262</v>
      </c>
      <c r="AO137" s="15">
        <f t="shared" si="132"/>
        <v>1.5692295115033863</v>
      </c>
      <c r="AP137" s="15">
        <f t="shared" si="133"/>
        <v>5.9582779343880073E-2</v>
      </c>
      <c r="AQ137" s="20">
        <f t="shared" si="173"/>
        <v>3.3912251155757522E-2</v>
      </c>
      <c r="AR137" s="13">
        <f t="shared" si="174"/>
        <v>93396894.839957878</v>
      </c>
      <c r="AS137" s="13">
        <f t="shared" si="134"/>
        <v>2.104089627263145E-3</v>
      </c>
      <c r="AT137" s="15">
        <f t="shared" si="175"/>
        <v>86.806283247722959</v>
      </c>
      <c r="AU137" s="13">
        <f t="shared" si="176"/>
        <v>3214.5675419211279</v>
      </c>
      <c r="AV137" s="339"/>
      <c r="AW137" s="339"/>
      <c r="AX137" s="339"/>
      <c r="AY137" s="339"/>
      <c r="AZ137" s="339"/>
      <c r="BA137" s="331"/>
      <c r="BB137" s="331"/>
      <c r="BC137" s="331"/>
      <c r="BD137" s="339"/>
      <c r="BE137" s="339"/>
      <c r="BF137" s="339"/>
      <c r="BG137" s="339"/>
      <c r="BH137" s="337"/>
      <c r="BI137" s="331"/>
      <c r="BJ137" s="331"/>
      <c r="BK137" s="331"/>
      <c r="BL137" s="23">
        <f t="shared" si="177"/>
        <v>-4.5303728105397279E-13</v>
      </c>
      <c r="BM137" s="24">
        <f t="shared" si="178"/>
        <v>1.2416462584252266E-5</v>
      </c>
      <c r="BN137" s="24">
        <f t="shared" si="179"/>
        <v>896.57179299679024</v>
      </c>
      <c r="BO137" s="24">
        <f t="shared" si="180"/>
        <v>7.680156403632477</v>
      </c>
      <c r="BP137" s="24">
        <f t="shared" si="135"/>
        <v>8.8321798641773483</v>
      </c>
      <c r="BQ137" s="23">
        <f t="shared" si="136"/>
        <v>13.859717293773064</v>
      </c>
      <c r="BR137" s="23">
        <f t="shared" si="181"/>
        <v>1.1216448228824669</v>
      </c>
      <c r="BS137" s="6">
        <f t="shared" si="182"/>
        <v>33.403201671030764</v>
      </c>
      <c r="BT137" s="23">
        <f t="shared" si="183"/>
        <v>34.084899664317106</v>
      </c>
      <c r="BU137" s="22">
        <f t="shared" si="184"/>
        <v>43.475637326935086</v>
      </c>
      <c r="BV137" s="22">
        <f t="shared" si="185"/>
        <v>2.0702684441397659</v>
      </c>
      <c r="BW137" s="23">
        <f t="shared" si="186"/>
        <v>2.642047264080267E-4</v>
      </c>
      <c r="BX137" s="331"/>
      <c r="BY137" s="360">
        <f t="shared" ref="BY137" si="194">SUM(BW138:BW143)*1000</f>
        <v>0.65964298576434455</v>
      </c>
      <c r="BZ137" s="360">
        <v>10</v>
      </c>
      <c r="CA137" s="360">
        <f t="shared" ref="CA137" si="195">AVERAGE(AN137:AN143)</f>
        <v>2.0814405988730269</v>
      </c>
    </row>
    <row r="138" spans="3:79" ht="15.75" x14ac:dyDescent="0.3">
      <c r="C138" s="13"/>
      <c r="D138" s="379"/>
      <c r="E138" s="379"/>
      <c r="F138" s="19" t="s">
        <v>128</v>
      </c>
      <c r="G138" s="256"/>
      <c r="H138" s="54">
        <v>0.78680555555555554</v>
      </c>
      <c r="I138" s="13">
        <v>-8.542192</v>
      </c>
      <c r="J138" s="13">
        <v>115.51823899999999</v>
      </c>
      <c r="K138" s="13">
        <f t="shared" si="121"/>
        <v>-0.14908937573751946</v>
      </c>
      <c r="L138" s="13">
        <f t="shared" si="121"/>
        <v>2.0161736166557218</v>
      </c>
      <c r="M138" s="13">
        <v>3443</v>
      </c>
      <c r="N138" s="71">
        <f t="shared" si="138"/>
        <v>7.6586366518422641E-2</v>
      </c>
      <c r="O138" s="357">
        <f t="shared" ref="O138" si="196">SUM(N138:N144)</f>
        <v>0.7766429136639168</v>
      </c>
      <c r="P138" s="338">
        <v>0.77</v>
      </c>
      <c r="Q138" s="437">
        <f t="shared" ref="Q138" si="197">ABS((O138-P138)/P138*100%)</f>
        <v>8.6271606024893276E-3</v>
      </c>
      <c r="R138" s="15">
        <f t="shared" si="139"/>
        <v>4.9999999999999822E-2</v>
      </c>
      <c r="S138" s="357">
        <f t="shared" ref="S138" si="198">SUM(R138:R144)</f>
        <v>0.33333333333333481</v>
      </c>
      <c r="T138" s="20">
        <f t="shared" si="125"/>
        <v>1.5317273303684582</v>
      </c>
      <c r="U138" s="346">
        <f t="shared" ref="U138" si="199">AVERAGE(T138:T144)</f>
        <v>2.4907134987247042</v>
      </c>
      <c r="V138" s="15">
        <f t="shared" si="127"/>
        <v>0.78792053874153489</v>
      </c>
      <c r="W138" s="15">
        <f t="shared" si="140"/>
        <v>1.4403390640545547E-5</v>
      </c>
      <c r="X138" s="15">
        <f t="shared" si="141"/>
        <v>1.7278759594674398E-5</v>
      </c>
      <c r="Y138" s="13">
        <f t="shared" si="142"/>
        <v>0.87590695523921147</v>
      </c>
      <c r="Z138" s="13">
        <f t="shared" si="143"/>
        <v>50.185771781361126</v>
      </c>
      <c r="AA138" s="13">
        <f t="shared" si="144"/>
        <v>309.81422821863885</v>
      </c>
      <c r="AB138" s="13">
        <v>120</v>
      </c>
      <c r="AC138" s="13">
        <v>13</v>
      </c>
      <c r="AD138" s="13">
        <f t="shared" si="128"/>
        <v>4</v>
      </c>
      <c r="AE138" s="16">
        <f t="shared" si="129"/>
        <v>170.18577178136115</v>
      </c>
      <c r="AF138" s="15">
        <f t="shared" si="170"/>
        <v>2.9916908429393041E-2</v>
      </c>
      <c r="AG138" s="366"/>
      <c r="AH138" s="331"/>
      <c r="AI138" s="339"/>
      <c r="AJ138" s="13">
        <f t="shared" si="171"/>
        <v>2.4789251904555627</v>
      </c>
      <c r="AK138" s="13">
        <f t="shared" si="130"/>
        <v>-3.999999999999998E-2</v>
      </c>
      <c r="AL138" s="15">
        <f t="shared" si="193"/>
        <v>18.610006994007279</v>
      </c>
      <c r="AM138" s="15">
        <f t="shared" si="131"/>
        <v>-1.8453126052799531</v>
      </c>
      <c r="AN138" s="15">
        <f t="shared" si="172"/>
        <v>1.5039743029754802</v>
      </c>
      <c r="AO138" s="15">
        <f t="shared" si="132"/>
        <v>0.773644381450587</v>
      </c>
      <c r="AP138" s="15">
        <f t="shared" si="133"/>
        <v>2.9374850608335272E-2</v>
      </c>
      <c r="AQ138" s="20">
        <f t="shared" si="173"/>
        <v>5.0922656302639806E-2</v>
      </c>
      <c r="AR138" s="13">
        <f t="shared" si="174"/>
        <v>46045516.228305273</v>
      </c>
      <c r="AS138" s="13">
        <f t="shared" si="134"/>
        <v>2.3385109375166314E-3</v>
      </c>
      <c r="AT138" s="15">
        <f t="shared" si="175"/>
        <v>23.449638355174891</v>
      </c>
      <c r="AU138" s="13">
        <f t="shared" si="176"/>
        <v>868.3754620759122</v>
      </c>
      <c r="AV138" s="339"/>
      <c r="AW138" s="339"/>
      <c r="AX138" s="339"/>
      <c r="AY138" s="339"/>
      <c r="AZ138" s="339"/>
      <c r="BA138" s="331"/>
      <c r="BB138" s="331"/>
      <c r="BC138" s="331"/>
      <c r="BD138" s="339"/>
      <c r="BE138" s="339"/>
      <c r="BF138" s="339"/>
      <c r="BG138" s="339"/>
      <c r="BH138" s="337"/>
      <c r="BI138" s="331"/>
      <c r="BJ138" s="331"/>
      <c r="BK138" s="331"/>
      <c r="BL138" s="23">
        <f t="shared" si="177"/>
        <v>-3.6200092573693035E-51</v>
      </c>
      <c r="BM138" s="24">
        <f t="shared" si="178"/>
        <v>2.5781522266974741E-17</v>
      </c>
      <c r="BN138" s="24">
        <f t="shared" si="179"/>
        <v>217.91889549312614</v>
      </c>
      <c r="BO138" s="24">
        <f t="shared" si="180"/>
        <v>2.0504199498928704</v>
      </c>
      <c r="BP138" s="24">
        <f t="shared" si="135"/>
        <v>2.3579829423768008</v>
      </c>
      <c r="BQ138" s="23">
        <f t="shared" si="136"/>
        <v>1.8242402549261352</v>
      </c>
      <c r="BR138" s="23">
        <f t="shared" si="181"/>
        <v>0.55298107054768242</v>
      </c>
      <c r="BS138" s="6">
        <f t="shared" si="182"/>
        <v>4.3965878841617885</v>
      </c>
      <c r="BT138" s="23">
        <f t="shared" si="183"/>
        <v>4.4863141675120293</v>
      </c>
      <c r="BU138" s="22">
        <f t="shared" si="184"/>
        <v>5.7223394993775889</v>
      </c>
      <c r="BV138" s="22">
        <f t="shared" si="185"/>
        <v>0.27249235711321851</v>
      </c>
      <c r="BW138" s="23">
        <f t="shared" si="186"/>
        <v>5.2218293581229416E-5</v>
      </c>
      <c r="BX138" s="331"/>
      <c r="BY138" s="361"/>
      <c r="BZ138" s="361"/>
      <c r="CA138" s="361"/>
    </row>
    <row r="139" spans="3:79" ht="15.75" x14ac:dyDescent="0.3">
      <c r="C139" s="13"/>
      <c r="D139" s="379"/>
      <c r="E139" s="379"/>
      <c r="F139" s="19" t="s">
        <v>128</v>
      </c>
      <c r="G139" s="256"/>
      <c r="H139" s="54">
        <v>0.78888888888888897</v>
      </c>
      <c r="I139" s="13">
        <v>-8.5411389999999994</v>
      </c>
      <c r="J139" s="13">
        <v>115.517118</v>
      </c>
      <c r="K139" s="13">
        <f t="shared" si="121"/>
        <v>-0.14907099742049595</v>
      </c>
      <c r="L139" s="13">
        <f t="shared" si="121"/>
        <v>2.0161540515148069</v>
      </c>
      <c r="M139" s="13">
        <v>3443</v>
      </c>
      <c r="N139" s="71">
        <f t="shared" si="138"/>
        <v>9.1877959099358614E-2</v>
      </c>
      <c r="O139" s="339"/>
      <c r="P139" s="339"/>
      <c r="Q139" s="437"/>
      <c r="R139" s="15">
        <f t="shared" si="139"/>
        <v>5.0000000000002487E-2</v>
      </c>
      <c r="S139" s="331"/>
      <c r="T139" s="20">
        <f t="shared" si="125"/>
        <v>1.8375591819870809</v>
      </c>
      <c r="U139" s="347"/>
      <c r="V139" s="15">
        <f t="shared" si="127"/>
        <v>0.94524044321415435</v>
      </c>
      <c r="W139" s="15">
        <f t="shared" si="140"/>
        <v>1.8586682582738966E-5</v>
      </c>
      <c r="X139" s="15">
        <f t="shared" si="141"/>
        <v>1.9565140914945545E-5</v>
      </c>
      <c r="Y139" s="13">
        <f t="shared" si="142"/>
        <v>0.81103897957623616</v>
      </c>
      <c r="Z139" s="13">
        <f t="shared" si="143"/>
        <v>46.469110550315307</v>
      </c>
      <c r="AA139" s="13">
        <f t="shared" si="144"/>
        <v>313.53088944968471</v>
      </c>
      <c r="AB139" s="13">
        <v>120</v>
      </c>
      <c r="AC139" s="13">
        <v>13</v>
      </c>
      <c r="AD139" s="13">
        <f t="shared" si="128"/>
        <v>4</v>
      </c>
      <c r="AE139" s="16">
        <f t="shared" si="129"/>
        <v>166.46911055031529</v>
      </c>
      <c r="AF139" s="15">
        <f t="shared" si="170"/>
        <v>3.5890258462564495E-2</v>
      </c>
      <c r="AG139" s="366"/>
      <c r="AH139" s="331"/>
      <c r="AI139" s="339"/>
      <c r="AJ139" s="13">
        <f t="shared" si="171"/>
        <v>2.452263960119399</v>
      </c>
      <c r="AK139" s="13">
        <f t="shared" si="130"/>
        <v>-3.999999999999998E-2</v>
      </c>
      <c r="AL139" s="15">
        <f t="shared" si="193"/>
        <v>18.610006994007279</v>
      </c>
      <c r="AM139" s="15">
        <f t="shared" si="131"/>
        <v>-1.8254659779589593</v>
      </c>
      <c r="AN139" s="15">
        <f t="shared" si="172"/>
        <v>1.8046165213570808</v>
      </c>
      <c r="AO139" s="15">
        <f t="shared" si="132"/>
        <v>0.92829473858608236</v>
      </c>
      <c r="AP139" s="15">
        <f t="shared" si="133"/>
        <v>3.5246839400993525E-2</v>
      </c>
      <c r="AQ139" s="20">
        <f t="shared" si="173"/>
        <v>5.0912732988982017E-2</v>
      </c>
      <c r="AR139" s="13">
        <f t="shared" si="174"/>
        <v>55249946.19630146</v>
      </c>
      <c r="AS139" s="13">
        <f t="shared" si="134"/>
        <v>2.2744934386735561E-3</v>
      </c>
      <c r="AT139" s="15">
        <f t="shared" si="175"/>
        <v>32.837528172266474</v>
      </c>
      <c r="AU139" s="13">
        <f t="shared" si="176"/>
        <v>1216.0231756294825</v>
      </c>
      <c r="AV139" s="339"/>
      <c r="AW139" s="339"/>
      <c r="AX139" s="339"/>
      <c r="AY139" s="339"/>
      <c r="AZ139" s="339"/>
      <c r="BA139" s="331"/>
      <c r="BB139" s="331"/>
      <c r="BC139" s="331"/>
      <c r="BD139" s="339"/>
      <c r="BE139" s="339"/>
      <c r="BF139" s="339"/>
      <c r="BG139" s="339"/>
      <c r="BH139" s="337"/>
      <c r="BI139" s="331"/>
      <c r="BJ139" s="331"/>
      <c r="BK139" s="331"/>
      <c r="BL139" s="23">
        <f t="shared" si="177"/>
        <v>-8.5432268270788308E-36</v>
      </c>
      <c r="BM139" s="24">
        <f t="shared" si="178"/>
        <v>1.460484274154804E-13</v>
      </c>
      <c r="BN139" s="24">
        <f t="shared" si="179"/>
        <v>313.75013059911169</v>
      </c>
      <c r="BO139" s="24">
        <f t="shared" si="180"/>
        <v>2.879879470767813</v>
      </c>
      <c r="BP139" s="24">
        <f t="shared" si="135"/>
        <v>3.3118613913829851</v>
      </c>
      <c r="BQ139" s="23">
        <f t="shared" si="136"/>
        <v>3.0743835045472072</v>
      </c>
      <c r="BR139" s="23">
        <f t="shared" si="181"/>
        <v>0.66352116118857829</v>
      </c>
      <c r="BS139" s="6">
        <f t="shared" si="182"/>
        <v>7.4095488414196922</v>
      </c>
      <c r="BT139" s="23">
        <f t="shared" si="183"/>
        <v>7.5607641238976449</v>
      </c>
      <c r="BU139" s="22">
        <f t="shared" si="184"/>
        <v>9.6438317906857716</v>
      </c>
      <c r="BV139" s="22">
        <f t="shared" si="185"/>
        <v>0.45923008527075104</v>
      </c>
      <c r="BW139" s="23">
        <f t="shared" si="186"/>
        <v>8.7986094864611508E-5</v>
      </c>
      <c r="BX139" s="331"/>
      <c r="BY139" s="361"/>
      <c r="BZ139" s="361"/>
      <c r="CA139" s="361"/>
    </row>
    <row r="140" spans="3:79" ht="15.75" x14ac:dyDescent="0.3">
      <c r="C140" s="13"/>
      <c r="D140" s="379"/>
      <c r="E140" s="379"/>
      <c r="F140" s="19" t="s">
        <v>128</v>
      </c>
      <c r="G140" s="256"/>
      <c r="H140" s="54">
        <v>0.79097222222222197</v>
      </c>
      <c r="I140" s="13">
        <v>-8.5398800000000001</v>
      </c>
      <c r="J140" s="13">
        <v>115.51560000000001</v>
      </c>
      <c r="K140" s="13">
        <f t="shared" si="121"/>
        <v>-0.14904902372521336</v>
      </c>
      <c r="L140" s="13">
        <f t="shared" si="121"/>
        <v>2.0161275574167616</v>
      </c>
      <c r="M140" s="13">
        <v>3443</v>
      </c>
      <c r="N140" s="71">
        <f t="shared" si="138"/>
        <v>0.11773345525976643</v>
      </c>
      <c r="O140" s="339"/>
      <c r="P140" s="339"/>
      <c r="Q140" s="437"/>
      <c r="R140" s="15">
        <f t="shared" si="139"/>
        <v>4.9999999999991829E-2</v>
      </c>
      <c r="S140" s="331"/>
      <c r="T140" s="20">
        <f t="shared" si="125"/>
        <v>2.3546691051957134</v>
      </c>
      <c r="U140" s="347"/>
      <c r="V140" s="15">
        <f t="shared" si="127"/>
        <v>1.2112417877126749</v>
      </c>
      <c r="W140" s="15">
        <f t="shared" si="140"/>
        <v>2.2222756011920813E-5</v>
      </c>
      <c r="X140" s="15">
        <f t="shared" si="141"/>
        <v>2.6494098045226622E-5</v>
      </c>
      <c r="Y140" s="13">
        <f t="shared" si="142"/>
        <v>0.87285141512284459</v>
      </c>
      <c r="Z140" s="13">
        <f t="shared" si="143"/>
        <v>50.01070222856039</v>
      </c>
      <c r="AA140" s="13">
        <f t="shared" si="144"/>
        <v>309.98929777143962</v>
      </c>
      <c r="AB140" s="13">
        <v>120</v>
      </c>
      <c r="AC140" s="13">
        <v>13</v>
      </c>
      <c r="AD140" s="13">
        <f t="shared" si="128"/>
        <v>4</v>
      </c>
      <c r="AE140" s="16">
        <f t="shared" si="129"/>
        <v>170.01070222856038</v>
      </c>
      <c r="AF140" s="15">
        <f t="shared" si="170"/>
        <v>4.5990182851092395E-2</v>
      </c>
      <c r="AG140" s="366"/>
      <c r="AH140" s="331"/>
      <c r="AI140" s="339"/>
      <c r="AJ140" s="13">
        <f t="shared" si="171"/>
        <v>2.4053011991943061</v>
      </c>
      <c r="AK140" s="13">
        <f t="shared" si="130"/>
        <v>-3.999999999999998E-2</v>
      </c>
      <c r="AL140" s="15">
        <f t="shared" si="193"/>
        <v>18.610006994007279</v>
      </c>
      <c r="AM140" s="15">
        <f t="shared" si="131"/>
        <v>-1.7905068855880042</v>
      </c>
      <c r="AN140" s="15">
        <f t="shared" si="172"/>
        <v>2.3132502010647706</v>
      </c>
      <c r="AO140" s="15">
        <f t="shared" si="132"/>
        <v>1.1899359034277179</v>
      </c>
      <c r="AP140" s="15">
        <f t="shared" si="133"/>
        <v>4.518121017197127E-2</v>
      </c>
      <c r="AQ140" s="20">
        <f t="shared" si="173"/>
        <v>5.0895253442785678E-2</v>
      </c>
      <c r="AR140" s="13">
        <f t="shared" si="174"/>
        <v>70822220.474464372</v>
      </c>
      <c r="AS140" s="13">
        <f t="shared" si="134"/>
        <v>2.1914136324235689E-3</v>
      </c>
      <c r="AT140" s="15">
        <f t="shared" si="175"/>
        <v>51.985890555022586</v>
      </c>
      <c r="AU140" s="13">
        <f t="shared" si="176"/>
        <v>1925.1159036396518</v>
      </c>
      <c r="AV140" s="339"/>
      <c r="AW140" s="339"/>
      <c r="AX140" s="339"/>
      <c r="AY140" s="339"/>
      <c r="AZ140" s="339"/>
      <c r="BA140" s="331"/>
      <c r="BB140" s="331"/>
      <c r="BC140" s="331"/>
      <c r="BD140" s="339"/>
      <c r="BE140" s="339"/>
      <c r="BF140" s="339"/>
      <c r="BG140" s="339"/>
      <c r="BH140" s="337"/>
      <c r="BI140" s="331"/>
      <c r="BJ140" s="331"/>
      <c r="BK140" s="331"/>
      <c r="BL140" s="23">
        <f t="shared" si="177"/>
        <v>-4.1158388310346081E-22</v>
      </c>
      <c r="BM140" s="24">
        <f t="shared" si="178"/>
        <v>2.4082543487312881E-9</v>
      </c>
      <c r="BN140" s="24">
        <f t="shared" si="179"/>
        <v>515.5363285801244</v>
      </c>
      <c r="BO140" s="24">
        <f t="shared" si="180"/>
        <v>4.5780381809817019</v>
      </c>
      <c r="BP140" s="24">
        <f t="shared" si="135"/>
        <v>5.2647439081289571</v>
      </c>
      <c r="BQ140" s="23">
        <f t="shared" si="136"/>
        <v>6.2647077986350048</v>
      </c>
      <c r="BR140" s="23">
        <f t="shared" si="181"/>
        <v>0.85053552450908698</v>
      </c>
      <c r="BS140" s="6">
        <f t="shared" si="182"/>
        <v>15.098525718262795</v>
      </c>
      <c r="BT140" s="23">
        <f t="shared" si="183"/>
        <v>15.406658896186526</v>
      </c>
      <c r="BU140" s="22">
        <f t="shared" si="184"/>
        <v>19.651350632890978</v>
      </c>
      <c r="BV140" s="22">
        <f t="shared" si="185"/>
        <v>0.93577860156623704</v>
      </c>
      <c r="BW140" s="23">
        <f t="shared" si="186"/>
        <v>1.7922875639496272E-4</v>
      </c>
      <c r="BX140" s="331"/>
      <c r="BY140" s="361"/>
      <c r="BZ140" s="361"/>
      <c r="CA140" s="361"/>
    </row>
    <row r="141" spans="3:79" ht="15.75" x14ac:dyDescent="0.3">
      <c r="C141" s="13"/>
      <c r="D141" s="379"/>
      <c r="E141" s="379"/>
      <c r="F141" s="19" t="s">
        <v>128</v>
      </c>
      <c r="G141" s="256"/>
      <c r="H141" s="54">
        <v>0.79305555555555596</v>
      </c>
      <c r="I141" s="13">
        <v>-8.5386620000000004</v>
      </c>
      <c r="J141" s="13">
        <v>115.514314</v>
      </c>
      <c r="K141" s="13">
        <f t="shared" si="121"/>
        <v>-0.14902776561492406</v>
      </c>
      <c r="L141" s="13">
        <f t="shared" si="121"/>
        <v>2.0161051124825811</v>
      </c>
      <c r="M141" s="13">
        <v>3443</v>
      </c>
      <c r="N141" s="71">
        <f t="shared" si="138"/>
        <v>0.10581694356738647</v>
      </c>
      <c r="O141" s="339"/>
      <c r="P141" s="339"/>
      <c r="Q141" s="437"/>
      <c r="R141" s="15">
        <f t="shared" si="139"/>
        <v>5.000000000001581E-2</v>
      </c>
      <c r="S141" s="331"/>
      <c r="T141" s="20">
        <f t="shared" si="125"/>
        <v>2.1163388713470601</v>
      </c>
      <c r="U141" s="347"/>
      <c r="V141" s="15">
        <f t="shared" si="127"/>
        <v>1.0886447154209276</v>
      </c>
      <c r="W141" s="15">
        <f t="shared" si="140"/>
        <v>2.1498990062177536E-5</v>
      </c>
      <c r="X141" s="15">
        <f t="shared" si="141"/>
        <v>2.2444934180576581E-5</v>
      </c>
      <c r="Y141" s="13">
        <f t="shared" si="142"/>
        <v>0.80692100338322714</v>
      </c>
      <c r="Z141" s="13">
        <f t="shared" si="143"/>
        <v>46.233167894320538</v>
      </c>
      <c r="AA141" s="13">
        <f t="shared" si="144"/>
        <v>313.76683210567944</v>
      </c>
      <c r="AB141" s="13">
        <v>120</v>
      </c>
      <c r="AC141" s="13">
        <v>13</v>
      </c>
      <c r="AD141" s="13">
        <f t="shared" si="128"/>
        <v>4</v>
      </c>
      <c r="AE141" s="16">
        <f t="shared" si="129"/>
        <v>166.23316789432056</v>
      </c>
      <c r="AF141" s="15">
        <f t="shared" si="170"/>
        <v>4.1335239611102782E-2</v>
      </c>
      <c r="AG141" s="366"/>
      <c r="AH141" s="331"/>
      <c r="AI141" s="339"/>
      <c r="AJ141" s="13">
        <f t="shared" si="171"/>
        <v>2.4272398298479154</v>
      </c>
      <c r="AK141" s="13">
        <f t="shared" si="130"/>
        <v>-3.999999999999998E-2</v>
      </c>
      <c r="AL141" s="15">
        <f t="shared" si="193"/>
        <v>18.610006994007279</v>
      </c>
      <c r="AM141" s="15">
        <f t="shared" si="131"/>
        <v>-1.8068380083841087</v>
      </c>
      <c r="AN141" s="15">
        <f t="shared" si="172"/>
        <v>2.0787787075488713</v>
      </c>
      <c r="AO141" s="15">
        <f t="shared" si="132"/>
        <v>1.0693237671631393</v>
      </c>
      <c r="AP141" s="15">
        <f t="shared" si="133"/>
        <v>4.0601633858522057E-2</v>
      </c>
      <c r="AQ141" s="20">
        <f t="shared" si="173"/>
        <v>5.0903419004208146E-2</v>
      </c>
      <c r="AR141" s="13">
        <f t="shared" si="174"/>
        <v>63643666.334010184</v>
      </c>
      <c r="AS141" s="13">
        <f t="shared" si="134"/>
        <v>2.2266045555323737E-3</v>
      </c>
      <c r="AT141" s="15">
        <f t="shared" si="175"/>
        <v>42.655547910684696</v>
      </c>
      <c r="AU141" s="13">
        <f t="shared" si="176"/>
        <v>1579.5992486539901</v>
      </c>
      <c r="AV141" s="339"/>
      <c r="AW141" s="339"/>
      <c r="AX141" s="339"/>
      <c r="AY141" s="339"/>
      <c r="AZ141" s="339"/>
      <c r="BA141" s="331"/>
      <c r="BB141" s="331"/>
      <c r="BC141" s="331"/>
      <c r="BD141" s="339"/>
      <c r="BE141" s="339"/>
      <c r="BF141" s="339"/>
      <c r="BG141" s="339"/>
      <c r="BH141" s="337"/>
      <c r="BI141" s="331"/>
      <c r="BJ141" s="331"/>
      <c r="BK141" s="331"/>
      <c r="BL141" s="23">
        <f t="shared" si="177"/>
        <v>-3.5032078533202966E-27</v>
      </c>
      <c r="BM141" s="24">
        <f t="shared" si="178"/>
        <v>4.8015862825760823E-11</v>
      </c>
      <c r="BN141" s="24">
        <f t="shared" si="179"/>
        <v>416.32316525174429</v>
      </c>
      <c r="BO141" s="24">
        <f t="shared" si="180"/>
        <v>3.7496938270248639</v>
      </c>
      <c r="BP141" s="24">
        <f t="shared" si="135"/>
        <v>4.3121479010785935</v>
      </c>
      <c r="BQ141" s="23">
        <f t="shared" si="136"/>
        <v>4.6110822381459853</v>
      </c>
      <c r="BR141" s="23">
        <f t="shared" si="181"/>
        <v>0.7643250771358715</v>
      </c>
      <c r="BS141" s="6">
        <f t="shared" si="182"/>
        <v>11.113135041484506</v>
      </c>
      <c r="BT141" s="23">
        <f t="shared" si="183"/>
        <v>11.339933715800516</v>
      </c>
      <c r="BU141" s="22">
        <f t="shared" si="184"/>
        <v>14.464201168112902</v>
      </c>
      <c r="BV141" s="22">
        <f t="shared" si="185"/>
        <v>0.68877148419585255</v>
      </c>
      <c r="BW141" s="23">
        <f t="shared" si="186"/>
        <v>1.3194089083779214E-4</v>
      </c>
      <c r="BX141" s="331"/>
      <c r="BY141" s="361"/>
      <c r="BZ141" s="361"/>
      <c r="CA141" s="361"/>
    </row>
    <row r="142" spans="3:79" ht="15.75" x14ac:dyDescent="0.3">
      <c r="C142" s="13"/>
      <c r="D142" s="379"/>
      <c r="E142" s="379"/>
      <c r="F142" s="19" t="s">
        <v>128</v>
      </c>
      <c r="G142" s="256"/>
      <c r="H142" s="54">
        <v>0.79513888888888895</v>
      </c>
      <c r="I142" s="13">
        <v>-8.5374920000000003</v>
      </c>
      <c r="J142" s="13">
        <v>115.513068</v>
      </c>
      <c r="K142" s="13">
        <f t="shared" si="121"/>
        <v>-0.14900734526267573</v>
      </c>
      <c r="L142" s="13">
        <f t="shared" si="121"/>
        <v>2.0160833656801014</v>
      </c>
      <c r="M142" s="13">
        <v>3443</v>
      </c>
      <c r="N142" s="71">
        <f t="shared" si="138"/>
        <v>0.10210627710763495</v>
      </c>
      <c r="O142" s="339"/>
      <c r="P142" s="339"/>
      <c r="Q142" s="437"/>
      <c r="R142" s="15">
        <f t="shared" si="139"/>
        <v>4.9999999999991829E-2</v>
      </c>
      <c r="S142" s="331"/>
      <c r="T142" s="20">
        <f t="shared" si="125"/>
        <v>2.0421255421530327</v>
      </c>
      <c r="U142" s="347"/>
      <c r="V142" s="15">
        <f t="shared" si="127"/>
        <v>1.05046937888352</v>
      </c>
      <c r="W142" s="15">
        <f t="shared" si="140"/>
        <v>2.0651674256371547E-5</v>
      </c>
      <c r="X142" s="15">
        <f t="shared" si="141"/>
        <v>2.174680247968297E-5</v>
      </c>
      <c r="Y142" s="13">
        <f t="shared" si="142"/>
        <v>0.81122184536534103</v>
      </c>
      <c r="Z142" s="13">
        <f t="shared" si="143"/>
        <v>46.47958798824834</v>
      </c>
      <c r="AA142" s="13">
        <f t="shared" si="144"/>
        <v>313.52041201175166</v>
      </c>
      <c r="AB142" s="13">
        <v>120</v>
      </c>
      <c r="AC142" s="13">
        <v>13</v>
      </c>
      <c r="AD142" s="13">
        <f t="shared" si="128"/>
        <v>4</v>
      </c>
      <c r="AE142" s="16">
        <f t="shared" si="129"/>
        <v>166.47958798824834</v>
      </c>
      <c r="AF142" s="15">
        <f t="shared" si="170"/>
        <v>3.9885743131070635E-2</v>
      </c>
      <c r="AG142" s="366"/>
      <c r="AH142" s="331"/>
      <c r="AI142" s="339"/>
      <c r="AJ142" s="13">
        <f t="shared" si="171"/>
        <v>2.433968629355673</v>
      </c>
      <c r="AK142" s="13">
        <f t="shared" si="130"/>
        <v>-3.999999999999998E-2</v>
      </c>
      <c r="AL142" s="15">
        <f t="shared" si="193"/>
        <v>18.610006994007279</v>
      </c>
      <c r="AM142" s="15">
        <f t="shared" si="131"/>
        <v>-1.8118469286201346</v>
      </c>
      <c r="AN142" s="15">
        <f t="shared" si="172"/>
        <v>2.0057838098004042</v>
      </c>
      <c r="AO142" s="15">
        <f t="shared" si="132"/>
        <v>1.0317751917613278</v>
      </c>
      <c r="AP142" s="15">
        <f t="shared" si="133"/>
        <v>3.9175935153238466E-2</v>
      </c>
      <c r="AQ142" s="20">
        <f t="shared" si="173"/>
        <v>5.0905923464301749E-2</v>
      </c>
      <c r="AR142" s="13">
        <f t="shared" si="174"/>
        <v>61408862.360158436</v>
      </c>
      <c r="AS142" s="13">
        <f t="shared" si="134"/>
        <v>2.2385641577920214E-3</v>
      </c>
      <c r="AT142" s="15">
        <f t="shared" si="175"/>
        <v>39.925806790742875</v>
      </c>
      <c r="AU142" s="13">
        <f t="shared" si="176"/>
        <v>1478.5128194957344</v>
      </c>
      <c r="AV142" s="339"/>
      <c r="AW142" s="339"/>
      <c r="AX142" s="339"/>
      <c r="AY142" s="339"/>
      <c r="AZ142" s="339"/>
      <c r="BA142" s="331"/>
      <c r="BB142" s="331"/>
      <c r="BC142" s="331"/>
      <c r="BD142" s="339"/>
      <c r="BE142" s="339"/>
      <c r="BF142" s="339"/>
      <c r="BG142" s="339"/>
      <c r="BH142" s="337"/>
      <c r="BI142" s="331"/>
      <c r="BJ142" s="331"/>
      <c r="BK142" s="331"/>
      <c r="BL142" s="23">
        <f t="shared" si="177"/>
        <v>-3.9090708806418148E-29</v>
      </c>
      <c r="BM142" s="24">
        <f t="shared" si="178"/>
        <v>1.1890346041398255E-11</v>
      </c>
      <c r="BN142" s="24">
        <f t="shared" si="179"/>
        <v>387.59868961701528</v>
      </c>
      <c r="BO142" s="24">
        <f t="shared" si="180"/>
        <v>3.5076503481386978</v>
      </c>
      <c r="BP142" s="24">
        <f t="shared" si="135"/>
        <v>4.0337979003595024</v>
      </c>
      <c r="BQ142" s="23">
        <f t="shared" si="136"/>
        <v>4.1619726021698673</v>
      </c>
      <c r="BR142" s="23">
        <f t="shared" si="181"/>
        <v>0.73748632289545146</v>
      </c>
      <c r="BS142" s="6">
        <f t="shared" si="182"/>
        <v>10.03073924473521</v>
      </c>
      <c r="BT142" s="23">
        <f t="shared" si="183"/>
        <v>10.23544820891348</v>
      </c>
      <c r="BU142" s="22">
        <f t="shared" si="184"/>
        <v>13.055418633818213</v>
      </c>
      <c r="BV142" s="22">
        <f t="shared" si="185"/>
        <v>0.62168660161039113</v>
      </c>
      <c r="BW142" s="23">
        <f t="shared" si="186"/>
        <v>1.1909598700474834E-4</v>
      </c>
      <c r="BX142" s="331"/>
      <c r="BY142" s="361"/>
      <c r="BZ142" s="361"/>
      <c r="CA142" s="361"/>
    </row>
    <row r="143" spans="3:79" ht="15.75" x14ac:dyDescent="0.3">
      <c r="C143" s="13"/>
      <c r="D143" s="379"/>
      <c r="E143" s="379"/>
      <c r="F143" s="19" t="s">
        <v>128</v>
      </c>
      <c r="G143" s="256"/>
      <c r="H143" s="54">
        <v>0.79722222222222205</v>
      </c>
      <c r="I143" s="13">
        <v>-8.5364380000000004</v>
      </c>
      <c r="J143" s="13">
        <v>115.511938</v>
      </c>
      <c r="K143" s="13">
        <f t="shared" si="121"/>
        <v>-0.14898894949235972</v>
      </c>
      <c r="L143" s="13">
        <f t="shared" si="121"/>
        <v>2.0160636434595536</v>
      </c>
      <c r="M143" s="13">
        <v>3443</v>
      </c>
      <c r="N143" s="71">
        <f t="shared" si="138"/>
        <v>9.2308290331816353E-2</v>
      </c>
      <c r="O143" s="339"/>
      <c r="P143" s="339"/>
      <c r="Q143" s="437"/>
      <c r="R143" s="15">
        <f t="shared" si="139"/>
        <v>4.9999999999994493E-2</v>
      </c>
      <c r="S143" s="331"/>
      <c r="T143" s="20">
        <f t="shared" si="125"/>
        <v>1.8461658066365303</v>
      </c>
      <c r="U143" s="347"/>
      <c r="V143" s="15">
        <f t="shared" si="127"/>
        <v>0.94966769093383108</v>
      </c>
      <c r="W143" s="15">
        <f t="shared" si="140"/>
        <v>1.8604103335815609E-5</v>
      </c>
      <c r="X143" s="15">
        <f t="shared" si="141"/>
        <v>1.9722220547802038E-5</v>
      </c>
      <c r="Y143" s="13">
        <f t="shared" si="142"/>
        <v>0.81456350071500649</v>
      </c>
      <c r="Z143" s="13">
        <f t="shared" si="143"/>
        <v>46.671050736371484</v>
      </c>
      <c r="AA143" s="13">
        <f t="shared" si="144"/>
        <v>313.32894926362849</v>
      </c>
      <c r="AB143" s="13">
        <v>120</v>
      </c>
      <c r="AC143" s="13">
        <v>13</v>
      </c>
      <c r="AD143" s="13">
        <f t="shared" si="128"/>
        <v>4</v>
      </c>
      <c r="AE143" s="16">
        <f t="shared" si="129"/>
        <v>166.67105073637151</v>
      </c>
      <c r="AF143" s="15">
        <f t="shared" si="170"/>
        <v>3.6058358617480316E-2</v>
      </c>
      <c r="AG143" s="366"/>
      <c r="AH143" s="331"/>
      <c r="AI143" s="339"/>
      <c r="AJ143" s="13">
        <f t="shared" si="171"/>
        <v>2.4515016924915556</v>
      </c>
      <c r="AK143" s="13">
        <f t="shared" si="130"/>
        <v>-3.999999999999998E-2</v>
      </c>
      <c r="AL143" s="15">
        <f t="shared" si="193"/>
        <v>18.610006994007279</v>
      </c>
      <c r="AM143" s="15">
        <f t="shared" si="131"/>
        <v>-1.8248985457235403</v>
      </c>
      <c r="AN143" s="15">
        <f t="shared" si="172"/>
        <v>1.8130789551511572</v>
      </c>
      <c r="AO143" s="15">
        <f t="shared" si="132"/>
        <v>0.9326478145297552</v>
      </c>
      <c r="AP143" s="15">
        <f t="shared" si="133"/>
        <v>3.5412123294469709E-2</v>
      </c>
      <c r="AQ143" s="20">
        <f t="shared" si="173"/>
        <v>5.0912449272856167E-2</v>
      </c>
      <c r="AR143" s="13">
        <f t="shared" si="174"/>
        <v>55509031.163262136</v>
      </c>
      <c r="AS143" s="13">
        <f t="shared" si="134"/>
        <v>2.2728847414099783E-3</v>
      </c>
      <c r="AT143" s="15">
        <f t="shared" si="175"/>
        <v>33.122778395269449</v>
      </c>
      <c r="AU143" s="13">
        <f t="shared" si="176"/>
        <v>1226.5864214440096</v>
      </c>
      <c r="AV143" s="339"/>
      <c r="AW143" s="339"/>
      <c r="AX143" s="339"/>
      <c r="AY143" s="339"/>
      <c r="AZ143" s="339"/>
      <c r="BA143" s="331"/>
      <c r="BB143" s="331"/>
      <c r="BC143" s="331"/>
      <c r="BD143" s="339"/>
      <c r="BE143" s="339"/>
      <c r="BF143" s="339"/>
      <c r="BG143" s="339"/>
      <c r="BH143" s="337"/>
      <c r="BI143" s="331"/>
      <c r="BJ143" s="331"/>
      <c r="BK143" s="331"/>
      <c r="BL143" s="23">
        <f t="shared" si="177"/>
        <v>-1.8079524807874539E-35</v>
      </c>
      <c r="BM143" s="24">
        <f t="shared" si="178"/>
        <v>1.7905081373474747E-13</v>
      </c>
      <c r="BN143" s="24">
        <f t="shared" si="179"/>
        <v>316.69958270283269</v>
      </c>
      <c r="BO143" s="24">
        <f t="shared" si="180"/>
        <v>2.9051201551073347</v>
      </c>
      <c r="BP143" s="24">
        <f t="shared" si="135"/>
        <v>3.3408881783734348</v>
      </c>
      <c r="BQ143" s="23">
        <f t="shared" si="136"/>
        <v>3.1158720581482791</v>
      </c>
      <c r="BR143" s="23">
        <f t="shared" si="181"/>
        <v>0.66663262771405618</v>
      </c>
      <c r="BS143" s="6">
        <f t="shared" si="182"/>
        <v>7.5095400961907126</v>
      </c>
      <c r="BT143" s="23">
        <f t="shared" si="183"/>
        <v>7.6627960165211357</v>
      </c>
      <c r="BU143" s="22">
        <f t="shared" si="184"/>
        <v>9.7739745108687952</v>
      </c>
      <c r="BV143" s="22">
        <f t="shared" si="185"/>
        <v>0.46542735766041887</v>
      </c>
      <c r="BW143" s="23">
        <f t="shared" si="186"/>
        <v>8.9172963081000358E-5</v>
      </c>
      <c r="BX143" s="331"/>
      <c r="BY143" s="362"/>
      <c r="BZ143" s="362"/>
      <c r="CA143" s="362"/>
    </row>
    <row r="144" spans="3:79" ht="15.75" x14ac:dyDescent="0.3">
      <c r="C144" s="13">
        <v>17</v>
      </c>
      <c r="D144" s="379"/>
      <c r="E144" s="379"/>
      <c r="F144" s="19" t="s">
        <v>128</v>
      </c>
      <c r="G144" s="255">
        <v>0.79861111111111005</v>
      </c>
      <c r="H144" s="54">
        <v>0.79861111111111116</v>
      </c>
      <c r="I144" s="13">
        <v>-8.5341120000000004</v>
      </c>
      <c r="J144" s="13">
        <v>115.509767</v>
      </c>
      <c r="K144" s="13">
        <f t="shared" si="121"/>
        <v>-0.14894835313395832</v>
      </c>
      <c r="L144" s="13">
        <f t="shared" si="121"/>
        <v>2.0160257523614931</v>
      </c>
      <c r="M144" s="13">
        <v>3443</v>
      </c>
      <c r="N144" s="71">
        <f t="shared" si="138"/>
        <v>0.19021362177953138</v>
      </c>
      <c r="O144" s="398"/>
      <c r="P144" s="398"/>
      <c r="Q144" s="437"/>
      <c r="R144" s="15">
        <f t="shared" si="139"/>
        <v>3.3333333333338544E-2</v>
      </c>
      <c r="S144" s="358"/>
      <c r="T144" s="20">
        <f t="shared" si="125"/>
        <v>5.7064086533850498</v>
      </c>
      <c r="U144" s="348"/>
      <c r="V144" s="15">
        <f t="shared" si="127"/>
        <v>2.9353766113012694</v>
      </c>
      <c r="W144" s="15">
        <f t="shared" si="140"/>
        <v>4.1055931444970543E-5</v>
      </c>
      <c r="X144" s="15">
        <f t="shared" si="141"/>
        <v>3.7891098060516271E-5</v>
      </c>
      <c r="Y144" s="13">
        <f t="shared" si="142"/>
        <v>0.74533155562543729</v>
      </c>
      <c r="Z144" s="13">
        <f t="shared" si="143"/>
        <v>42.704352475257707</v>
      </c>
      <c r="AA144" s="13">
        <f t="shared" si="144"/>
        <v>317.29564752474232</v>
      </c>
      <c r="AB144" s="13">
        <v>120</v>
      </c>
      <c r="AC144" s="13">
        <v>13</v>
      </c>
      <c r="AD144" s="13">
        <f t="shared" si="128"/>
        <v>4</v>
      </c>
      <c r="AE144" s="16">
        <f t="shared" si="129"/>
        <v>162.70435247525768</v>
      </c>
      <c r="AF144" s="15">
        <f t="shared" si="170"/>
        <v>0.11145463148649976</v>
      </c>
      <c r="AG144" s="366"/>
      <c r="AH144" s="331"/>
      <c r="AI144" s="339"/>
      <c r="AJ144" s="13">
        <f t="shared" si="171"/>
        <v>2.0435210988943702</v>
      </c>
      <c r="AK144" s="13">
        <f t="shared" si="130"/>
        <v>-3.999999999999998E-2</v>
      </c>
      <c r="AL144" s="15">
        <f t="shared" si="193"/>
        <v>18.610006994007279</v>
      </c>
      <c r="AM144" s="15">
        <f t="shared" si="131"/>
        <v>-1.5211976777130261</v>
      </c>
      <c r="AN144" s="15">
        <f t="shared" si="172"/>
        <v>5.6209035983800062</v>
      </c>
      <c r="AO144" s="15">
        <f t="shared" si="132"/>
        <v>2.8913928110066749</v>
      </c>
      <c r="AP144" s="15">
        <f t="shared" si="133"/>
        <v>0.10978459084015263</v>
      </c>
      <c r="AQ144" s="20">
        <f t="shared" si="173"/>
        <v>3.3840399225909625E-2</v>
      </c>
      <c r="AR144" s="13">
        <f t="shared" si="174"/>
        <v>172088982.73387963</v>
      </c>
      <c r="AS144" s="13">
        <f t="shared" si="134"/>
        <v>1.9287833365372019E-3</v>
      </c>
      <c r="AT144" s="15">
        <f t="shared" si="175"/>
        <v>270.15414245717011</v>
      </c>
      <c r="AU144" s="13">
        <f t="shared" si="176"/>
        <v>10004.215192350555</v>
      </c>
      <c r="AV144" s="339"/>
      <c r="AW144" s="339"/>
      <c r="AX144" s="339"/>
      <c r="AY144" s="339"/>
      <c r="AZ144" s="339"/>
      <c r="BA144" s="331"/>
      <c r="BB144" s="331"/>
      <c r="BC144" s="331"/>
      <c r="BD144" s="339"/>
      <c r="BE144" s="339"/>
      <c r="BF144" s="339"/>
      <c r="BG144" s="339"/>
      <c r="BH144" s="337"/>
      <c r="BI144" s="331"/>
      <c r="BJ144" s="331"/>
      <c r="BK144" s="331"/>
      <c r="BL144" s="23">
        <f t="shared" si="177"/>
        <v>-1.9324190255464284E-4</v>
      </c>
      <c r="BM144" s="24">
        <f t="shared" si="178"/>
        <v>4.449217990234672</v>
      </c>
      <c r="BN144" s="24">
        <f t="shared" si="179"/>
        <v>3043.8716177334836</v>
      </c>
      <c r="BO144" s="24">
        <f t="shared" si="180"/>
        <v>24.159851146124986</v>
      </c>
      <c r="BP144" s="24">
        <f t="shared" si="135"/>
        <v>27.783828818043734</v>
      </c>
      <c r="BQ144" s="23">
        <f t="shared" si="136"/>
        <v>80.333962906731728</v>
      </c>
      <c r="BR144" s="23">
        <f t="shared" si="181"/>
        <v>2.0666930832050068</v>
      </c>
      <c r="BS144" s="6">
        <f t="shared" si="182"/>
        <v>193.61228711441868</v>
      </c>
      <c r="BT144" s="23">
        <f t="shared" si="183"/>
        <v>197.56355828001907</v>
      </c>
      <c r="BU144" s="22">
        <f t="shared" si="184"/>
        <v>251.99433454084064</v>
      </c>
      <c r="BV144" s="22">
        <f t="shared" si="185"/>
        <v>11.999730216230507</v>
      </c>
      <c r="BW144" s="23">
        <f t="shared" si="186"/>
        <v>1.5281439279284819E-3</v>
      </c>
      <c r="BX144" s="331"/>
      <c r="BY144" s="360" t="e">
        <f t="shared" ref="BY144" si="200">SUM(BW145:BW150)*1000</f>
        <v>#DIV/0!</v>
      </c>
      <c r="BZ144" s="360">
        <v>0</v>
      </c>
      <c r="CA144" s="360" t="e">
        <f t="shared" ref="CA144" si="201">AVERAGE(AN144:AN150)</f>
        <v>#DIV/0!</v>
      </c>
    </row>
    <row r="145" spans="3:80" ht="15.75" x14ac:dyDescent="0.3">
      <c r="C145" s="13"/>
      <c r="D145" s="379"/>
      <c r="E145" s="379"/>
      <c r="F145" s="19" t="s">
        <v>128</v>
      </c>
      <c r="G145" s="256"/>
      <c r="H145" s="54">
        <v>0.80069444444444438</v>
      </c>
      <c r="I145" s="13">
        <v>-8.5352069999999998</v>
      </c>
      <c r="J145" s="13">
        <v>115.510639</v>
      </c>
      <c r="K145" s="13">
        <f t="shared" si="121"/>
        <v>-0.14896746448926765</v>
      </c>
      <c r="L145" s="13">
        <f t="shared" si="121"/>
        <v>2.0160409716325702</v>
      </c>
      <c r="M145" s="13">
        <v>3443</v>
      </c>
      <c r="N145" s="71">
        <f t="shared" si="138"/>
        <v>8.3755430610047199E-2</v>
      </c>
      <c r="O145" s="357">
        <f>SUM(N145:N150)</f>
        <v>0.17298274872686653</v>
      </c>
      <c r="P145" s="338">
        <v>0.17</v>
      </c>
      <c r="Q145" s="437">
        <f>ABS((O145-P145)/P145*100%)</f>
        <v>1.7545580746273638E-2</v>
      </c>
      <c r="R145" s="15">
        <f t="shared" si="139"/>
        <v>4.9999999999997158E-2</v>
      </c>
      <c r="S145" s="357">
        <f>SUM(R145:R150)</f>
        <v>0.29999999999997229</v>
      </c>
      <c r="T145" s="20">
        <f t="shared" si="125"/>
        <v>1.6751086122010392</v>
      </c>
      <c r="U145" s="346">
        <f>AVERAGE(T145:T150)</f>
        <v>0.57660916242285787</v>
      </c>
      <c r="V145" s="15">
        <f t="shared" si="127"/>
        <v>0.86167587011621449</v>
      </c>
      <c r="W145" s="15">
        <f t="shared" si="140"/>
        <v>-1.9327675003614133E-5</v>
      </c>
      <c r="X145" s="15">
        <f t="shared" si="141"/>
        <v>1.521927107717147E-5</v>
      </c>
      <c r="Y145" s="13">
        <f t="shared" si="142"/>
        <v>2.474560926555136</v>
      </c>
      <c r="Z145" s="13">
        <f t="shared" si="143"/>
        <v>141.78189723959179</v>
      </c>
      <c r="AA145" s="13">
        <f t="shared" si="144"/>
        <v>218.21810276040821</v>
      </c>
      <c r="AB145" s="13">
        <v>120</v>
      </c>
      <c r="AC145" s="13">
        <v>13</v>
      </c>
      <c r="AD145" s="13">
        <f t="shared" si="128"/>
        <v>4</v>
      </c>
      <c r="AE145" s="16">
        <f t="shared" si="129"/>
        <v>98.218102760408215</v>
      </c>
      <c r="AF145" s="15">
        <f t="shared" si="170"/>
        <v>3.2717357696066679E-2</v>
      </c>
      <c r="AG145" s="366"/>
      <c r="AH145" s="331"/>
      <c r="AI145" s="339"/>
      <c r="AJ145" s="13">
        <f t="shared" si="171"/>
        <v>2.46652884078705</v>
      </c>
      <c r="AK145" s="13">
        <f t="shared" si="130"/>
        <v>0.33</v>
      </c>
      <c r="AL145" s="15">
        <f t="shared" si="193"/>
        <v>18.610006994007279</v>
      </c>
      <c r="AM145" s="15">
        <f t="shared" si="131"/>
        <v>15.147699262729331</v>
      </c>
      <c r="AN145" s="15">
        <f t="shared" si="172"/>
        <v>1.9741463668589267</v>
      </c>
      <c r="AO145" s="15">
        <f t="shared" si="132"/>
        <v>1.0155008911122319</v>
      </c>
      <c r="AP145" s="15">
        <f t="shared" si="133"/>
        <v>3.8558008930564984E-2</v>
      </c>
      <c r="AQ145" s="20">
        <f t="shared" si="173"/>
        <v>4.2426150368632926E-2</v>
      </c>
      <c r="AR145" s="13">
        <f t="shared" si="174"/>
        <v>60440253.794505551</v>
      </c>
      <c r="AS145" s="13">
        <f t="shared" si="134"/>
        <v>2.2439144894601621E-3</v>
      </c>
      <c r="AT145" s="15">
        <f t="shared" si="175"/>
        <v>38.768670927973524</v>
      </c>
      <c r="AU145" s="13">
        <f t="shared" si="176"/>
        <v>1435.6623339446339</v>
      </c>
      <c r="AV145" s="339"/>
      <c r="AW145" s="339"/>
      <c r="AX145" s="339"/>
      <c r="AY145" s="339"/>
      <c r="AZ145" s="339"/>
      <c r="BA145" s="331"/>
      <c r="BB145" s="331"/>
      <c r="BC145" s="331"/>
      <c r="BD145" s="339"/>
      <c r="BE145" s="339"/>
      <c r="BF145" s="339"/>
      <c r="BG145" s="339"/>
      <c r="BH145" s="337"/>
      <c r="BI145" s="331"/>
      <c r="BJ145" s="331"/>
      <c r="BK145" s="331"/>
      <c r="BL145" s="23">
        <f t="shared" si="177"/>
        <v>-4.7624038755727747E-30</v>
      </c>
      <c r="BM145" s="24">
        <f t="shared" si="178"/>
        <v>6.298621458429561E-12</v>
      </c>
      <c r="BN145" s="24">
        <f t="shared" si="179"/>
        <v>375.46784932623387</v>
      </c>
      <c r="BO145" s="24">
        <f t="shared" si="180"/>
        <v>3.4050936916160515</v>
      </c>
      <c r="BP145" s="24">
        <f t="shared" si="135"/>
        <v>3.9158577453584593</v>
      </c>
      <c r="BQ145" s="23">
        <f t="shared" si="136"/>
        <v>3.9765570298802504</v>
      </c>
      <c r="BR145" s="23">
        <f t="shared" si="181"/>
        <v>0.72585387210652685</v>
      </c>
      <c r="BS145" s="6">
        <f t="shared" si="182"/>
        <v>9.5838705516109801</v>
      </c>
      <c r="BT145" s="23">
        <f t="shared" si="183"/>
        <v>9.779459746541816</v>
      </c>
      <c r="BU145" s="22">
        <f t="shared" si="184"/>
        <v>12.473800697119662</v>
      </c>
      <c r="BV145" s="22">
        <f t="shared" si="185"/>
        <v>0.59399050938665066</v>
      </c>
      <c r="BW145" s="23">
        <f t="shared" si="186"/>
        <v>9.483538965274877E-5</v>
      </c>
      <c r="BX145" s="331"/>
      <c r="BY145" s="361"/>
      <c r="BZ145" s="361"/>
      <c r="CA145" s="361"/>
    </row>
    <row r="146" spans="3:80" ht="15.75" x14ac:dyDescent="0.3">
      <c r="C146" s="13"/>
      <c r="D146" s="379"/>
      <c r="E146" s="379"/>
      <c r="F146" s="19" t="s">
        <v>128</v>
      </c>
      <c r="G146" s="256"/>
      <c r="H146" s="54">
        <v>0.80277777777777803</v>
      </c>
      <c r="I146" s="13">
        <v>-8.5340319999999998</v>
      </c>
      <c r="J146" s="13">
        <v>115.509721</v>
      </c>
      <c r="K146" s="13">
        <f t="shared" si="121"/>
        <v>-0.14894695687055673</v>
      </c>
      <c r="L146" s="13">
        <f t="shared" si="121"/>
        <v>2.0160249495100371</v>
      </c>
      <c r="M146" s="13">
        <v>3443</v>
      </c>
      <c r="N146" s="71">
        <f t="shared" si="138"/>
        <v>8.9227318116819332E-2</v>
      </c>
      <c r="O146" s="339"/>
      <c r="P146" s="339"/>
      <c r="Q146" s="437"/>
      <c r="R146" s="15">
        <f t="shared" si="139"/>
        <v>5.0000000000007816E-2</v>
      </c>
      <c r="S146" s="331"/>
      <c r="T146" s="20">
        <f t="shared" si="125"/>
        <v>1.7845463623361077</v>
      </c>
      <c r="U146" s="347"/>
      <c r="V146" s="15">
        <f t="shared" si="127"/>
        <v>0.91797064878569379</v>
      </c>
      <c r="W146" s="15">
        <f t="shared" si="140"/>
        <v>2.0739740399126329E-5</v>
      </c>
      <c r="X146" s="15">
        <f t="shared" si="141"/>
        <v>1.6022122533154715E-5</v>
      </c>
      <c r="Y146" s="13">
        <f t="shared" si="142"/>
        <v>0.65776661106989265</v>
      </c>
      <c r="Z146" s="13">
        <f t="shared" si="143"/>
        <v>37.687250718927942</v>
      </c>
      <c r="AA146" s="13">
        <f t="shared" si="144"/>
        <v>322.31274928107206</v>
      </c>
      <c r="AB146" s="13">
        <v>120</v>
      </c>
      <c r="AC146" s="13">
        <v>13</v>
      </c>
      <c r="AD146" s="13">
        <f t="shared" si="128"/>
        <v>4</v>
      </c>
      <c r="AE146" s="16">
        <f t="shared" si="129"/>
        <v>157.68725071892794</v>
      </c>
      <c r="AF146" s="15">
        <f t="shared" si="170"/>
        <v>3.4854839403546604E-2</v>
      </c>
      <c r="AG146" s="366"/>
      <c r="AH146" s="331"/>
      <c r="AI146" s="339"/>
      <c r="AJ146" s="13">
        <f t="shared" si="171"/>
        <v>2.4569447201806525</v>
      </c>
      <c r="AK146" s="13">
        <f t="shared" si="130"/>
        <v>-3.999999999999998E-2</v>
      </c>
      <c r="AL146" s="15">
        <f t="shared" si="193"/>
        <v>18.610006994007279</v>
      </c>
      <c r="AM146" s="15">
        <f t="shared" si="131"/>
        <v>-1.8289503370580471</v>
      </c>
      <c r="AN146" s="15">
        <f t="shared" si="172"/>
        <v>1.7524941153072728</v>
      </c>
      <c r="AO146" s="15">
        <f t="shared" si="132"/>
        <v>0.9014829729140611</v>
      </c>
      <c r="AP146" s="15">
        <f t="shared" si="133"/>
        <v>3.4228811441319625E-2</v>
      </c>
      <c r="AQ146" s="20">
        <f t="shared" si="173"/>
        <v>5.0914475168536984E-2</v>
      </c>
      <c r="AR146" s="13">
        <f t="shared" si="174"/>
        <v>53654172.193463407</v>
      </c>
      <c r="AS146" s="13">
        <f t="shared" si="134"/>
        <v>2.2846102748207532E-3</v>
      </c>
      <c r="AT146" s="15">
        <f t="shared" si="175"/>
        <v>31.105785602389179</v>
      </c>
      <c r="AU146" s="13">
        <f t="shared" si="176"/>
        <v>1151.8941374099288</v>
      </c>
      <c r="AV146" s="339"/>
      <c r="AW146" s="339"/>
      <c r="AX146" s="339"/>
      <c r="AY146" s="339"/>
      <c r="AZ146" s="339"/>
      <c r="BA146" s="331"/>
      <c r="BB146" s="331"/>
      <c r="BC146" s="331"/>
      <c r="BD146" s="339"/>
      <c r="BE146" s="339"/>
      <c r="BF146" s="339"/>
      <c r="BG146" s="339"/>
      <c r="BH146" s="337"/>
      <c r="BI146" s="331"/>
      <c r="BJ146" s="331"/>
      <c r="BK146" s="331"/>
      <c r="BL146" s="23">
        <f t="shared" si="177"/>
        <v>-6.6264496534879483E-38</v>
      </c>
      <c r="BM146" s="24">
        <f t="shared" si="178"/>
        <v>3.996220787675026E-14</v>
      </c>
      <c r="BN146" s="24">
        <f t="shared" si="179"/>
        <v>295.88789202607825</v>
      </c>
      <c r="BO146" s="24">
        <f t="shared" si="180"/>
        <v>2.7266880626279173</v>
      </c>
      <c r="BP146" s="24">
        <f t="shared" si="135"/>
        <v>3.1356912720221048</v>
      </c>
      <c r="BQ146" s="23">
        <f t="shared" si="136"/>
        <v>2.8267722900431611</v>
      </c>
      <c r="BR146" s="23">
        <f t="shared" si="181"/>
        <v>0.64435680190403422</v>
      </c>
      <c r="BS146" s="6">
        <f t="shared" si="182"/>
        <v>6.8127828931125407</v>
      </c>
      <c r="BT146" s="23">
        <f t="shared" si="183"/>
        <v>6.9518192786862665</v>
      </c>
      <c r="BU146" s="22">
        <f t="shared" si="184"/>
        <v>8.8671164268957483</v>
      </c>
      <c r="BV146" s="22">
        <f t="shared" si="185"/>
        <v>0.42224363937598802</v>
      </c>
      <c r="BW146" s="23">
        <f t="shared" si="186"/>
        <v>8.0902452580760824E-5</v>
      </c>
      <c r="BX146" s="331"/>
      <c r="BY146" s="361"/>
      <c r="BZ146" s="361"/>
      <c r="CA146" s="361"/>
    </row>
    <row r="147" spans="3:80" ht="15.75" x14ac:dyDescent="0.3">
      <c r="C147" s="13"/>
      <c r="D147" s="379"/>
      <c r="E147" s="379"/>
      <c r="F147" s="19" t="s">
        <v>128</v>
      </c>
      <c r="G147" s="256"/>
      <c r="H147" s="54">
        <v>0.80486111111111103</v>
      </c>
      <c r="I147" s="13">
        <v>-8.5340319999999998</v>
      </c>
      <c r="J147" s="13">
        <v>115.509721</v>
      </c>
      <c r="K147" s="13">
        <f t="shared" si="121"/>
        <v>-0.14894695687055673</v>
      </c>
      <c r="L147" s="13">
        <f t="shared" si="121"/>
        <v>2.0160249495100371</v>
      </c>
      <c r="M147" s="13">
        <v>3443</v>
      </c>
      <c r="N147" s="71">
        <f t="shared" si="138"/>
        <v>0</v>
      </c>
      <c r="O147" s="339"/>
      <c r="P147" s="339"/>
      <c r="Q147" s="437"/>
      <c r="R147" s="15">
        <f t="shared" si="139"/>
        <v>4.9999999999991829E-2</v>
      </c>
      <c r="S147" s="331"/>
      <c r="T147" s="20">
        <f t="shared" si="125"/>
        <v>0</v>
      </c>
      <c r="U147" s="347"/>
      <c r="V147" s="15">
        <f t="shared" si="127"/>
        <v>0</v>
      </c>
      <c r="W147" s="15">
        <f t="shared" si="140"/>
        <v>0</v>
      </c>
      <c r="X147" s="15">
        <f t="shared" si="141"/>
        <v>0</v>
      </c>
      <c r="Y147" s="13" t="e">
        <f t="shared" si="142"/>
        <v>#DIV/0!</v>
      </c>
      <c r="Z147" s="13" t="e">
        <f t="shared" si="143"/>
        <v>#DIV/0!</v>
      </c>
      <c r="AA147" s="13" t="e">
        <f t="shared" si="144"/>
        <v>#DIV/0!</v>
      </c>
      <c r="AB147" s="13">
        <v>120</v>
      </c>
      <c r="AC147" s="13">
        <v>13</v>
      </c>
      <c r="AD147" s="13">
        <f t="shared" si="128"/>
        <v>4</v>
      </c>
      <c r="AE147" s="16" t="e">
        <f t="shared" si="129"/>
        <v>#DIV/0!</v>
      </c>
      <c r="AF147" s="15">
        <f t="shared" si="170"/>
        <v>0</v>
      </c>
      <c r="AG147" s="366"/>
      <c r="AH147" s="331"/>
      <c r="AI147" s="339"/>
      <c r="AJ147" s="13">
        <f t="shared" si="171"/>
        <v>2.6</v>
      </c>
      <c r="AK147" s="13" t="e">
        <f t="shared" si="130"/>
        <v>#DIV/0!</v>
      </c>
      <c r="AL147" s="15">
        <f t="shared" si="193"/>
        <v>18.610006994007279</v>
      </c>
      <c r="AM147" s="15" t="e">
        <f t="shared" si="131"/>
        <v>#DIV/0!</v>
      </c>
      <c r="AN147" s="15" t="e">
        <f t="shared" si="172"/>
        <v>#DIV/0!</v>
      </c>
      <c r="AO147" s="15" t="e">
        <f t="shared" si="132"/>
        <v>#DIV/0!</v>
      </c>
      <c r="AP147" s="15" t="e">
        <f t="shared" si="133"/>
        <v>#DIV/0!</v>
      </c>
      <c r="AQ147" s="20" t="e">
        <f t="shared" si="173"/>
        <v>#DIV/0!</v>
      </c>
      <c r="AR147" s="13" t="e">
        <f t="shared" si="174"/>
        <v>#DIV/0!</v>
      </c>
      <c r="AS147" s="13" t="e">
        <f t="shared" si="134"/>
        <v>#DIV/0!</v>
      </c>
      <c r="AT147" s="15" t="e">
        <f t="shared" si="175"/>
        <v>#DIV/0!</v>
      </c>
      <c r="AU147" s="13" t="e">
        <f t="shared" si="176"/>
        <v>#DIV/0!</v>
      </c>
      <c r="AV147" s="339"/>
      <c r="AW147" s="339"/>
      <c r="AX147" s="339"/>
      <c r="AY147" s="339"/>
      <c r="AZ147" s="339"/>
      <c r="BA147" s="331"/>
      <c r="BB147" s="331"/>
      <c r="BC147" s="331"/>
      <c r="BD147" s="339"/>
      <c r="BE147" s="339"/>
      <c r="BF147" s="339"/>
      <c r="BG147" s="339"/>
      <c r="BH147" s="337"/>
      <c r="BI147" s="331"/>
      <c r="BJ147" s="331"/>
      <c r="BK147" s="331"/>
      <c r="BL147" s="23" t="e">
        <f t="shared" si="177"/>
        <v>#DIV/0!</v>
      </c>
      <c r="BM147" s="24" t="e">
        <f t="shared" si="178"/>
        <v>#DIV/0!</v>
      </c>
      <c r="BN147" s="24" t="e">
        <f t="shared" si="179"/>
        <v>#DIV/0!</v>
      </c>
      <c r="BO147" s="24" t="e">
        <f t="shared" si="180"/>
        <v>#DIV/0!</v>
      </c>
      <c r="BP147" s="24" t="e">
        <f t="shared" si="135"/>
        <v>#DIV/0!</v>
      </c>
      <c r="BQ147" s="23" t="e">
        <f t="shared" si="136"/>
        <v>#DIV/0!</v>
      </c>
      <c r="BR147" s="23" t="e">
        <f t="shared" si="181"/>
        <v>#DIV/0!</v>
      </c>
      <c r="BS147" s="6" t="e">
        <f t="shared" si="182"/>
        <v>#DIV/0!</v>
      </c>
      <c r="BT147" s="23" t="e">
        <f t="shared" si="183"/>
        <v>#DIV/0!</v>
      </c>
      <c r="BU147" s="22" t="e">
        <f t="shared" si="184"/>
        <v>#DIV/0!</v>
      </c>
      <c r="BV147" s="22" t="e">
        <f t="shared" si="185"/>
        <v>#DIV/0!</v>
      </c>
      <c r="BW147" s="23" t="e">
        <f t="shared" si="186"/>
        <v>#DIV/0!</v>
      </c>
      <c r="BX147" s="331"/>
      <c r="BY147" s="361"/>
      <c r="BZ147" s="361"/>
      <c r="CA147" s="361"/>
    </row>
    <row r="148" spans="3:80" ht="15.75" x14ac:dyDescent="0.3">
      <c r="C148" s="13"/>
      <c r="D148" s="379"/>
      <c r="E148" s="379"/>
      <c r="F148" s="19" t="s">
        <v>128</v>
      </c>
      <c r="G148" s="256"/>
      <c r="H148" s="54">
        <v>0.80694444444444402</v>
      </c>
      <c r="I148" s="13">
        <v>-8.5340319999999998</v>
      </c>
      <c r="J148" s="13">
        <v>115.509721</v>
      </c>
      <c r="K148" s="13">
        <f t="shared" si="121"/>
        <v>-0.14894695687055673</v>
      </c>
      <c r="L148" s="13">
        <f t="shared" si="121"/>
        <v>2.0160249495100371</v>
      </c>
      <c r="M148" s="13">
        <v>3443</v>
      </c>
      <c r="N148" s="71">
        <f t="shared" si="138"/>
        <v>0</v>
      </c>
      <c r="O148" s="339"/>
      <c r="P148" s="339"/>
      <c r="Q148" s="437"/>
      <c r="R148" s="15">
        <f t="shared" si="139"/>
        <v>4.9999999999991829E-2</v>
      </c>
      <c r="S148" s="331"/>
      <c r="T148" s="20">
        <f t="shared" si="125"/>
        <v>0</v>
      </c>
      <c r="U148" s="347"/>
      <c r="V148" s="15">
        <f t="shared" si="127"/>
        <v>0</v>
      </c>
      <c r="W148" s="15">
        <f t="shared" si="140"/>
        <v>0</v>
      </c>
      <c r="X148" s="15">
        <f t="shared" si="141"/>
        <v>0</v>
      </c>
      <c r="Y148" s="13" t="e">
        <f t="shared" si="142"/>
        <v>#DIV/0!</v>
      </c>
      <c r="Z148" s="13" t="e">
        <f t="shared" si="143"/>
        <v>#DIV/0!</v>
      </c>
      <c r="AA148" s="13" t="e">
        <f t="shared" si="144"/>
        <v>#DIV/0!</v>
      </c>
      <c r="AB148" s="13">
        <v>120</v>
      </c>
      <c r="AC148" s="13">
        <v>13</v>
      </c>
      <c r="AD148" s="13">
        <f t="shared" si="128"/>
        <v>4</v>
      </c>
      <c r="AE148" s="16" t="e">
        <f t="shared" si="129"/>
        <v>#DIV/0!</v>
      </c>
      <c r="AF148" s="15">
        <f t="shared" si="170"/>
        <v>0</v>
      </c>
      <c r="AG148" s="366"/>
      <c r="AH148" s="331"/>
      <c r="AI148" s="339"/>
      <c r="AJ148" s="13">
        <f t="shared" si="171"/>
        <v>2.6</v>
      </c>
      <c r="AK148" s="13" t="e">
        <f t="shared" si="130"/>
        <v>#DIV/0!</v>
      </c>
      <c r="AL148" s="15">
        <f t="shared" si="193"/>
        <v>18.610006994007279</v>
      </c>
      <c r="AM148" s="15" t="e">
        <f t="shared" si="131"/>
        <v>#DIV/0!</v>
      </c>
      <c r="AN148" s="15" t="e">
        <f t="shared" si="172"/>
        <v>#DIV/0!</v>
      </c>
      <c r="AO148" s="15" t="e">
        <f t="shared" si="132"/>
        <v>#DIV/0!</v>
      </c>
      <c r="AP148" s="15" t="e">
        <f t="shared" si="133"/>
        <v>#DIV/0!</v>
      </c>
      <c r="AQ148" s="20" t="e">
        <f t="shared" si="173"/>
        <v>#DIV/0!</v>
      </c>
      <c r="AR148" s="13" t="e">
        <f t="shared" si="174"/>
        <v>#DIV/0!</v>
      </c>
      <c r="AS148" s="13" t="e">
        <f t="shared" si="134"/>
        <v>#DIV/0!</v>
      </c>
      <c r="AT148" s="15" t="e">
        <f t="shared" si="175"/>
        <v>#DIV/0!</v>
      </c>
      <c r="AU148" s="13" t="e">
        <f t="shared" si="176"/>
        <v>#DIV/0!</v>
      </c>
      <c r="AV148" s="339"/>
      <c r="AW148" s="339"/>
      <c r="AX148" s="339"/>
      <c r="AY148" s="339"/>
      <c r="AZ148" s="339"/>
      <c r="BA148" s="331"/>
      <c r="BB148" s="331"/>
      <c r="BC148" s="331"/>
      <c r="BD148" s="339"/>
      <c r="BE148" s="339"/>
      <c r="BF148" s="339"/>
      <c r="BG148" s="339"/>
      <c r="BH148" s="337"/>
      <c r="BI148" s="331"/>
      <c r="BJ148" s="331"/>
      <c r="BK148" s="331"/>
      <c r="BL148" s="23" t="e">
        <f t="shared" si="177"/>
        <v>#DIV/0!</v>
      </c>
      <c r="BM148" s="24" t="e">
        <f t="shared" si="178"/>
        <v>#DIV/0!</v>
      </c>
      <c r="BN148" s="24" t="e">
        <f t="shared" si="179"/>
        <v>#DIV/0!</v>
      </c>
      <c r="BO148" s="24" t="e">
        <f t="shared" si="180"/>
        <v>#DIV/0!</v>
      </c>
      <c r="BP148" s="24" t="e">
        <f t="shared" si="135"/>
        <v>#DIV/0!</v>
      </c>
      <c r="BQ148" s="23" t="e">
        <f t="shared" si="136"/>
        <v>#DIV/0!</v>
      </c>
      <c r="BR148" s="23" t="e">
        <f t="shared" si="181"/>
        <v>#DIV/0!</v>
      </c>
      <c r="BS148" s="6" t="e">
        <f t="shared" si="182"/>
        <v>#DIV/0!</v>
      </c>
      <c r="BT148" s="23" t="e">
        <f t="shared" si="183"/>
        <v>#DIV/0!</v>
      </c>
      <c r="BU148" s="22" t="e">
        <f t="shared" si="184"/>
        <v>#DIV/0!</v>
      </c>
      <c r="BV148" s="22" t="e">
        <f t="shared" si="185"/>
        <v>#DIV/0!</v>
      </c>
      <c r="BW148" s="23" t="e">
        <f t="shared" si="186"/>
        <v>#DIV/0!</v>
      </c>
      <c r="BX148" s="331"/>
      <c r="BY148" s="361"/>
      <c r="BZ148" s="361"/>
      <c r="CA148" s="361"/>
    </row>
    <row r="149" spans="3:80" ht="15.75" x14ac:dyDescent="0.3">
      <c r="C149" s="13"/>
      <c r="D149" s="379"/>
      <c r="E149" s="379"/>
      <c r="F149" s="19" t="s">
        <v>128</v>
      </c>
      <c r="G149" s="256"/>
      <c r="H149" s="54">
        <v>0.80902777777777701</v>
      </c>
      <c r="I149" s="13">
        <v>-8.5340319999999998</v>
      </c>
      <c r="J149" s="13">
        <v>115.509721</v>
      </c>
      <c r="K149" s="13">
        <f t="shared" si="121"/>
        <v>-0.14894695687055673</v>
      </c>
      <c r="L149" s="13">
        <f t="shared" si="121"/>
        <v>2.0160249495100371</v>
      </c>
      <c r="M149" s="13">
        <v>3443</v>
      </c>
      <c r="N149" s="71">
        <f t="shared" si="138"/>
        <v>0</v>
      </c>
      <c r="O149" s="339"/>
      <c r="P149" s="339"/>
      <c r="Q149" s="437"/>
      <c r="R149" s="15">
        <f t="shared" si="139"/>
        <v>4.9999999999991829E-2</v>
      </c>
      <c r="S149" s="331"/>
      <c r="T149" s="20">
        <f t="shared" si="125"/>
        <v>0</v>
      </c>
      <c r="U149" s="347"/>
      <c r="V149" s="15">
        <f t="shared" si="127"/>
        <v>0</v>
      </c>
      <c r="W149" s="15">
        <f t="shared" si="140"/>
        <v>0</v>
      </c>
      <c r="X149" s="15">
        <f t="shared" si="141"/>
        <v>0</v>
      </c>
      <c r="Y149" s="13" t="e">
        <f t="shared" si="142"/>
        <v>#DIV/0!</v>
      </c>
      <c r="Z149" s="13" t="e">
        <f t="shared" si="143"/>
        <v>#DIV/0!</v>
      </c>
      <c r="AA149" s="13" t="e">
        <f t="shared" si="144"/>
        <v>#DIV/0!</v>
      </c>
      <c r="AB149" s="13">
        <v>120</v>
      </c>
      <c r="AC149" s="13">
        <v>13</v>
      </c>
      <c r="AD149" s="13">
        <f t="shared" si="128"/>
        <v>4</v>
      </c>
      <c r="AE149" s="16" t="e">
        <f t="shared" si="129"/>
        <v>#DIV/0!</v>
      </c>
      <c r="AF149" s="15">
        <f t="shared" si="170"/>
        <v>0</v>
      </c>
      <c r="AG149" s="366"/>
      <c r="AH149" s="331"/>
      <c r="AI149" s="339"/>
      <c r="AJ149" s="13">
        <f t="shared" si="171"/>
        <v>2.6</v>
      </c>
      <c r="AK149" s="13" t="e">
        <f t="shared" si="130"/>
        <v>#DIV/0!</v>
      </c>
      <c r="AL149" s="15">
        <f t="shared" si="193"/>
        <v>18.610006994007279</v>
      </c>
      <c r="AM149" s="15" t="e">
        <f t="shared" si="131"/>
        <v>#DIV/0!</v>
      </c>
      <c r="AN149" s="15" t="e">
        <f t="shared" si="172"/>
        <v>#DIV/0!</v>
      </c>
      <c r="AO149" s="15" t="e">
        <f t="shared" si="132"/>
        <v>#DIV/0!</v>
      </c>
      <c r="AP149" s="15" t="e">
        <f t="shared" si="133"/>
        <v>#DIV/0!</v>
      </c>
      <c r="AQ149" s="20" t="e">
        <f t="shared" si="173"/>
        <v>#DIV/0!</v>
      </c>
      <c r="AR149" s="13" t="e">
        <f t="shared" si="174"/>
        <v>#DIV/0!</v>
      </c>
      <c r="AS149" s="13" t="e">
        <f t="shared" si="134"/>
        <v>#DIV/0!</v>
      </c>
      <c r="AT149" s="15" t="e">
        <f t="shared" si="175"/>
        <v>#DIV/0!</v>
      </c>
      <c r="AU149" s="13" t="e">
        <f t="shared" si="176"/>
        <v>#DIV/0!</v>
      </c>
      <c r="AV149" s="339"/>
      <c r="AW149" s="339"/>
      <c r="AX149" s="339"/>
      <c r="AY149" s="339"/>
      <c r="AZ149" s="339"/>
      <c r="BA149" s="331"/>
      <c r="BB149" s="331"/>
      <c r="BC149" s="331"/>
      <c r="BD149" s="339"/>
      <c r="BE149" s="339"/>
      <c r="BF149" s="339"/>
      <c r="BG149" s="339"/>
      <c r="BH149" s="337"/>
      <c r="BI149" s="331"/>
      <c r="BJ149" s="331"/>
      <c r="BK149" s="331"/>
      <c r="BL149" s="23" t="e">
        <f t="shared" si="177"/>
        <v>#DIV/0!</v>
      </c>
      <c r="BM149" s="24" t="e">
        <f t="shared" si="178"/>
        <v>#DIV/0!</v>
      </c>
      <c r="BN149" s="24" t="e">
        <f t="shared" si="179"/>
        <v>#DIV/0!</v>
      </c>
      <c r="BO149" s="24" t="e">
        <f t="shared" si="180"/>
        <v>#DIV/0!</v>
      </c>
      <c r="BP149" s="24" t="e">
        <f t="shared" si="135"/>
        <v>#DIV/0!</v>
      </c>
      <c r="BQ149" s="23" t="e">
        <f t="shared" si="136"/>
        <v>#DIV/0!</v>
      </c>
      <c r="BR149" s="23" t="e">
        <f t="shared" si="181"/>
        <v>#DIV/0!</v>
      </c>
      <c r="BS149" s="6" t="e">
        <f t="shared" si="182"/>
        <v>#DIV/0!</v>
      </c>
      <c r="BT149" s="23" t="e">
        <f t="shared" si="183"/>
        <v>#DIV/0!</v>
      </c>
      <c r="BU149" s="22" t="e">
        <f t="shared" si="184"/>
        <v>#DIV/0!</v>
      </c>
      <c r="BV149" s="22" t="e">
        <f t="shared" si="185"/>
        <v>#DIV/0!</v>
      </c>
      <c r="BW149" s="23" t="e">
        <f t="shared" si="186"/>
        <v>#DIV/0!</v>
      </c>
      <c r="BX149" s="331"/>
      <c r="BY149" s="361"/>
      <c r="BZ149" s="361"/>
      <c r="CA149" s="361"/>
    </row>
    <row r="150" spans="3:80" ht="15.75" x14ac:dyDescent="0.3">
      <c r="C150" s="13"/>
      <c r="D150" s="379"/>
      <c r="E150" s="379"/>
      <c r="F150" s="19" t="s">
        <v>128</v>
      </c>
      <c r="G150" s="257"/>
      <c r="H150" s="54">
        <v>0.81111111111111001</v>
      </c>
      <c r="I150" s="13">
        <v>-8.5340319999999998</v>
      </c>
      <c r="J150" s="13">
        <v>115.509721</v>
      </c>
      <c r="K150" s="13">
        <f t="shared" si="121"/>
        <v>-0.14894695687055673</v>
      </c>
      <c r="L150" s="13">
        <f t="shared" si="121"/>
        <v>2.0160249495100371</v>
      </c>
      <c r="M150" s="13">
        <v>3443</v>
      </c>
      <c r="N150" s="71">
        <f t="shared" si="138"/>
        <v>0</v>
      </c>
      <c r="O150" s="398"/>
      <c r="P150" s="398"/>
      <c r="Q150" s="441"/>
      <c r="R150" s="15">
        <f t="shared" si="139"/>
        <v>4.9999999999991829E-2</v>
      </c>
      <c r="S150" s="358"/>
      <c r="T150" s="20">
        <f t="shared" si="125"/>
        <v>0</v>
      </c>
      <c r="U150" s="348"/>
      <c r="V150" s="15">
        <f t="shared" si="127"/>
        <v>0</v>
      </c>
      <c r="W150" s="15">
        <f t="shared" si="140"/>
        <v>0</v>
      </c>
      <c r="X150" s="15">
        <f t="shared" si="141"/>
        <v>0</v>
      </c>
      <c r="Y150" s="13" t="e">
        <f t="shared" si="142"/>
        <v>#DIV/0!</v>
      </c>
      <c r="Z150" s="13" t="e">
        <f t="shared" si="143"/>
        <v>#DIV/0!</v>
      </c>
      <c r="AA150" s="13" t="e">
        <f t="shared" si="144"/>
        <v>#DIV/0!</v>
      </c>
      <c r="AB150" s="13">
        <v>120</v>
      </c>
      <c r="AC150" s="13">
        <v>13</v>
      </c>
      <c r="AD150" s="13">
        <f t="shared" si="128"/>
        <v>4</v>
      </c>
      <c r="AE150" s="16" t="e">
        <f t="shared" si="129"/>
        <v>#DIV/0!</v>
      </c>
      <c r="AF150" s="15">
        <f t="shared" si="170"/>
        <v>0</v>
      </c>
      <c r="AG150" s="366"/>
      <c r="AH150" s="331"/>
      <c r="AI150" s="339"/>
      <c r="AJ150" s="13"/>
      <c r="AK150" s="13"/>
      <c r="AL150" s="15"/>
      <c r="AM150" s="15"/>
      <c r="AN150" s="15">
        <f t="shared" si="172"/>
        <v>0</v>
      </c>
      <c r="AO150" s="15"/>
      <c r="AP150" s="15"/>
      <c r="AQ150" s="20"/>
      <c r="AR150" s="13"/>
      <c r="AS150" s="13"/>
      <c r="AT150" s="15"/>
      <c r="AU150" s="13"/>
      <c r="AV150" s="339"/>
      <c r="AW150" s="339"/>
      <c r="AX150" s="339"/>
      <c r="AY150" s="339"/>
      <c r="AZ150" s="339"/>
      <c r="BA150" s="331"/>
      <c r="BB150" s="331"/>
      <c r="BC150" s="331"/>
      <c r="BD150" s="339"/>
      <c r="BE150" s="339"/>
      <c r="BF150" s="339"/>
      <c r="BG150" s="339"/>
      <c r="BH150" s="337"/>
      <c r="BI150" s="331"/>
      <c r="BJ150" s="331"/>
      <c r="BK150" s="331"/>
      <c r="BL150" s="23" t="e">
        <f t="shared" si="177"/>
        <v>#DIV/0!</v>
      </c>
      <c r="BM150" s="24" t="e">
        <f t="shared" si="178"/>
        <v>#DIV/0!</v>
      </c>
      <c r="BN150" s="24">
        <f t="shared" si="179"/>
        <v>0</v>
      </c>
      <c r="BO150" s="24" t="e">
        <f t="shared" si="180"/>
        <v>#DIV/0!</v>
      </c>
      <c r="BP150" s="24" t="e">
        <f t="shared" si="135"/>
        <v>#DIV/0!</v>
      </c>
      <c r="BQ150" s="23" t="e">
        <f t="shared" si="136"/>
        <v>#DIV/0!</v>
      </c>
      <c r="BR150" s="23">
        <f t="shared" si="181"/>
        <v>0</v>
      </c>
      <c r="BS150" s="6" t="e">
        <f t="shared" si="182"/>
        <v>#DIV/0!</v>
      </c>
      <c r="BT150" s="23" t="e">
        <f t="shared" si="183"/>
        <v>#DIV/0!</v>
      </c>
      <c r="BU150" s="22" t="e">
        <f t="shared" si="184"/>
        <v>#DIV/0!</v>
      </c>
      <c r="BV150" s="22" t="e">
        <f t="shared" si="185"/>
        <v>#DIV/0!</v>
      </c>
      <c r="BW150" s="23" t="e">
        <f t="shared" si="186"/>
        <v>#DIV/0!</v>
      </c>
      <c r="BX150" s="331"/>
      <c r="BY150" s="362"/>
      <c r="BZ150" s="362"/>
      <c r="CA150" s="362"/>
    </row>
    <row r="151" spans="3:80" ht="15.75" x14ac:dyDescent="0.25">
      <c r="C151" s="13">
        <v>18</v>
      </c>
      <c r="D151" s="379"/>
      <c r="E151" s="379"/>
      <c r="F151" s="19" t="s">
        <v>128</v>
      </c>
      <c r="G151" s="1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5"/>
      <c r="T151" s="13"/>
      <c r="U151" s="13"/>
      <c r="V151" s="13">
        <f t="shared" si="127"/>
        <v>0</v>
      </c>
      <c r="W151" s="13"/>
      <c r="X151" s="13"/>
      <c r="Y151" s="13"/>
      <c r="Z151" s="13"/>
      <c r="AA151" s="13"/>
      <c r="AB151" s="13"/>
      <c r="AC151" s="13"/>
      <c r="AD151" s="13"/>
      <c r="AE151" s="16"/>
      <c r="AF151" s="15"/>
      <c r="AG151" s="366"/>
      <c r="AH151" s="331"/>
      <c r="AI151" s="339"/>
      <c r="AJ151" s="13">
        <f>IF(AND(F151="NORMAL",AND($D$6&gt;=0.55,$D$6&lt;0.6)),1.7-1.4*AF151-7.4*AF151^2,IF(AND(F151="NORMAL",AND($D$6&gt;=0.6,$D$6&lt;0.65)),2.2-2.5*AF151-9.7*AF151^2,IF(AND(F151="NORMAL",AND($D$6&gt;=0.65,$D$6&lt;0.7)),2.6-3.7*AF151-11.6*AF151^2,IF(AND(F151="NORMAL",AND($D$6&gt;=0.7,$D$6&lt;0.75)),3.1-5.3*AF151-12.4*AF151^2,IF(AND(F151="NORMAL OR LOADED",AND($D$6&gt;=0.75,$D$6&lt;0.8)),2.4-10.6*AF151-9.5*AF151^2,IF(AND(F151="NORMAL OR LOADED",AND($D$6&gt;=0.8,$D$6&lt;0.85)),2.6-13.1*AF151-15.1*AF151^2,IF(AND(F151="NORMAL OR LOADED",AND($D$6&gt;=0.85,$D$6&lt;0.9)),3.1-18.7*AF151+28*AF151^2,IF(AND(F151="BALLAST",AND($D$6&gt;=0.75,$D$6&lt;0.8)),2.6-12.5*AF151-13.5*AF151^2,IF(AND(F151="BALLAST",AND($D$6&gt;=0.8,$D$6&lt;0.85)),IF(AND(F151="BALLAST",AND($D$6&gt;=0.85,$D$6&lt;0.9)),3.4-20.9*AF151+31.8*AF151^2))))))))))</f>
        <v>2.6</v>
      </c>
      <c r="AK151" s="13">
        <f t="shared" ref="AK151:AK156" si="202">IF(AND(AE151&gt;=0,AE151&lt;=30),2/2,IF(AND(AE151&gt;=30,AE151&lt;=60),(1.7-0.03*(AD151-4)^2)/2,IF(AND(AE151&gt;=60,AE151&lt;=150),(0.9-0.06*(AD151-6)^2)/2,IF(AND(AE151&gt;=150,AE151&lt;=180),(0.4-0.03*(AD151-8)^2)/2))))</f>
        <v>1</v>
      </c>
      <c r="AL151" s="15">
        <f>IF($T$21="ALL SHIP TYPE LOADED",(0.5*AD151+AD151^6.5)/(2.2*$G$5^(2/3)),IF($T$22="ALL SHIP TYPE BALLAST",(0.7*AD151+AD151^6.5)/(2.7*J24^(2/3)),IF($T$23="CONTAINER NORMAL",(0.7*AD151+AD151^6.5)/(2.2*$G$5^(2/3)))))</f>
        <v>0</v>
      </c>
      <c r="AM151" s="15">
        <f t="shared" ref="AM151:AM156" si="203">AJ151*AK151*AL151</f>
        <v>0</v>
      </c>
      <c r="AN151" s="15">
        <f t="shared" si="172"/>
        <v>0</v>
      </c>
      <c r="AO151" s="15">
        <f t="shared" ref="AO151:AO156" si="204">AN151*0.5144</f>
        <v>0</v>
      </c>
      <c r="AP151" s="15">
        <f t="shared" ref="AP151:AP156" si="205">AO151/((9.81*$D$3)^0.5)</f>
        <v>0</v>
      </c>
      <c r="AQ151" s="20" t="e">
        <f>N151/AN151</f>
        <v>#DIV/0!</v>
      </c>
      <c r="AR151" s="13">
        <f>(AO151*$D$3)/$U$3</f>
        <v>0</v>
      </c>
      <c r="AS151" s="13" t="e">
        <f t="shared" ref="AS151:AS156" si="206">0.075/((LOG(AR151)-2)^2)</f>
        <v>#NUM!</v>
      </c>
      <c r="AT151" s="15" t="e">
        <f>0.5*1024*(AO151^2)*$W$5*$W$6*AS151</f>
        <v>#NUM!</v>
      </c>
      <c r="AU151" s="13" t="e">
        <f>0.5*1024*AS151*$U$10*(AO151)^2</f>
        <v>#NUM!</v>
      </c>
      <c r="AV151" s="339"/>
      <c r="AW151" s="339"/>
      <c r="AX151" s="339"/>
      <c r="AY151" s="339"/>
      <c r="AZ151" s="339"/>
      <c r="BA151" s="331"/>
      <c r="BB151" s="331"/>
      <c r="BC151" s="331"/>
      <c r="BD151" s="339"/>
      <c r="BE151" s="339"/>
      <c r="BF151" s="339"/>
      <c r="BG151" s="339"/>
      <c r="BH151" s="337"/>
      <c r="BI151" s="331"/>
      <c r="BJ151" s="331"/>
      <c r="BK151" s="331"/>
      <c r="BL151" s="23"/>
      <c r="BM151" s="20"/>
      <c r="BN151" s="13"/>
      <c r="BO151" s="15"/>
      <c r="BP151" s="21"/>
      <c r="BQ151" s="15"/>
      <c r="BR151" s="15"/>
      <c r="BS151" s="15"/>
      <c r="BT151" s="15"/>
      <c r="BU151" s="13"/>
      <c r="BV151" s="15"/>
      <c r="BW151" s="15"/>
      <c r="BX151" s="331"/>
      <c r="BZ151">
        <f>SUM(BZ31:BZ150)</f>
        <v>885</v>
      </c>
    </row>
    <row r="152" spans="3:80" ht="15.75" x14ac:dyDescent="0.25">
      <c r="C152" s="13">
        <v>19</v>
      </c>
      <c r="D152" s="379"/>
      <c r="E152" s="379"/>
      <c r="F152" s="19" t="s">
        <v>128</v>
      </c>
      <c r="G152" s="19"/>
      <c r="H152" s="13"/>
      <c r="I152" s="13"/>
      <c r="J152" s="13"/>
      <c r="K152" s="13"/>
      <c r="L152" s="13"/>
      <c r="M152" s="13"/>
      <c r="N152" s="13">
        <f>SUM(N31:N144)</f>
        <v>38.615463058619035</v>
      </c>
      <c r="O152" s="13"/>
      <c r="P152" s="13"/>
      <c r="Q152" s="13"/>
      <c r="R152" s="13"/>
      <c r="S152" s="15">
        <f>SUM(S31:S145)</f>
        <v>5.6333333333333053</v>
      </c>
      <c r="T152" s="13"/>
      <c r="U152" s="13"/>
      <c r="V152" s="13">
        <f t="shared" si="127"/>
        <v>0</v>
      </c>
      <c r="W152" s="13"/>
      <c r="X152" s="13"/>
      <c r="Y152" s="13"/>
      <c r="Z152" s="13"/>
      <c r="AA152" s="13"/>
      <c r="AB152" s="13"/>
      <c r="AC152" s="13"/>
      <c r="AD152" s="13"/>
      <c r="AE152" s="16"/>
      <c r="AF152" s="15"/>
      <c r="AG152" s="366"/>
      <c r="AH152" s="331"/>
      <c r="AI152" s="339"/>
      <c r="AJ152" s="13">
        <f>IF(AND(F152="NORMAL",AND($D$6&gt;=0.55,$D$6&lt;0.6)),1.7-1.4*AF152-7.4*AF152^2,IF(AND(F152="NORMAL",AND($D$6&gt;=0.6,$D$6&lt;0.65)),2.2-2.5*AF152-9.7*AF152^2,IF(AND(F152="NORMAL",AND($D$6&gt;=0.65,$D$6&lt;0.7)),2.6-3.7*AF152-11.6*AF152^2,IF(AND(F152="NORMAL",AND($D$6&gt;=0.7,$D$6&lt;0.75)),3.1-5.3*AF152-12.4*AF152^2,IF(AND(F152="NORMAL OR LOADED",AND($D$6&gt;=0.75,$D$6&lt;0.8)),2.4-10.6*AF152-9.5*AF152^2,IF(AND(F152="NORMAL OR LOADED",AND($D$6&gt;=0.8,$D$6&lt;0.85)),2.6-13.1*AF152-15.1*AF152^2,IF(AND(F152="NORMAL OR LOADED",AND($D$6&gt;=0.85,$D$6&lt;0.9)),3.1-18.7*AF152+28*AF152^2,IF(AND(F152="BALLAST",AND($D$6&gt;=0.75,$D$6&lt;0.8)),2.6-12.5*AF152-13.5*AF152^2,IF(AND(F152="BALLAST",AND($D$6&gt;=0.8,$D$6&lt;0.85)),IF(AND(F152="BALLAST",AND($D$6&gt;=0.85,$D$6&lt;0.9)),3.4-20.9*AF152+31.8*AF152^2))))))))))</f>
        <v>2.6</v>
      </c>
      <c r="AK152" s="13">
        <f t="shared" si="202"/>
        <v>1</v>
      </c>
      <c r="AL152" s="15">
        <f>IF($T$21="ALL SHIP TYPE LOADED",(0.5*AD152+AD152^6.5)/(2.2*$G$5^(2/3)),IF($T$22="ALL SHIP TYPE BALLAST",(0.7*AD152+AD152^6.5)/(2.7*J25^(2/3)),IF($T$23="CONTAINER NORMAL",(0.7*AD152+AD152^6.5)/(2.2*$G$5^(2/3)))))</f>
        <v>0</v>
      </c>
      <c r="AM152" s="15">
        <f t="shared" si="203"/>
        <v>0</v>
      </c>
      <c r="AN152" s="15">
        <f t="shared" si="172"/>
        <v>0</v>
      </c>
      <c r="AO152" s="15">
        <f t="shared" si="204"/>
        <v>0</v>
      </c>
      <c r="AP152" s="15">
        <f t="shared" si="205"/>
        <v>0</v>
      </c>
      <c r="AQ152" s="20" t="e">
        <f>N152/AN152</f>
        <v>#DIV/0!</v>
      </c>
      <c r="AR152" s="13">
        <f>(AO152*$D$3)/$U$3</f>
        <v>0</v>
      </c>
      <c r="AS152" s="13" t="e">
        <f t="shared" si="206"/>
        <v>#NUM!</v>
      </c>
      <c r="AT152" s="15" t="e">
        <f>0.5*1024*(AO152^2)*$W$5*$W$6*AS152</f>
        <v>#NUM!</v>
      </c>
      <c r="AU152" s="13" t="e">
        <f>0.5*1024*AS152*$U$10*(AO152)^2</f>
        <v>#NUM!</v>
      </c>
      <c r="AV152" s="339"/>
      <c r="AW152" s="339"/>
      <c r="AX152" s="339"/>
      <c r="AY152" s="339"/>
      <c r="AZ152" s="339"/>
      <c r="BA152" s="331"/>
      <c r="BB152" s="331"/>
      <c r="BC152" s="331"/>
      <c r="BD152" s="339"/>
      <c r="BE152" s="339"/>
      <c r="BF152" s="339"/>
      <c r="BG152" s="339"/>
      <c r="BH152" s="337"/>
      <c r="BI152" s="331"/>
      <c r="BJ152" s="331"/>
      <c r="BK152" s="331"/>
      <c r="BL152" s="23"/>
      <c r="BM152" s="20"/>
      <c r="BN152" s="13"/>
      <c r="BO152" s="15"/>
      <c r="BP152" s="21"/>
      <c r="BQ152" s="15"/>
      <c r="BR152" s="15"/>
      <c r="BS152" s="15"/>
      <c r="BT152" s="15"/>
      <c r="BU152" s="13"/>
      <c r="BV152" s="15"/>
      <c r="BW152" s="15"/>
      <c r="BX152" s="331"/>
    </row>
    <row r="153" spans="3:80" ht="15.75" x14ac:dyDescent="0.25">
      <c r="C153" s="13">
        <v>20</v>
      </c>
      <c r="D153" s="379"/>
      <c r="E153" s="379"/>
      <c r="F153" s="19" t="s">
        <v>128</v>
      </c>
      <c r="G153" s="1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>
        <f t="shared" si="127"/>
        <v>0</v>
      </c>
      <c r="W153" s="13"/>
      <c r="X153" s="13"/>
      <c r="Y153" s="13"/>
      <c r="Z153" s="13"/>
      <c r="AA153" s="13"/>
      <c r="AB153" s="13"/>
      <c r="AC153" s="13"/>
      <c r="AD153" s="13"/>
      <c r="AE153" s="16"/>
      <c r="AF153" s="15"/>
      <c r="AG153" s="366"/>
      <c r="AH153" s="331"/>
      <c r="AI153" s="339"/>
      <c r="AJ153" s="13">
        <f>IF(AND(F153="NORMAL",AND($D$6&gt;=0.55,$D$6&lt;0.6)),1.7-1.4*AF153-7.4*AF153^2,IF(AND(F153="NORMAL",AND($D$6&gt;=0.6,$D$6&lt;0.65)),2.2-2.5*AF153-9.7*AF153^2,IF(AND(F153="NORMAL",AND($D$6&gt;=0.65,$D$6&lt;0.7)),2.6-3.7*AF153-11.6*AF153^2,IF(AND(F153="NORMAL",AND($D$6&gt;=0.7,$D$6&lt;0.75)),3.1-5.3*AF153-12.4*AF153^2,IF(AND(F153="NORMAL OR LOADED",AND($D$6&gt;=0.75,$D$6&lt;0.8)),2.4-10.6*AF153-9.5*AF153^2,IF(AND(F153="NORMAL OR LOADED",AND($D$6&gt;=0.8,$D$6&lt;0.85)),2.6-13.1*AF153-15.1*AF153^2,IF(AND(F153="NORMAL OR LOADED",AND($D$6&gt;=0.85,$D$6&lt;0.9)),3.1-18.7*AF153+28*AF153^2,IF(AND(F153="BALLAST",AND($D$6&gt;=0.75,$D$6&lt;0.8)),2.6-12.5*AF153-13.5*AF153^2,IF(AND(F153="BALLAST",AND($D$6&gt;=0.8,$D$6&lt;0.85)),IF(AND(F153="BALLAST",AND($D$6&gt;=0.85,$D$6&lt;0.9)),3.4-20.9*AF153+31.8*AF153^2))))))))))</f>
        <v>2.6</v>
      </c>
      <c r="AK153" s="13">
        <f t="shared" si="202"/>
        <v>1</v>
      </c>
      <c r="AL153" s="15">
        <f>IF($T$21="ALL SHIP TYPE LOADED",(0.5*AD153+AD153^6.5)/(2.2*$G$5^(2/3)),IF($T$22="ALL SHIP TYPE BALLAST",(0.7*AD153+AD153^6.5)/(2.7*J26^(2/3)),IF($T$23="CONTAINER NORMAL",(0.7*AD153+AD153^6.5)/(2.2*$G$5^(2/3)))))</f>
        <v>0</v>
      </c>
      <c r="AM153" s="15">
        <f t="shared" si="203"/>
        <v>0</v>
      </c>
      <c r="AN153" s="15">
        <f t="shared" si="172"/>
        <v>0</v>
      </c>
      <c r="AO153" s="15">
        <f t="shared" si="204"/>
        <v>0</v>
      </c>
      <c r="AP153" s="15">
        <f t="shared" si="205"/>
        <v>0</v>
      </c>
      <c r="AQ153" s="20" t="e">
        <f>N153/AN153</f>
        <v>#DIV/0!</v>
      </c>
      <c r="AR153" s="13">
        <f>(AO153*$D$3)/$U$3</f>
        <v>0</v>
      </c>
      <c r="AS153" s="13" t="e">
        <f t="shared" si="206"/>
        <v>#NUM!</v>
      </c>
      <c r="AT153" s="15" t="e">
        <f>0.5*1024*(AO153^2)*$W$5*$W$6*AS153</f>
        <v>#NUM!</v>
      </c>
      <c r="AU153" s="13" t="e">
        <f>0.5*1024*AS153*$U$10*(AO153)^2</f>
        <v>#NUM!</v>
      </c>
      <c r="AV153" s="339"/>
      <c r="AW153" s="339"/>
      <c r="AX153" s="339"/>
      <c r="AY153" s="339"/>
      <c r="AZ153" s="339"/>
      <c r="BA153" s="331"/>
      <c r="BB153" s="331"/>
      <c r="BC153" s="331"/>
      <c r="BD153" s="339"/>
      <c r="BE153" s="339"/>
      <c r="BF153" s="339"/>
      <c r="BG153" s="339"/>
      <c r="BH153" s="337"/>
      <c r="BI153" s="331"/>
      <c r="BJ153" s="331"/>
      <c r="BK153" s="331"/>
      <c r="BL153" s="23"/>
      <c r="BM153" s="20"/>
      <c r="BN153" s="13"/>
      <c r="BO153" s="15"/>
      <c r="BP153" s="21"/>
      <c r="BQ153" s="15"/>
      <c r="BR153" s="15"/>
      <c r="BS153" s="15"/>
      <c r="BT153" s="15"/>
      <c r="BU153" s="13"/>
      <c r="BV153" s="15"/>
      <c r="BW153" s="15">
        <f>SUM(BW33:BW146)</f>
        <v>0.90504717326139228</v>
      </c>
      <c r="BX153" s="331"/>
    </row>
    <row r="154" spans="3:80" ht="41.25" x14ac:dyDescent="0.25">
      <c r="C154" s="272" t="s">
        <v>52</v>
      </c>
      <c r="D154" s="306" t="s">
        <v>53</v>
      </c>
      <c r="E154" s="306" t="s">
        <v>54</v>
      </c>
      <c r="F154" s="308" t="s">
        <v>127</v>
      </c>
      <c r="G154" s="273" t="s">
        <v>152</v>
      </c>
      <c r="H154" s="274"/>
      <c r="I154" s="273" t="s">
        <v>84</v>
      </c>
      <c r="J154" s="274"/>
      <c r="K154" s="376" t="s">
        <v>204</v>
      </c>
      <c r="L154" s="377"/>
      <c r="M154" s="52" t="s">
        <v>205</v>
      </c>
      <c r="N154" s="81" t="s">
        <v>206</v>
      </c>
      <c r="O154" s="81" t="s">
        <v>206</v>
      </c>
      <c r="P154" s="81" t="s">
        <v>207</v>
      </c>
      <c r="Q154" s="81" t="s">
        <v>208</v>
      </c>
      <c r="R154" s="52" t="s">
        <v>152</v>
      </c>
      <c r="S154" s="56" t="s">
        <v>152</v>
      </c>
      <c r="T154" s="44" t="s">
        <v>153</v>
      </c>
      <c r="U154" s="44" t="s">
        <v>214</v>
      </c>
      <c r="V154" s="38" t="s">
        <v>153</v>
      </c>
      <c r="W154" s="417" t="s">
        <v>55</v>
      </c>
      <c r="X154" s="418"/>
      <c r="Y154" s="418"/>
      <c r="Z154" s="418"/>
      <c r="AA154" s="419"/>
      <c r="AB154" s="369" t="s">
        <v>90</v>
      </c>
      <c r="AC154" s="39" t="s">
        <v>88</v>
      </c>
      <c r="AD154" s="433" t="s">
        <v>91</v>
      </c>
      <c r="AE154" s="18" t="s">
        <v>103</v>
      </c>
      <c r="AF154" s="306" t="s">
        <v>56</v>
      </c>
      <c r="AG154" s="308" t="s">
        <v>57</v>
      </c>
      <c r="AH154" s="308" t="s">
        <v>9</v>
      </c>
      <c r="AI154" s="374" t="s">
        <v>58</v>
      </c>
      <c r="AJ154" s="319" t="s">
        <v>93</v>
      </c>
      <c r="AK154" s="319" t="s">
        <v>94</v>
      </c>
      <c r="AL154" s="319" t="s">
        <v>95</v>
      </c>
      <c r="AM154" s="306" t="s">
        <v>59</v>
      </c>
      <c r="AN154" s="306" t="s">
        <v>60</v>
      </c>
      <c r="AO154" s="306" t="s">
        <v>61</v>
      </c>
      <c r="AP154" s="306" t="s">
        <v>56</v>
      </c>
      <c r="AQ154" s="306" t="s">
        <v>62</v>
      </c>
      <c r="AR154" s="306" t="s">
        <v>63</v>
      </c>
      <c r="AS154" s="26" t="s">
        <v>64</v>
      </c>
      <c r="AT154" s="27" t="s">
        <v>150</v>
      </c>
      <c r="AU154" s="26" t="s">
        <v>65</v>
      </c>
      <c r="AV154" s="306" t="s">
        <v>50</v>
      </c>
      <c r="AW154" s="306" t="s">
        <v>42</v>
      </c>
      <c r="AX154" s="306" t="s">
        <v>43</v>
      </c>
      <c r="AY154" s="26" t="s">
        <v>66</v>
      </c>
      <c r="AZ154" s="306" t="s">
        <v>34</v>
      </c>
      <c r="BA154" s="306" t="s">
        <v>48</v>
      </c>
      <c r="BB154" s="306" t="s">
        <v>24</v>
      </c>
      <c r="BC154" s="306" t="s">
        <v>30</v>
      </c>
      <c r="BD154" s="306" t="s">
        <v>35</v>
      </c>
      <c r="BE154" s="306" t="s">
        <v>40</v>
      </c>
      <c r="BF154" s="306" t="s">
        <v>20</v>
      </c>
      <c r="BG154" s="306" t="s">
        <v>44</v>
      </c>
      <c r="BH154" s="306" t="s">
        <v>49</v>
      </c>
      <c r="BI154" s="306" t="s">
        <v>18</v>
      </c>
      <c r="BJ154" s="306" t="s">
        <v>31</v>
      </c>
      <c r="BK154" s="306" t="s">
        <v>36</v>
      </c>
      <c r="BL154" s="306" t="s">
        <v>67</v>
      </c>
      <c r="BM154" s="306" t="s">
        <v>68</v>
      </c>
      <c r="BN154" s="306" t="s">
        <v>69</v>
      </c>
      <c r="BO154" s="306" t="s">
        <v>70</v>
      </c>
      <c r="BP154" s="308" t="s">
        <v>71</v>
      </c>
      <c r="BQ154" s="306" t="s">
        <v>72</v>
      </c>
      <c r="BR154" s="308" t="s">
        <v>73</v>
      </c>
      <c r="BS154" s="306" t="s">
        <v>74</v>
      </c>
      <c r="BT154" s="306" t="s">
        <v>75</v>
      </c>
      <c r="BU154" s="308" t="s">
        <v>76</v>
      </c>
      <c r="BV154" s="306" t="s">
        <v>77</v>
      </c>
      <c r="BW154" s="308" t="s">
        <v>78</v>
      </c>
      <c r="BX154" s="308" t="s">
        <v>79</v>
      </c>
    </row>
    <row r="155" spans="3:80" ht="38.25" x14ac:dyDescent="0.25">
      <c r="C155" s="272"/>
      <c r="D155" s="307"/>
      <c r="E155" s="307"/>
      <c r="F155" s="309"/>
      <c r="G155" s="36" t="s">
        <v>229</v>
      </c>
      <c r="H155" s="36" t="s">
        <v>230</v>
      </c>
      <c r="I155" s="36" t="s">
        <v>85</v>
      </c>
      <c r="J155" s="36" t="s">
        <v>87</v>
      </c>
      <c r="K155" s="53" t="s">
        <v>85</v>
      </c>
      <c r="L155" s="53" t="s">
        <v>87</v>
      </c>
      <c r="M155" s="53" t="s">
        <v>161</v>
      </c>
      <c r="N155" s="53" t="s">
        <v>161</v>
      </c>
      <c r="O155" s="53" t="s">
        <v>161</v>
      </c>
      <c r="P155" s="53" t="s">
        <v>161</v>
      </c>
      <c r="Q155" s="53" t="s">
        <v>209</v>
      </c>
      <c r="R155" s="53" t="s">
        <v>212</v>
      </c>
      <c r="S155" s="53" t="s">
        <v>213</v>
      </c>
      <c r="T155" s="37" t="s">
        <v>89</v>
      </c>
      <c r="U155" s="37" t="s">
        <v>89</v>
      </c>
      <c r="V155" s="38" t="s">
        <v>92</v>
      </c>
      <c r="W155" s="14" t="s">
        <v>246</v>
      </c>
      <c r="X155" s="14" t="s">
        <v>249</v>
      </c>
      <c r="Y155" s="14" t="s">
        <v>247</v>
      </c>
      <c r="Z155" s="133" t="s">
        <v>248</v>
      </c>
      <c r="AA155" s="133" t="s">
        <v>248</v>
      </c>
      <c r="AB155" s="370"/>
      <c r="AC155" s="39" t="s">
        <v>89</v>
      </c>
      <c r="AD155" s="434"/>
      <c r="AE155" s="14" t="s">
        <v>80</v>
      </c>
      <c r="AF155" s="307"/>
      <c r="AG155" s="307"/>
      <c r="AH155" s="309"/>
      <c r="AI155" s="375"/>
      <c r="AJ155" s="320"/>
      <c r="AK155" s="320"/>
      <c r="AL155" s="320"/>
      <c r="AM155" s="307"/>
      <c r="AN155" s="307"/>
      <c r="AO155" s="307"/>
      <c r="AP155" s="307"/>
      <c r="AQ155" s="307"/>
      <c r="AR155" s="307"/>
      <c r="AS155" s="28" t="s">
        <v>149</v>
      </c>
      <c r="AT155" s="28" t="s">
        <v>151</v>
      </c>
      <c r="AU155" s="28" t="s">
        <v>149</v>
      </c>
      <c r="AV155" s="316"/>
      <c r="AW155" s="307"/>
      <c r="AX155" s="307"/>
      <c r="AY155" s="47" t="s">
        <v>154</v>
      </c>
      <c r="AZ155" s="307"/>
      <c r="BA155" s="307"/>
      <c r="BB155" s="307"/>
      <c r="BC155" s="307"/>
      <c r="BD155" s="307"/>
      <c r="BE155" s="307"/>
      <c r="BF155" s="307"/>
      <c r="BG155" s="307"/>
      <c r="BH155" s="307"/>
      <c r="BI155" s="307"/>
      <c r="BJ155" s="307"/>
      <c r="BK155" s="307"/>
      <c r="BL155" s="307"/>
      <c r="BM155" s="307"/>
      <c r="BN155" s="307"/>
      <c r="BO155" s="307"/>
      <c r="BP155" s="309"/>
      <c r="BQ155" s="307"/>
      <c r="BR155" s="309"/>
      <c r="BS155" s="307"/>
      <c r="BT155" s="307"/>
      <c r="BU155" s="309"/>
      <c r="BV155" s="307"/>
      <c r="BW155" s="309"/>
      <c r="BX155" s="309"/>
      <c r="BY155" t="s">
        <v>268</v>
      </c>
      <c r="BZ155" t="s">
        <v>269</v>
      </c>
      <c r="CA155" t="s">
        <v>270</v>
      </c>
    </row>
    <row r="156" spans="3:80" ht="15" customHeight="1" x14ac:dyDescent="0.3">
      <c r="C156" s="22">
        <v>1</v>
      </c>
      <c r="D156" s="378" t="s">
        <v>82</v>
      </c>
      <c r="E156" s="378" t="s">
        <v>81</v>
      </c>
      <c r="F156" s="19" t="s">
        <v>128</v>
      </c>
      <c r="G156" s="255">
        <v>0.84722222222222221</v>
      </c>
      <c r="H156" s="54">
        <v>0.84722222222222221</v>
      </c>
      <c r="I156" s="13">
        <v>-8.5340319999999998</v>
      </c>
      <c r="J156" s="13">
        <v>115.509721</v>
      </c>
      <c r="K156" s="13">
        <f t="shared" ref="K156:L171" si="207">RADIANS(I156)</f>
        <v>-0.14894695687055673</v>
      </c>
      <c r="L156" s="13">
        <f t="shared" si="207"/>
        <v>2.0160249495100371</v>
      </c>
      <c r="M156" s="13">
        <v>3443</v>
      </c>
      <c r="N156" s="71" t="e">
        <f t="shared" ref="N156:N219" si="208">2*M156*ASIN(((SIN((K156-K155)/2))^2+COS(K155)*COS(K156)*(SIN((L156-L155)/2))^2)^0.5)</f>
        <v>#VALUE!</v>
      </c>
      <c r="O156" s="22"/>
      <c r="P156" s="22"/>
      <c r="Q156" s="22"/>
      <c r="R156" s="22"/>
      <c r="S156" s="15" t="e">
        <f>(#REF!-H156)*24</f>
        <v>#REF!</v>
      </c>
      <c r="T156" s="22"/>
      <c r="U156" s="22"/>
      <c r="V156" s="22">
        <f t="shared" ref="V156:V219" si="209">T156*0.5144</f>
        <v>0</v>
      </c>
      <c r="W156" s="22"/>
      <c r="X156" s="22"/>
      <c r="Y156" s="22"/>
      <c r="Z156" s="22"/>
      <c r="AA156" s="22"/>
      <c r="AB156" s="13">
        <v>100</v>
      </c>
      <c r="AC156" s="13">
        <v>13</v>
      </c>
      <c r="AD156" s="13">
        <f>IF(AC156&lt;=0.6,0,IF(AC156&lt;=3,1,IF(AC156&lt;=6.4,2,IF(AC156&lt;=10.6,3,IF(AC156&lt;=15.5,4,IF(AC156&lt;=21,5,IF(AC156&lt;=26.9,IF(AC156&lt;=33.4,7,8))))))))</f>
        <v>4</v>
      </c>
      <c r="AE156" s="16">
        <f>IF(AND(AA156&lt;=AB156,AB156&gt;AA156,(AB156-AA156)&lt;=180),AB156-AA156,IF(AND(AA156&lt;=AB156,AB156&gt;AA156,(AB156-AA156)&gt;180),360-AB156+AA156,IF(AND(AA156&lt;=180,AB156&lt;AA156),AA156-AB156,IF(AND(AA156&gt;180,AB156&lt;AA156,(AA156-AB156)&lt;=180),AA156-AB156,IF(AND(AA156&gt;180,AB156&lt;AA156,(AA156-AB156)&gt;180),360-AA156+AB156,IF(AND(AA156&gt;180,AB156&gt;AA156),AB156-AA156,0))))))</f>
        <v>100</v>
      </c>
      <c r="AF156" s="23">
        <f t="shared" ref="AF156:AF187" si="210">V156/((9.81*$D$3)^0.5)</f>
        <v>0</v>
      </c>
      <c r="AG156" s="381">
        <v>2877</v>
      </c>
      <c r="AH156" s="384">
        <f>($G$5*1.025)/(G$3*$D$4*AI156)</f>
        <v>0.67045153094541909</v>
      </c>
      <c r="AI156" s="387">
        <v>4.0999999999999996</v>
      </c>
      <c r="AJ156" s="22">
        <f t="shared" ref="AJ156:AJ187" si="211">IF(AND(F156="NORMAL",AND($D$6&gt;=0.55,$D$6&lt;0.6)),1.7-1.4*AF156-7.4*AF156^2,IF(AND(F156="NORMAL",AND($D$6&gt;=0.6,$D$6&lt;0.65)),2.2-2.5*AF156-9.7*AF156^2,IF(AND(F156="NORMAL",AND($D$6&gt;=0.65,$D$6&lt;0.7)),2.6-3.7*AF156-11.6*AF156^2,IF(AND(F156="NORMAL",AND($D$6&gt;=0.7,$D$6&lt;0.75)),3.1-5.3*AF156-12.4*AF156^2,IF(AND(F156="NORMAL OR LOADED",AND($D$6&gt;=0.75,$D$6&lt;0.8)),2.4-10.6*AF156-9.5*AF156^2,IF(AND(F156="NORMAL OR LOADED",AND($D$6&gt;=0.8,$D$6&lt;0.85)),2.6-13.1*AF156-15.1*AF156^2,IF(AND(F156="NORMAL OR LOADED",AND($D$6&gt;=0.85,$D$6&lt;0.9)),3.1-18.7*AF156+28*AF156^2,IF(AND(F156="BALLAST",AND($D$6&gt;=0.75,$D$6&lt;0.8)),2.6-12.5*AF156-13.5*AF156^2,IF(AND(F156="BALLAST",AND($D$6&gt;=0.8,$D$6&lt;0.85)),IF(AND(F156="BALLAST",AND($D$6&gt;=0.85,$D$6&lt;0.9)),3.4-20.9*AF156+31.8*AF156^2))))))))))</f>
        <v>2.6</v>
      </c>
      <c r="AK156" s="22">
        <f t="shared" si="202"/>
        <v>0.33</v>
      </c>
      <c r="AL156" s="23">
        <f t="shared" ref="AL156:AL187" si="212">IF($T$21="ALL SHIP TYPE LOADED",(0.5*AD156+AD156^6.5)/(2.2*$G$5^(2/3)),IF($T$22="ALL SHIP TYPE BALLAST",(0.7*AD156+AD156^6.5)/(2.7*J18^(2/3)),IF($T$23="CONTAINER NORMAL",(0.7*AD156+AD156^6.5)/(2.2*$G$5^(2/3)))))</f>
        <v>18.610006994007279</v>
      </c>
      <c r="AM156" s="23">
        <f t="shared" si="203"/>
        <v>15.967386000858246</v>
      </c>
      <c r="AN156" s="23">
        <f t="shared" ref="AN156:AN187" si="213">T156-((AM156)*0.01*T156)</f>
        <v>0</v>
      </c>
      <c r="AO156" s="23">
        <f t="shared" si="204"/>
        <v>0</v>
      </c>
      <c r="AP156" s="23">
        <f t="shared" si="205"/>
        <v>0</v>
      </c>
      <c r="AQ156" s="24" t="e">
        <f t="shared" ref="AQ156:AQ187" si="214">N156/AN156</f>
        <v>#VALUE!</v>
      </c>
      <c r="AR156" s="22">
        <f t="shared" ref="AR156:AR187" si="215">(AO156*$D$3)/$U$3</f>
        <v>0</v>
      </c>
      <c r="AS156" s="22" t="e">
        <f t="shared" si="206"/>
        <v>#NUM!</v>
      </c>
      <c r="AT156" s="23" t="e">
        <f t="shared" ref="AT156:AT187" si="216">0.5*1024*(AO156^2)*$W$5*$W$6*AS156</f>
        <v>#NUM!</v>
      </c>
      <c r="AU156" s="22" t="e">
        <f t="shared" ref="AU156:AU187" si="217">0.5*1024*AS156*$U$10*(AO156)^2</f>
        <v>#NUM!</v>
      </c>
      <c r="AV156" s="442">
        <f>AI156/$D$3</f>
        <v>5.7985772271486546E-2</v>
      </c>
      <c r="AW156" s="444">
        <f>($D$3^3)/($D$3*$D$4*$D$6*AI156)</f>
        <v>123.7246528617179</v>
      </c>
      <c r="AX156" s="387">
        <f>$D$4/AI156</f>
        <v>3.5853658536585367</v>
      </c>
      <c r="AY156" s="338">
        <f>$D$3*((2*AI156)+$D$4)*($G$7^0.5)*(0.453+(0.4425*AH156)-(0.2862*$G$7)-(0.003467*AX156)+(0.3696*$D$8))+(2.38*('Perhitungan Bulbous Bow'!$D$14/AH156))</f>
        <v>1211.7566863961524</v>
      </c>
      <c r="AZ156" s="338">
        <f>W6</f>
        <v>4.3</v>
      </c>
      <c r="BA156" s="357">
        <f>$D$3/($D$3*$D$4*AH156*AI156)^(1/3)</f>
        <v>4.9829372099640139</v>
      </c>
      <c r="BB156" s="401">
        <f>1+89*EXP(-(($D$3/$D$4)^0.80856)*((1-$D$8)^0.30484)*((1-$G$6-(0.0225*$G$9))^0.6367)*(($J$9/$D$4)^0.34574)*((100*AI156*$D$3*$D$4*AH156)/$D$3^3)^0.16302)</f>
        <v>26.635659991062493</v>
      </c>
      <c r="BC156" s="384">
        <f>2223105*(BH156^3.78613)*((AI156/$D$4)*1.07961)*((90-BB156)^-1.37565)</f>
        <v>5.8115971180455466</v>
      </c>
      <c r="BD156" s="444">
        <f>EXP(-1.89*((BE156^0.5)))</f>
        <v>1</v>
      </c>
      <c r="BE156" s="444">
        <f>0.56*(0^1.5)/($D$4*AI156*((0.31*(0^0.5))+AI156-0))</f>
        <v>0</v>
      </c>
      <c r="BF156" s="444">
        <f>IF(AV156&lt;=0.04,AV156,IF(AV156&gt;0.04,0.04,0))</f>
        <v>0.04</v>
      </c>
      <c r="BG156" s="444">
        <f>1-((0.8*0)/($D$4*AI156*$G$7))</f>
        <v>1</v>
      </c>
      <c r="BH156" s="446">
        <f>IF($J$5&lt;=0.11,0.229577*($J$5^0.33333),IF(AND($J$5&gt;0.11,$J$5&lt;0.25),$J$5,IF($J$5&gt;=0.25,0.5-(0.0625*AX156),0)))</f>
        <v>0.20790020790020786</v>
      </c>
      <c r="BI156" s="384">
        <f>IF(AW156&lt;=512,-1.69385,IF(AW156&gt;=1727,#REF!,IF(AND(AW156&gt;512,AW156&lt;1727),$Y$6+((BA156-8)/2.36),0)))</f>
        <v>-1.6938500000000001</v>
      </c>
      <c r="BJ156" s="384">
        <f>IF($G$6&lt;0.8,(8.07981*($G$6))-(13.8673*($G$6^2))+(6.984388*($G$6^3)),IF($G$6&gt;0.8,1.73014-(0.7067*$G$6),0))</f>
        <v>1.2819691459738847</v>
      </c>
      <c r="BK156" s="384">
        <f>((0.0140407*($D$3/AI156))-(1.75254*((($D$3*$D$4*AI156*$D$6)^(1/3))/$D$3))-(4.79323*($J$5))-BJ156)</f>
        <v>-2.3880504513034189</v>
      </c>
      <c r="BL156" s="23" t="e">
        <f t="shared" ref="BL156:BL187" si="218">$BI$156*($G$6^2)*EXP(-0.1*(AP156^-2))</f>
        <v>#DIV/0!</v>
      </c>
      <c r="BM156" s="24" t="e">
        <f t="shared" ref="BM156:BM187" si="219">$BC$156*$BD$156*$BG$156*($D$3*$D$4*$AI$31*$AH$156)*1025*9.81*(EXP(($BK$156*(AP156^-0.9))+(BL156*COS($Y$10*(AP156^-2)))))</f>
        <v>#DIV/0!</v>
      </c>
      <c r="BN156" s="24">
        <f t="shared" ref="BN156:BN187" si="220">0.5*1025*(AO156^2)*$AY$156*$W$3</f>
        <v>0</v>
      </c>
      <c r="BO156" s="24" t="e">
        <f t="shared" ref="BO156:BO187" si="221">((AU156*$U$8)+AT156+BM156+BN156)/1000</f>
        <v>#NUM!</v>
      </c>
      <c r="BP156" s="24" t="e">
        <f t="shared" ref="BP156" si="222">BO156+(BO156*15%)</f>
        <v>#NUM!</v>
      </c>
      <c r="BQ156" s="23" t="e">
        <f t="shared" ref="BQ156" si="223">BP156*AO156</f>
        <v>#NUM!</v>
      </c>
      <c r="BR156" s="23">
        <f t="shared" ref="BR156:BR187" si="224">(1-$AJ$5)*AO156</f>
        <v>0</v>
      </c>
      <c r="BS156" s="6" t="e">
        <f t="shared" ref="BS156:BS187" si="225">BQ156/$AJ$11</f>
        <v>#NUM!</v>
      </c>
      <c r="BT156" s="23" t="e">
        <f t="shared" ref="BT156:BT187" si="226">BS156/$AO$5</f>
        <v>#NUM!</v>
      </c>
      <c r="BU156" s="22" t="e">
        <f t="shared" ref="BU156:BU187" si="227">((BT156/$AO$6)/80%)</f>
        <v>#NUM!</v>
      </c>
      <c r="BV156" s="22" t="e">
        <f t="shared" ref="BV156:BV187" si="228">(BU156/$AK$19)*100</f>
        <v>#NUM!</v>
      </c>
      <c r="BW156" s="23" t="e">
        <f t="shared" ref="BW156:BW187" si="229">((($AK$21*BU156*AQ156)/1000000))</f>
        <v>#NUM!</v>
      </c>
      <c r="BX156" s="357"/>
      <c r="BY156" s="365">
        <f>(SUM(BW157:BW160))</f>
        <v>4.354894230474627E-3</v>
      </c>
      <c r="BZ156" s="365">
        <v>0</v>
      </c>
      <c r="CA156" s="360">
        <f>AVERAGE(AN156:AN160)</f>
        <v>3.2717748847678636</v>
      </c>
    </row>
    <row r="157" spans="3:80" ht="15" customHeight="1" x14ac:dyDescent="0.3">
      <c r="C157" s="22">
        <v>2</v>
      </c>
      <c r="D157" s="379"/>
      <c r="E157" s="379"/>
      <c r="F157" s="19" t="s">
        <v>128</v>
      </c>
      <c r="G157" s="256"/>
      <c r="H157" s="54">
        <v>0.84861111111111109</v>
      </c>
      <c r="I157" s="13">
        <v>-8.5347419999999996</v>
      </c>
      <c r="J157" s="13">
        <v>115.511011</v>
      </c>
      <c r="K157" s="13">
        <f t="shared" si="207"/>
        <v>-0.14895934870824587</v>
      </c>
      <c r="L157" s="13">
        <f t="shared" si="207"/>
        <v>2.0160474642573876</v>
      </c>
      <c r="M157" s="13">
        <v>3443</v>
      </c>
      <c r="N157" s="71">
        <f t="shared" si="208"/>
        <v>8.7732849193737417E-2</v>
      </c>
      <c r="O157" s="420">
        <f>SUM(N157:N161)</f>
        <v>0.90670672828620513</v>
      </c>
      <c r="P157" s="423">
        <v>1</v>
      </c>
      <c r="Q157" s="424">
        <f>ABS((O157-P157)/O157)*100%</f>
        <v>0.10289244449540086</v>
      </c>
      <c r="R157" s="23">
        <f>(H157-H156)*24</f>
        <v>3.3333333333333215E-2</v>
      </c>
      <c r="S157" s="357">
        <f>+SUM(R157:R161)</f>
        <v>0.16666666666666607</v>
      </c>
      <c r="T157" s="23">
        <f>N157/R157</f>
        <v>2.6319854758121317</v>
      </c>
      <c r="U157" s="420">
        <f>AVERAGE(T157:T161)</f>
        <v>5.4402403697173423</v>
      </c>
      <c r="V157" s="22">
        <f t="shared" si="209"/>
        <v>1.3538933287577604</v>
      </c>
      <c r="W157" s="130">
        <f>LN(TAN((K157/2)+(3.14/4))/(TAN((K156/2)+(3.14/4))))</f>
        <v>-1.2532090781028431E-5</v>
      </c>
      <c r="X157" s="13">
        <f>ABS(L156-L157)</f>
        <v>2.2514747350488307E-5</v>
      </c>
      <c r="Y157" s="13">
        <f>ATAN2(W157,X157)</f>
        <v>2.078705557756396</v>
      </c>
      <c r="Z157" s="13">
        <f>DEGREES(Y157)</f>
        <v>119.10105530982928</v>
      </c>
      <c r="AA157" s="13">
        <f>360-Z157</f>
        <v>240.89894469017071</v>
      </c>
      <c r="AB157" s="13">
        <v>100</v>
      </c>
      <c r="AC157" s="13">
        <v>13</v>
      </c>
      <c r="AD157" s="13">
        <f t="shared" ref="AD157:AD220" si="230">IF(AC157&lt;=0.6,0,IF(AC157&lt;=3,1,IF(AC157&lt;=6.4,2,IF(AC157&lt;=10.6,3,IF(AC157&lt;=15.5,4,IF(AC157&lt;=21,5,IF(AC157&lt;=26.9,IF(AC157&lt;=33.4,7,8))))))))</f>
        <v>4</v>
      </c>
      <c r="AE157" s="16">
        <f t="shared" ref="AE157:AE220" si="231">IF(AND(AA157&lt;=AB157,AB157&gt;AA157,(AB157-AA157)&lt;=180),AB157-AA157,IF(AND(AA157&lt;=AB157,AB157&gt;AA157,(AB157-AA157)&gt;180),360-AB157+AA157,IF(AND(AA157&lt;=180,AB157&lt;AA157),AA157-AB157,IF(AND(AA157&gt;180,AB157&lt;AA157,(AA157-AB157)&lt;=180),AA157-AB157,IF(AND(AA157&gt;180,AB157&lt;AA157,(AA157-AB157)&gt;180),360-AA157+AB157,IF(AND(AA157&gt;180,AB157&gt;AA157),AB157-AA157,0))))))</f>
        <v>140.89894469017071</v>
      </c>
      <c r="AF157" s="23">
        <f t="shared" si="210"/>
        <v>5.1406583212446059E-2</v>
      </c>
      <c r="AG157" s="382"/>
      <c r="AH157" s="385"/>
      <c r="AI157" s="388"/>
      <c r="AJ157" s="22">
        <f t="shared" si="211"/>
        <v>2.3791410552620431</v>
      </c>
      <c r="AK157" s="22">
        <f t="shared" ref="AK157:AK220" si="232">IF(AND(AE157&gt;=0,AE157&lt;=30),2/2,IF(AND(AE157&gt;=30,AE157&lt;=60),(1.7-0.03*(AD157-4)^2)/2,IF(AND(AE157&gt;=60,AE157&lt;=150),(0.9-0.06*(AD157-6)^2)/2,IF(AND(AE157&gt;=150,AE157&lt;=180),(0.4-0.03*(AD157-8)^2)/2))))</f>
        <v>0.33</v>
      </c>
      <c r="AL157" s="23">
        <f t="shared" si="212"/>
        <v>18.610006994007279</v>
      </c>
      <c r="AM157" s="23">
        <f t="shared" ref="AM157:AM220" si="233">AJ157*AK157*AL157</f>
        <v>14.611024453791639</v>
      </c>
      <c r="AN157" s="23">
        <f t="shared" si="213"/>
        <v>2.2474254343209767</v>
      </c>
      <c r="AO157" s="23">
        <f t="shared" ref="AO157:AO220" si="234">AN157*0.5144</f>
        <v>1.1560756434147104</v>
      </c>
      <c r="AP157" s="23">
        <f t="shared" ref="AP157:AP220" si="235">AO157/((9.81*$D$3)^0.5)</f>
        <v>4.389555476841682E-2</v>
      </c>
      <c r="AQ157" s="24">
        <f t="shared" si="214"/>
        <v>3.9037045614038125E-2</v>
      </c>
      <c r="AR157" s="22">
        <f t="shared" si="215"/>
        <v>68806936.463740692</v>
      </c>
      <c r="AS157" s="22">
        <f t="shared" ref="AS157:AS220" si="236">0.075/((LOG(AR157)-2)^2)</f>
        <v>2.200836614059429E-3</v>
      </c>
      <c r="AT157" s="23">
        <f t="shared" si="216"/>
        <v>49.280408314710201</v>
      </c>
      <c r="AU157" s="22">
        <f t="shared" si="217"/>
        <v>1824.9278173679083</v>
      </c>
      <c r="AV157" s="443"/>
      <c r="AW157" s="445"/>
      <c r="AX157" s="388"/>
      <c r="AY157" s="339"/>
      <c r="AZ157" s="339"/>
      <c r="BA157" s="331"/>
      <c r="BB157" s="402"/>
      <c r="BC157" s="385"/>
      <c r="BD157" s="445"/>
      <c r="BE157" s="445"/>
      <c r="BF157" s="445"/>
      <c r="BG157" s="445"/>
      <c r="BH157" s="447"/>
      <c r="BI157" s="385"/>
      <c r="BJ157" s="385"/>
      <c r="BK157" s="385"/>
      <c r="BL157" s="23">
        <f t="shared" si="218"/>
        <v>-2.2385411645764927E-23</v>
      </c>
      <c r="BM157" s="24">
        <f t="shared" si="219"/>
        <v>8.6779640701120028E-10</v>
      </c>
      <c r="BN157" s="24">
        <f t="shared" si="220"/>
        <v>486.61404557173449</v>
      </c>
      <c r="BO157" s="24">
        <f t="shared" si="221"/>
        <v>4.337692634937178</v>
      </c>
      <c r="BP157" s="24">
        <f t="shared" ref="BP157:BP220" si="237">BO157+(BO157*15%)</f>
        <v>4.988346530177755</v>
      </c>
      <c r="BQ157" s="23">
        <f t="shared" ref="BQ157:BQ220" si="238">BP157*AO157</f>
        <v>5.7669059244507856</v>
      </c>
      <c r="BR157" s="23">
        <f t="shared" si="224"/>
        <v>0.82633308307739439</v>
      </c>
      <c r="BS157" s="6">
        <f t="shared" si="225"/>
        <v>13.898777119994971</v>
      </c>
      <c r="BT157" s="23">
        <f t="shared" si="226"/>
        <v>14.182425632647931</v>
      </c>
      <c r="BU157" s="22">
        <f t="shared" si="227"/>
        <v>18.08982861307134</v>
      </c>
      <c r="BV157" s="22">
        <f t="shared" si="228"/>
        <v>0.86142041014625437</v>
      </c>
      <c r="BW157" s="23">
        <f t="shared" si="229"/>
        <v>1.2654628487757273E-4</v>
      </c>
      <c r="BX157" s="331"/>
      <c r="BY157" s="366"/>
      <c r="BZ157" s="366"/>
      <c r="CA157" s="361"/>
    </row>
    <row r="158" spans="3:80" ht="15" customHeight="1" x14ac:dyDescent="0.3">
      <c r="C158" s="22">
        <v>3</v>
      </c>
      <c r="D158" s="379"/>
      <c r="E158" s="379"/>
      <c r="F158" s="19" t="s">
        <v>128</v>
      </c>
      <c r="G158" s="256"/>
      <c r="H158" s="54">
        <v>0.85</v>
      </c>
      <c r="I158" s="13">
        <v>-8.5351409999999994</v>
      </c>
      <c r="J158" s="13">
        <v>115.51211600000001</v>
      </c>
      <c r="K158" s="13">
        <f t="shared" si="207"/>
        <v>-0.14896631257196133</v>
      </c>
      <c r="L158" s="13">
        <f t="shared" si="207"/>
        <v>2.0160667501456224</v>
      </c>
      <c r="M158" s="13">
        <v>3443</v>
      </c>
      <c r="N158" s="71">
        <f t="shared" si="208"/>
        <v>6.9906323688015443E-2</v>
      </c>
      <c r="O158" s="421"/>
      <c r="P158" s="421"/>
      <c r="Q158" s="425"/>
      <c r="R158" s="23">
        <f t="shared" ref="R158:R221" si="239">(H158-H157)*24</f>
        <v>3.3333333333333215E-2</v>
      </c>
      <c r="S158" s="331"/>
      <c r="T158" s="23">
        <f t="shared" ref="T158:T221" si="240">N158/R158</f>
        <v>2.0971897106404707</v>
      </c>
      <c r="U158" s="421"/>
      <c r="V158" s="22">
        <f t="shared" si="209"/>
        <v>1.078794387153458</v>
      </c>
      <c r="W158" s="130">
        <f t="shared" ref="W158:W221" si="241">LN(TAN((K158/2)+(3.14/4))/(TAN((K157/2)+(3.14/4))))</f>
        <v>-7.0426922863332809E-6</v>
      </c>
      <c r="X158" s="13">
        <f t="shared" ref="X158:X221" si="242">ABS(L157-L158)</f>
        <v>1.9285888234854554E-5</v>
      </c>
      <c r="Y158" s="13">
        <f t="shared" ref="Y158:Y221" si="243">ATAN2(W158,X158)</f>
        <v>1.920924138226229</v>
      </c>
      <c r="Z158" s="13">
        <f t="shared" ref="Z158:Z221" si="244">DEGREES(Y158)</f>
        <v>110.06084588516768</v>
      </c>
      <c r="AA158" s="13">
        <f t="shared" ref="AA158:AA221" si="245">360-Z158</f>
        <v>249.93915411483232</v>
      </c>
      <c r="AB158" s="13">
        <v>100</v>
      </c>
      <c r="AC158" s="13">
        <v>13</v>
      </c>
      <c r="AD158" s="13">
        <f t="shared" si="230"/>
        <v>4</v>
      </c>
      <c r="AE158" s="16">
        <f t="shared" si="231"/>
        <v>149.93915411483232</v>
      </c>
      <c r="AF158" s="23">
        <f t="shared" si="210"/>
        <v>4.096122807784839E-2</v>
      </c>
      <c r="AG158" s="382"/>
      <c r="AH158" s="385"/>
      <c r="AI158" s="388"/>
      <c r="AJ158" s="22">
        <f t="shared" si="211"/>
        <v>2.4289807185264731</v>
      </c>
      <c r="AK158" s="22">
        <f t="shared" si="232"/>
        <v>0.33</v>
      </c>
      <c r="AL158" s="23">
        <f t="shared" si="212"/>
        <v>18.610006994007279</v>
      </c>
      <c r="AM158" s="23">
        <f t="shared" si="233"/>
        <v>14.917104892828542</v>
      </c>
      <c r="AN158" s="23">
        <f t="shared" si="213"/>
        <v>1.7843497217026243</v>
      </c>
      <c r="AO158" s="23">
        <f t="shared" si="234"/>
        <v>0.9178694968438299</v>
      </c>
      <c r="AP158" s="23">
        <f t="shared" si="235"/>
        <v>3.4850998720085014E-2</v>
      </c>
      <c r="AQ158" s="24">
        <f t="shared" si="214"/>
        <v>3.9177478964891994E-2</v>
      </c>
      <c r="AR158" s="22">
        <f t="shared" si="215"/>
        <v>54629460.028061196</v>
      </c>
      <c r="AS158" s="22">
        <f t="shared" si="236"/>
        <v>2.278384049964222E-3</v>
      </c>
      <c r="AT158" s="23">
        <f t="shared" si="216"/>
        <v>32.159019464473403</v>
      </c>
      <c r="AU158" s="22">
        <f t="shared" si="217"/>
        <v>1190.8969752280884</v>
      </c>
      <c r="AV158" s="443"/>
      <c r="AW158" s="445"/>
      <c r="AX158" s="388"/>
      <c r="AY158" s="339"/>
      <c r="AZ158" s="339"/>
      <c r="BA158" s="331"/>
      <c r="BB158" s="402"/>
      <c r="BC158" s="385"/>
      <c r="BD158" s="445"/>
      <c r="BE158" s="445"/>
      <c r="BF158" s="445"/>
      <c r="BG158" s="445"/>
      <c r="BH158" s="447"/>
      <c r="BI158" s="385"/>
      <c r="BJ158" s="385"/>
      <c r="BK158" s="385"/>
      <c r="BL158" s="23">
        <f t="shared" si="218"/>
        <v>-1.3583289225507924E-36</v>
      </c>
      <c r="BM158" s="24">
        <f t="shared" si="219"/>
        <v>8.899316157066102E-14</v>
      </c>
      <c r="BN158" s="24">
        <f t="shared" si="220"/>
        <v>306.74254187694476</v>
      </c>
      <c r="BO158" s="24">
        <f t="shared" si="221"/>
        <v>2.8198489780836398</v>
      </c>
      <c r="BP158" s="24">
        <f t="shared" si="237"/>
        <v>3.2428263247961855</v>
      </c>
      <c r="BQ158" s="23">
        <f t="shared" si="238"/>
        <v>2.976491367092601</v>
      </c>
      <c r="BR158" s="23">
        <f t="shared" si="224"/>
        <v>0.6560694670024978</v>
      </c>
      <c r="BS158" s="6">
        <f t="shared" si="225"/>
        <v>7.1736197282859351</v>
      </c>
      <c r="BT158" s="23">
        <f t="shared" si="226"/>
        <v>7.3200201309040152</v>
      </c>
      <c r="BU158" s="22">
        <f t="shared" si="227"/>
        <v>9.3367603710510387</v>
      </c>
      <c r="BV158" s="22">
        <f t="shared" si="228"/>
        <v>0.44460763671671616</v>
      </c>
      <c r="BW158" s="23">
        <f t="shared" si="229"/>
        <v>6.5549699360246396E-5</v>
      </c>
      <c r="BX158" s="331"/>
      <c r="BY158" s="366"/>
      <c r="BZ158" s="366"/>
      <c r="CA158" s="361"/>
      <c r="CB158" s="31">
        <v>0</v>
      </c>
    </row>
    <row r="159" spans="3:80" ht="15" customHeight="1" x14ac:dyDescent="0.3">
      <c r="C159" s="22">
        <v>4</v>
      </c>
      <c r="D159" s="379"/>
      <c r="E159" s="379"/>
      <c r="F159" s="19" t="s">
        <v>128</v>
      </c>
      <c r="G159" s="256"/>
      <c r="H159" s="54">
        <v>0.85138888888888897</v>
      </c>
      <c r="I159" s="13">
        <v>-8.5362729999999996</v>
      </c>
      <c r="J159" s="13">
        <v>115.515287</v>
      </c>
      <c r="K159" s="13">
        <f t="shared" si="207"/>
        <v>-0.14898606969909392</v>
      </c>
      <c r="L159" s="13">
        <f t="shared" si="207"/>
        <v>2.0161220945362031</v>
      </c>
      <c r="M159" s="13">
        <v>3443</v>
      </c>
      <c r="N159" s="71">
        <f t="shared" si="208"/>
        <v>0.20034198686808247</v>
      </c>
      <c r="O159" s="421"/>
      <c r="P159" s="421"/>
      <c r="Q159" s="425"/>
      <c r="R159" s="23">
        <f t="shared" si="239"/>
        <v>3.3333333333335879E-2</v>
      </c>
      <c r="S159" s="331"/>
      <c r="T159" s="23">
        <f t="shared" si="240"/>
        <v>6.0102596060420153</v>
      </c>
      <c r="U159" s="421"/>
      <c r="V159" s="22">
        <f t="shared" si="209"/>
        <v>3.0916775413480124</v>
      </c>
      <c r="W159" s="130">
        <f t="shared" si="241"/>
        <v>-1.9980811380195777E-5</v>
      </c>
      <c r="X159" s="13">
        <f t="shared" si="242"/>
        <v>5.5344390580636116E-5</v>
      </c>
      <c r="Y159" s="13">
        <f t="shared" si="243"/>
        <v>1.9172606544685857</v>
      </c>
      <c r="Z159" s="13">
        <f t="shared" si="244"/>
        <v>109.85094372754</v>
      </c>
      <c r="AA159" s="13">
        <f t="shared" si="245"/>
        <v>250.14905627246</v>
      </c>
      <c r="AB159" s="13">
        <v>100</v>
      </c>
      <c r="AC159" s="13">
        <v>13</v>
      </c>
      <c r="AD159" s="13">
        <f t="shared" si="230"/>
        <v>4</v>
      </c>
      <c r="AE159" s="16">
        <f t="shared" si="231"/>
        <v>150.14905627246</v>
      </c>
      <c r="AF159" s="23">
        <f t="shared" si="210"/>
        <v>0.11738929162254082</v>
      </c>
      <c r="AG159" s="382"/>
      <c r="AH159" s="385"/>
      <c r="AI159" s="388"/>
      <c r="AJ159" s="22">
        <f t="shared" si="211"/>
        <v>2.0058087698599523</v>
      </c>
      <c r="AK159" s="22">
        <f t="shared" si="232"/>
        <v>-3.999999999999998E-2</v>
      </c>
      <c r="AL159" s="23">
        <f t="shared" si="212"/>
        <v>18.610006994007279</v>
      </c>
      <c r="AM159" s="23">
        <f t="shared" si="233"/>
        <v>-1.4931246094293933</v>
      </c>
      <c r="AN159" s="23">
        <f t="shared" si="213"/>
        <v>6.1000002713104227</v>
      </c>
      <c r="AO159" s="23">
        <f t="shared" si="234"/>
        <v>3.1378401395620812</v>
      </c>
      <c r="AP159" s="23">
        <f t="shared" si="235"/>
        <v>0.11914206002459181</v>
      </c>
      <c r="AQ159" s="24">
        <f t="shared" si="214"/>
        <v>3.284294720613911E-2</v>
      </c>
      <c r="AR159" s="22">
        <f t="shared" si="215"/>
        <v>186756955.17509773</v>
      </c>
      <c r="AS159" s="22">
        <f t="shared" si="236"/>
        <v>1.9069939953170194E-3</v>
      </c>
      <c r="AT159" s="23">
        <f t="shared" si="216"/>
        <v>314.57553666441265</v>
      </c>
      <c r="AU159" s="22">
        <f t="shared" si="217"/>
        <v>11649.206391639471</v>
      </c>
      <c r="AV159" s="443"/>
      <c r="AW159" s="445"/>
      <c r="AX159" s="388"/>
      <c r="AY159" s="339"/>
      <c r="AZ159" s="339"/>
      <c r="BA159" s="331"/>
      <c r="BB159" s="402"/>
      <c r="BC159" s="385"/>
      <c r="BD159" s="445"/>
      <c r="BE159" s="445"/>
      <c r="BF159" s="445"/>
      <c r="BG159" s="445"/>
      <c r="BH159" s="447"/>
      <c r="BI159" s="385"/>
      <c r="BJ159" s="385"/>
      <c r="BK159" s="385"/>
      <c r="BL159" s="23">
        <f t="shared" si="218"/>
        <v>-6.759037884019474E-4</v>
      </c>
      <c r="BM159" s="24">
        <f t="shared" si="219"/>
        <v>15.350872385819097</v>
      </c>
      <c r="BN159" s="24">
        <f t="shared" si="220"/>
        <v>3584.8729270296139</v>
      </c>
      <c r="BO159" s="24">
        <f t="shared" si="221"/>
        <v>28.183119019148648</v>
      </c>
      <c r="BP159" s="24">
        <f t="shared" si="237"/>
        <v>32.410586872020943</v>
      </c>
      <c r="BQ159" s="23">
        <f t="shared" si="238"/>
        <v>101.69924043379115</v>
      </c>
      <c r="BR159" s="23">
        <f t="shared" si="224"/>
        <v>2.2428472838244931</v>
      </c>
      <c r="BS159" s="6">
        <f t="shared" si="225"/>
        <v>245.10458373684304</v>
      </c>
      <c r="BT159" s="23">
        <f t="shared" si="226"/>
        <v>250.10671809881944</v>
      </c>
      <c r="BU159" s="22">
        <f t="shared" si="227"/>
        <v>319.01367104441255</v>
      </c>
      <c r="BV159" s="22">
        <f t="shared" si="228"/>
        <v>15.191127192591072</v>
      </c>
      <c r="BW159" s="23">
        <f t="shared" si="229"/>
        <v>1.8775409687817699E-3</v>
      </c>
      <c r="BX159" s="331"/>
      <c r="BY159" s="366"/>
      <c r="BZ159" s="366"/>
      <c r="CA159" s="361"/>
      <c r="CB159" s="31">
        <v>50</v>
      </c>
    </row>
    <row r="160" spans="3:80" ht="15" customHeight="1" x14ac:dyDescent="0.3">
      <c r="C160" s="22">
        <v>5</v>
      </c>
      <c r="D160" s="379"/>
      <c r="E160" s="379"/>
      <c r="F160" s="19" t="s">
        <v>128</v>
      </c>
      <c r="G160" s="257"/>
      <c r="H160" s="54">
        <v>0.85277777777777797</v>
      </c>
      <c r="I160" s="13">
        <v>-8.5376630000000002</v>
      </c>
      <c r="J160" s="13">
        <v>115.518975</v>
      </c>
      <c r="K160" s="13">
        <f t="shared" si="207"/>
        <v>-0.14901032977569664</v>
      </c>
      <c r="L160" s="13">
        <f t="shared" si="207"/>
        <v>2.0161864622790167</v>
      </c>
      <c r="M160" s="13">
        <v>3443</v>
      </c>
      <c r="N160" s="71">
        <f t="shared" si="208"/>
        <v>0.2345402126222805</v>
      </c>
      <c r="O160" s="421"/>
      <c r="P160" s="421"/>
      <c r="Q160" s="425"/>
      <c r="R160" s="23">
        <f t="shared" si="239"/>
        <v>3.3333333333335879E-2</v>
      </c>
      <c r="S160" s="331"/>
      <c r="T160" s="23">
        <f t="shared" si="240"/>
        <v>7.0362063786678775</v>
      </c>
      <c r="U160" s="421"/>
      <c r="V160" s="22">
        <f t="shared" si="209"/>
        <v>3.6194245611867562</v>
      </c>
      <c r="W160" s="130">
        <f t="shared" si="241"/>
        <v>-2.453482337934788E-5</v>
      </c>
      <c r="X160" s="13">
        <f t="shared" si="242"/>
        <v>6.4367742813598028E-5</v>
      </c>
      <c r="Y160" s="13">
        <f t="shared" si="243"/>
        <v>1.9349622007673604</v>
      </c>
      <c r="Z160" s="13">
        <f t="shared" si="244"/>
        <v>110.86516762131521</v>
      </c>
      <c r="AA160" s="13">
        <f t="shared" si="245"/>
        <v>249.13483237868479</v>
      </c>
      <c r="AB160" s="13">
        <v>100</v>
      </c>
      <c r="AC160" s="13">
        <v>13</v>
      </c>
      <c r="AD160" s="13">
        <f t="shared" si="230"/>
        <v>4</v>
      </c>
      <c r="AE160" s="16">
        <f t="shared" si="231"/>
        <v>149.13483237868479</v>
      </c>
      <c r="AF160" s="23">
        <f t="shared" si="210"/>
        <v>0.13742755498805509</v>
      </c>
      <c r="AG160" s="382"/>
      <c r="AH160" s="385"/>
      <c r="AI160" s="388"/>
      <c r="AJ160" s="22">
        <f t="shared" si="211"/>
        <v>1.8724365852522553</v>
      </c>
      <c r="AK160" s="22">
        <f t="shared" si="232"/>
        <v>0.33</v>
      </c>
      <c r="AL160" s="23">
        <f t="shared" si="212"/>
        <v>18.610006994007279</v>
      </c>
      <c r="AM160" s="23">
        <f t="shared" si="233"/>
        <v>11.499199122635261</v>
      </c>
      <c r="AN160" s="23">
        <f t="shared" si="213"/>
        <v>6.2270989965052941</v>
      </c>
      <c r="AO160" s="23">
        <f t="shared" si="234"/>
        <v>3.2032197238023232</v>
      </c>
      <c r="AP160" s="23">
        <f t="shared" si="235"/>
        <v>0.12162448679060955</v>
      </c>
      <c r="AQ160" s="24">
        <f t="shared" si="214"/>
        <v>3.7664442584565729E-2</v>
      </c>
      <c r="AR160" s="22">
        <f t="shared" si="215"/>
        <v>190648196.13711357</v>
      </c>
      <c r="AS160" s="22">
        <f t="shared" si="236"/>
        <v>1.9015589419742981E-3</v>
      </c>
      <c r="AT160" s="23">
        <f t="shared" si="216"/>
        <v>326.88669463057295</v>
      </c>
      <c r="AU160" s="22">
        <f t="shared" si="217"/>
        <v>12105.107132010367</v>
      </c>
      <c r="AV160" s="443"/>
      <c r="AW160" s="445"/>
      <c r="AX160" s="388"/>
      <c r="AY160" s="339"/>
      <c r="AZ160" s="339"/>
      <c r="BA160" s="331"/>
      <c r="BB160" s="402"/>
      <c r="BC160" s="385"/>
      <c r="BD160" s="445"/>
      <c r="BE160" s="445"/>
      <c r="BF160" s="445"/>
      <c r="BG160" s="445"/>
      <c r="BH160" s="447"/>
      <c r="BI160" s="385"/>
      <c r="BJ160" s="385"/>
      <c r="BK160" s="385"/>
      <c r="BL160" s="23">
        <f t="shared" si="218"/>
        <v>-8.9847028104198695E-4</v>
      </c>
      <c r="BM160" s="24">
        <f t="shared" si="219"/>
        <v>20.686137100805485</v>
      </c>
      <c r="BN160" s="24">
        <f t="shared" si="220"/>
        <v>3735.8170279948704</v>
      </c>
      <c r="BO160" s="24">
        <f t="shared" si="221"/>
        <v>29.301469083411416</v>
      </c>
      <c r="BP160" s="24">
        <f t="shared" si="237"/>
        <v>33.696689445923127</v>
      </c>
      <c r="BQ160" s="23">
        <f t="shared" si="238"/>
        <v>107.93790026002254</v>
      </c>
      <c r="BR160" s="23">
        <f t="shared" si="224"/>
        <v>2.2895789261035246</v>
      </c>
      <c r="BS160" s="6">
        <f t="shared" si="225"/>
        <v>260.14033143035419</v>
      </c>
      <c r="BT160" s="23">
        <f t="shared" si="226"/>
        <v>265.44931778607571</v>
      </c>
      <c r="BU160" s="22">
        <f t="shared" si="227"/>
        <v>338.58331350264763</v>
      </c>
      <c r="BV160" s="22">
        <f t="shared" si="228"/>
        <v>16.123014928697508</v>
      </c>
      <c r="BW160" s="23">
        <f t="shared" si="229"/>
        <v>2.2852572774550383E-3</v>
      </c>
      <c r="BX160" s="331"/>
      <c r="BY160" s="451"/>
      <c r="BZ160" s="451"/>
      <c r="CA160" s="362"/>
      <c r="CB160" s="31">
        <v>50</v>
      </c>
    </row>
    <row r="161" spans="3:80" ht="15.75" x14ac:dyDescent="0.3">
      <c r="C161" s="22">
        <v>6</v>
      </c>
      <c r="D161" s="379"/>
      <c r="E161" s="379"/>
      <c r="F161" s="19" t="s">
        <v>128</v>
      </c>
      <c r="G161" s="255">
        <v>0.85416666666666663</v>
      </c>
      <c r="H161" s="54">
        <v>0.85416666666666663</v>
      </c>
      <c r="I161" s="13">
        <v>-8.5394839999999999</v>
      </c>
      <c r="J161" s="13">
        <v>115.523931</v>
      </c>
      <c r="K161" s="13">
        <f t="shared" si="207"/>
        <v>-0.14904211222137545</v>
      </c>
      <c r="L161" s="13">
        <f t="shared" si="207"/>
        <v>2.0162729607967456</v>
      </c>
      <c r="M161" s="13">
        <v>3443</v>
      </c>
      <c r="N161" s="71">
        <f t="shared" si="208"/>
        <v>0.3141853559140893</v>
      </c>
      <c r="O161" s="422"/>
      <c r="P161" s="422"/>
      <c r="Q161" s="426"/>
      <c r="R161" s="23">
        <f t="shared" si="239"/>
        <v>3.3333333333327886E-2</v>
      </c>
      <c r="S161" s="358"/>
      <c r="T161" s="23">
        <f t="shared" si="240"/>
        <v>9.4255606774242189</v>
      </c>
      <c r="U161" s="422"/>
      <c r="V161" s="22">
        <f t="shared" si="209"/>
        <v>4.8485084124670177</v>
      </c>
      <c r="W161" s="130">
        <f t="shared" si="241"/>
        <v>-3.2142519669447114E-5</v>
      </c>
      <c r="X161" s="13">
        <f t="shared" si="242"/>
        <v>8.6498517728905711E-5</v>
      </c>
      <c r="Y161" s="13">
        <f t="shared" si="243"/>
        <v>1.9265795009752451</v>
      </c>
      <c r="Z161" s="13">
        <f t="shared" si="244"/>
        <v>110.38487430230181</v>
      </c>
      <c r="AA161" s="13">
        <f t="shared" si="245"/>
        <v>249.6151256976982</v>
      </c>
      <c r="AB161" s="13">
        <v>100</v>
      </c>
      <c r="AC161" s="13">
        <v>13</v>
      </c>
      <c r="AD161" s="13">
        <f t="shared" si="230"/>
        <v>4</v>
      </c>
      <c r="AE161" s="16">
        <f t="shared" si="231"/>
        <v>149.6151256976982</v>
      </c>
      <c r="AF161" s="23">
        <f t="shared" si="210"/>
        <v>0.18409519115543677</v>
      </c>
      <c r="AG161" s="382"/>
      <c r="AH161" s="385"/>
      <c r="AI161" s="388"/>
      <c r="AJ161" s="22">
        <f t="shared" si="211"/>
        <v>1.525711735608825</v>
      </c>
      <c r="AK161" s="22">
        <f t="shared" si="232"/>
        <v>0.33</v>
      </c>
      <c r="AL161" s="23">
        <f t="shared" si="212"/>
        <v>18.610006994007279</v>
      </c>
      <c r="AM161" s="23">
        <f t="shared" si="233"/>
        <v>9.369857003271342</v>
      </c>
      <c r="AN161" s="23">
        <f t="shared" si="213"/>
        <v>8.5423991201929965</v>
      </c>
      <c r="AO161" s="23">
        <f t="shared" si="234"/>
        <v>4.394210107427277</v>
      </c>
      <c r="AP161" s="23">
        <f t="shared" si="235"/>
        <v>0.16684573499427333</v>
      </c>
      <c r="AQ161" s="24">
        <f t="shared" si="214"/>
        <v>3.6779521946170901E-2</v>
      </c>
      <c r="AR161" s="22">
        <f t="shared" si="215"/>
        <v>261533176.8231149</v>
      </c>
      <c r="AS161" s="22">
        <f t="shared" si="236"/>
        <v>1.8210668255392972E-3</v>
      </c>
      <c r="AT161" s="23">
        <f t="shared" si="216"/>
        <v>589.11694191113884</v>
      </c>
      <c r="AU161" s="22">
        <f t="shared" si="217"/>
        <v>21815.888539532152</v>
      </c>
      <c r="AV161" s="443"/>
      <c r="AW161" s="445"/>
      <c r="AX161" s="388"/>
      <c r="AY161" s="339"/>
      <c r="AZ161" s="339"/>
      <c r="BA161" s="331"/>
      <c r="BB161" s="402"/>
      <c r="BC161" s="385"/>
      <c r="BD161" s="445"/>
      <c r="BE161" s="445"/>
      <c r="BF161" s="445"/>
      <c r="BG161" s="445"/>
      <c r="BH161" s="447"/>
      <c r="BI161" s="385"/>
      <c r="BJ161" s="385"/>
      <c r="BK161" s="385"/>
      <c r="BL161" s="23">
        <f t="shared" si="218"/>
        <v>-2.1345415016111879E-2</v>
      </c>
      <c r="BM161" s="24">
        <f t="shared" si="219"/>
        <v>1050.7813231406681</v>
      </c>
      <c r="BN161" s="24">
        <f t="shared" si="220"/>
        <v>7030.2986554489044</v>
      </c>
      <c r="BO161" s="24">
        <f t="shared" si="221"/>
        <v>54.118353597296647</v>
      </c>
      <c r="BP161" s="24">
        <f t="shared" si="237"/>
        <v>62.236106636891144</v>
      </c>
      <c r="BQ161" s="23">
        <f t="shared" si="238"/>
        <v>273.47852883074893</v>
      </c>
      <c r="BR161" s="23">
        <f t="shared" si="224"/>
        <v>3.1408681658884148</v>
      </c>
      <c r="BS161" s="6">
        <f t="shared" si="225"/>
        <v>659.10857036994059</v>
      </c>
      <c r="BT161" s="23">
        <f t="shared" si="226"/>
        <v>672.55976568361291</v>
      </c>
      <c r="BU161" s="22">
        <f t="shared" si="227"/>
        <v>857.85684398420017</v>
      </c>
      <c r="BV161" s="22">
        <f t="shared" si="228"/>
        <v>40.85032590400953</v>
      </c>
      <c r="BW161" s="23">
        <f t="shared" si="229"/>
        <v>5.6540403799021713E-3</v>
      </c>
      <c r="BX161" s="331"/>
      <c r="BY161" s="360">
        <f>(SUM(BW161:BW165))*1000</f>
        <v>21.024524946162543</v>
      </c>
      <c r="BZ161" s="365">
        <v>30</v>
      </c>
      <c r="CA161" s="360">
        <f t="shared" ref="CA161" si="246">AVERAGE(AN161:AN165)</f>
        <v>6.7927523414142899</v>
      </c>
      <c r="CB161" s="31">
        <v>50</v>
      </c>
    </row>
    <row r="162" spans="3:80" ht="15.75" x14ac:dyDescent="0.3">
      <c r="C162" s="22">
        <v>7</v>
      </c>
      <c r="D162" s="379"/>
      <c r="E162" s="379"/>
      <c r="F162" s="19" t="s">
        <v>128</v>
      </c>
      <c r="G162" s="256"/>
      <c r="H162" s="54">
        <v>0.85625000000000007</v>
      </c>
      <c r="I162" s="13">
        <v>-8.5415379999999992</v>
      </c>
      <c r="J162" s="13">
        <v>115.529476</v>
      </c>
      <c r="K162" s="13">
        <f t="shared" si="207"/>
        <v>-0.14907796128421141</v>
      </c>
      <c r="L162" s="13">
        <f t="shared" si="207"/>
        <v>2.0163697393037685</v>
      </c>
      <c r="M162" s="13">
        <v>3443</v>
      </c>
      <c r="N162" s="71">
        <f t="shared" si="208"/>
        <v>0.35187169460233098</v>
      </c>
      <c r="O162" s="420">
        <f t="shared" ref="O162" si="247">SUM(N162:N166)</f>
        <v>1.8716377445158701</v>
      </c>
      <c r="P162" s="423">
        <v>1.75</v>
      </c>
      <c r="Q162" s="424">
        <f t="shared" ref="Q162" si="248">ABS((O162-P162)/O162)*100%</f>
        <v>6.4990004007070112E-2</v>
      </c>
      <c r="R162" s="23">
        <f t="shared" si="239"/>
        <v>5.0000000000002487E-2</v>
      </c>
      <c r="S162" s="357">
        <f>+SUM(R162:R166)</f>
        <v>0.25000000000001776</v>
      </c>
      <c r="T162" s="23">
        <f t="shared" si="240"/>
        <v>7.0374338920462698</v>
      </c>
      <c r="U162" s="420">
        <f t="shared" ref="U162" si="249">AVERAGE(T162:T166)</f>
        <v>7.4865509780629749</v>
      </c>
      <c r="V162" s="22">
        <f t="shared" si="209"/>
        <v>3.620055994068601</v>
      </c>
      <c r="W162" s="130">
        <f t="shared" si="241"/>
        <v>-3.6255393987902014E-5</v>
      </c>
      <c r="X162" s="13">
        <f t="shared" si="242"/>
        <v>9.6778507022943216E-5</v>
      </c>
      <c r="Y162" s="13">
        <f t="shared" si="243"/>
        <v>1.9292358860091356</v>
      </c>
      <c r="Z162" s="13">
        <f t="shared" si="244"/>
        <v>110.53707395350546</v>
      </c>
      <c r="AA162" s="13">
        <f t="shared" si="245"/>
        <v>249.46292604649454</v>
      </c>
      <c r="AB162" s="13">
        <v>100</v>
      </c>
      <c r="AC162" s="13">
        <v>13</v>
      </c>
      <c r="AD162" s="13">
        <f t="shared" si="230"/>
        <v>4</v>
      </c>
      <c r="AE162" s="16">
        <f t="shared" si="231"/>
        <v>149.46292604649454</v>
      </c>
      <c r="AF162" s="23">
        <f t="shared" si="210"/>
        <v>0.13745153014643291</v>
      </c>
      <c r="AG162" s="382"/>
      <c r="AH162" s="385"/>
      <c r="AI162" s="388"/>
      <c r="AJ162" s="22">
        <f t="shared" si="211"/>
        <v>1.8722714300388874</v>
      </c>
      <c r="AK162" s="22">
        <f t="shared" si="232"/>
        <v>0.33</v>
      </c>
      <c r="AL162" s="23">
        <f t="shared" si="212"/>
        <v>18.610006994007279</v>
      </c>
      <c r="AM162" s="23">
        <f t="shared" si="233"/>
        <v>11.498184854542222</v>
      </c>
      <c r="AN162" s="23">
        <f t="shared" si="213"/>
        <v>6.2282567341225841</v>
      </c>
      <c r="AO162" s="23">
        <f t="shared" si="234"/>
        <v>3.2038152640326572</v>
      </c>
      <c r="AP162" s="23">
        <f t="shared" si="235"/>
        <v>0.12164709912479921</v>
      </c>
      <c r="AQ162" s="24">
        <f t="shared" si="214"/>
        <v>5.6496016401273393E-2</v>
      </c>
      <c r="AR162" s="22">
        <f t="shared" si="215"/>
        <v>190683641.30804473</v>
      </c>
      <c r="AS162" s="22">
        <f t="shared" si="236"/>
        <v>1.9015100515288772E-3</v>
      </c>
      <c r="AT162" s="23">
        <f t="shared" si="216"/>
        <v>326.9998473753821</v>
      </c>
      <c r="AU162" s="22">
        <f t="shared" si="217"/>
        <v>12109.297348745078</v>
      </c>
      <c r="AV162" s="443"/>
      <c r="AW162" s="445"/>
      <c r="AX162" s="388"/>
      <c r="AY162" s="339"/>
      <c r="AZ162" s="339"/>
      <c r="BA162" s="331"/>
      <c r="BB162" s="402"/>
      <c r="BC162" s="385"/>
      <c r="BD162" s="445"/>
      <c r="BE162" s="445"/>
      <c r="BF162" s="445"/>
      <c r="BG162" s="445"/>
      <c r="BH162" s="447"/>
      <c r="BI162" s="385"/>
      <c r="BJ162" s="385"/>
      <c r="BK162" s="385"/>
      <c r="BL162" s="23">
        <f t="shared" si="218"/>
        <v>-9.007309696534209E-4</v>
      </c>
      <c r="BM162" s="24">
        <f t="shared" si="219"/>
        <v>20.741318592277342</v>
      </c>
      <c r="BN162" s="24">
        <f t="shared" si="220"/>
        <v>3737.2062777775886</v>
      </c>
      <c r="BO162" s="24">
        <f t="shared" si="221"/>
        <v>29.311755976178201</v>
      </c>
      <c r="BP162" s="24">
        <f t="shared" si="237"/>
        <v>33.708519372604933</v>
      </c>
      <c r="BQ162" s="23">
        <f t="shared" si="238"/>
        <v>107.99586889389221</v>
      </c>
      <c r="BR162" s="23">
        <f t="shared" si="224"/>
        <v>2.2900046029157917</v>
      </c>
      <c r="BS162" s="6">
        <f t="shared" si="225"/>
        <v>260.28004120413237</v>
      </c>
      <c r="BT162" s="23">
        <f t="shared" si="226"/>
        <v>265.59187877972693</v>
      </c>
      <c r="BU162" s="22">
        <f t="shared" si="227"/>
        <v>338.7651515047537</v>
      </c>
      <c r="BV162" s="22">
        <f t="shared" si="228"/>
        <v>16.131673881178749</v>
      </c>
      <c r="BW162" s="23">
        <f t="shared" si="229"/>
        <v>3.4296875747621635E-3</v>
      </c>
      <c r="BX162" s="331"/>
      <c r="BY162" s="361"/>
      <c r="BZ162" s="366"/>
      <c r="CA162" s="361"/>
      <c r="CB162" s="31">
        <v>50</v>
      </c>
    </row>
    <row r="163" spans="3:80" ht="15.75" x14ac:dyDescent="0.3">
      <c r="C163" s="22">
        <v>8</v>
      </c>
      <c r="D163" s="379"/>
      <c r="E163" s="379"/>
      <c r="F163" s="19" t="s">
        <v>128</v>
      </c>
      <c r="G163" s="256"/>
      <c r="H163" s="54">
        <v>0.85833333333333395</v>
      </c>
      <c r="I163" s="13">
        <v>-8.5432729999999992</v>
      </c>
      <c r="J163" s="13">
        <v>115.534212</v>
      </c>
      <c r="K163" s="13">
        <f t="shared" si="207"/>
        <v>-0.14910824274673351</v>
      </c>
      <c r="L163" s="13">
        <f t="shared" si="207"/>
        <v>2.0164523980971429</v>
      </c>
      <c r="M163" s="13">
        <v>3443</v>
      </c>
      <c r="N163" s="71">
        <f t="shared" si="208"/>
        <v>0.30012786596049057</v>
      </c>
      <c r="O163" s="421"/>
      <c r="P163" s="421"/>
      <c r="Q163" s="425"/>
      <c r="R163" s="23">
        <f t="shared" si="239"/>
        <v>5.0000000000013145E-2</v>
      </c>
      <c r="S163" s="331"/>
      <c r="T163" s="23">
        <f t="shared" si="240"/>
        <v>6.0025573192082335</v>
      </c>
      <c r="U163" s="421"/>
      <c r="V163" s="22">
        <f t="shared" si="209"/>
        <v>3.0877154850007154</v>
      </c>
      <c r="W163" s="130">
        <f t="shared" si="241"/>
        <v>-3.0624840625968923E-5</v>
      </c>
      <c r="X163" s="13">
        <f t="shared" si="242"/>
        <v>8.2658793374434936E-5</v>
      </c>
      <c r="Y163" s="13">
        <f t="shared" si="243"/>
        <v>1.9256133890359812</v>
      </c>
      <c r="Z163" s="13">
        <f t="shared" si="244"/>
        <v>110.32952016564479</v>
      </c>
      <c r="AA163" s="13">
        <f t="shared" si="245"/>
        <v>249.67047983435521</v>
      </c>
      <c r="AB163" s="13">
        <v>100</v>
      </c>
      <c r="AC163" s="13">
        <v>13</v>
      </c>
      <c r="AD163" s="13">
        <f t="shared" si="230"/>
        <v>4</v>
      </c>
      <c r="AE163" s="16">
        <f t="shared" si="231"/>
        <v>149.67047983435521</v>
      </c>
      <c r="AF163" s="23">
        <f t="shared" si="210"/>
        <v>0.11723885452754707</v>
      </c>
      <c r="AG163" s="382"/>
      <c r="AH163" s="385"/>
      <c r="AI163" s="388"/>
      <c r="AJ163" s="22">
        <f t="shared" si="211"/>
        <v>2.0067748297212722</v>
      </c>
      <c r="AK163" s="22">
        <f t="shared" si="232"/>
        <v>0.33</v>
      </c>
      <c r="AL163" s="23">
        <f t="shared" si="212"/>
        <v>18.610006994007279</v>
      </c>
      <c r="AM163" s="23">
        <f t="shared" si="233"/>
        <v>12.324210893448512</v>
      </c>
      <c r="AN163" s="23">
        <f t="shared" si="213"/>
        <v>5.2627894961888817</v>
      </c>
      <c r="AO163" s="23">
        <f t="shared" si="234"/>
        <v>2.7071789168395606</v>
      </c>
      <c r="AP163" s="23">
        <f t="shared" si="235"/>
        <v>0.10279009084650885</v>
      </c>
      <c r="AQ163" s="24">
        <f t="shared" si="214"/>
        <v>5.7028286268685481E-2</v>
      </c>
      <c r="AR163" s="22">
        <f t="shared" si="215"/>
        <v>161124999.72472629</v>
      </c>
      <c r="AS163" s="22">
        <f t="shared" si="236"/>
        <v>1.9465921740665785E-3</v>
      </c>
      <c r="AT163" s="23">
        <f t="shared" si="216"/>
        <v>239.01374871860307</v>
      </c>
      <c r="AU163" s="22">
        <f t="shared" si="217"/>
        <v>8851.0394634810964</v>
      </c>
      <c r="AV163" s="443"/>
      <c r="AW163" s="445"/>
      <c r="AX163" s="388"/>
      <c r="AY163" s="339"/>
      <c r="AZ163" s="339"/>
      <c r="BA163" s="331"/>
      <c r="BB163" s="402"/>
      <c r="BC163" s="385"/>
      <c r="BD163" s="445"/>
      <c r="BE163" s="445"/>
      <c r="BF163" s="445"/>
      <c r="BG163" s="445"/>
      <c r="BH163" s="447"/>
      <c r="BI163" s="385"/>
      <c r="BJ163" s="385"/>
      <c r="BK163" s="385"/>
      <c r="BL163" s="23">
        <f t="shared" si="218"/>
        <v>-6.0121815421954327E-5</v>
      </c>
      <c r="BM163" s="24">
        <f t="shared" si="219"/>
        <v>1.5346865446081508</v>
      </c>
      <c r="BN163" s="24">
        <f t="shared" si="220"/>
        <v>2668.3700388791431</v>
      </c>
      <c r="BO163" s="24">
        <f t="shared" si="221"/>
        <v>21.347930369525802</v>
      </c>
      <c r="BP163" s="24">
        <f t="shared" si="237"/>
        <v>24.550119924954672</v>
      </c>
      <c r="BQ163" s="23">
        <f t="shared" si="238"/>
        <v>66.461567066720107</v>
      </c>
      <c r="BR163" s="23">
        <f t="shared" si="224"/>
        <v>1.9350217380124164</v>
      </c>
      <c r="BS163" s="6">
        <f t="shared" si="225"/>
        <v>160.1785289733009</v>
      </c>
      <c r="BT163" s="23">
        <f t="shared" si="226"/>
        <v>163.44747854418461</v>
      </c>
      <c r="BU163" s="22">
        <f t="shared" si="227"/>
        <v>208.47892671452118</v>
      </c>
      <c r="BV163" s="22">
        <f t="shared" si="228"/>
        <v>9.9275679387867228</v>
      </c>
      <c r="BW163" s="23">
        <f t="shared" si="229"/>
        <v>2.130543907728591E-3</v>
      </c>
      <c r="BX163" s="331"/>
      <c r="BY163" s="361"/>
      <c r="BZ163" s="366"/>
      <c r="CA163" s="361"/>
      <c r="CB163" s="31">
        <v>50</v>
      </c>
    </row>
    <row r="164" spans="3:80" ht="15.75" x14ac:dyDescent="0.3">
      <c r="C164" s="22">
        <v>9</v>
      </c>
      <c r="D164" s="379"/>
      <c r="E164" s="379"/>
      <c r="F164" s="19" t="s">
        <v>128</v>
      </c>
      <c r="G164" s="256"/>
      <c r="H164" s="54">
        <v>0.86041666666666705</v>
      </c>
      <c r="I164" s="13">
        <v>-8.5452429999999993</v>
      </c>
      <c r="J164" s="13">
        <v>115.53966699999999</v>
      </c>
      <c r="K164" s="13">
        <f t="shared" si="207"/>
        <v>-0.1491426257329978</v>
      </c>
      <c r="L164" s="13">
        <f t="shared" si="207"/>
        <v>2.0165476058078391</v>
      </c>
      <c r="M164" s="13">
        <v>3443</v>
      </c>
      <c r="N164" s="71">
        <f t="shared" si="208"/>
        <v>0.3451014180422371</v>
      </c>
      <c r="O164" s="421"/>
      <c r="P164" s="421"/>
      <c r="Q164" s="425"/>
      <c r="R164" s="23">
        <f t="shared" si="239"/>
        <v>4.9999999999994493E-2</v>
      </c>
      <c r="S164" s="331"/>
      <c r="T164" s="23">
        <f t="shared" si="240"/>
        <v>6.9020283608455024</v>
      </c>
      <c r="U164" s="421"/>
      <c r="V164" s="22">
        <f t="shared" si="209"/>
        <v>3.5504033888189261</v>
      </c>
      <c r="W164" s="130">
        <f t="shared" si="241"/>
        <v>-3.4773043605323908E-5</v>
      </c>
      <c r="X164" s="13">
        <f t="shared" si="242"/>
        <v>9.5207710696154635E-5</v>
      </c>
      <c r="Y164" s="13">
        <f t="shared" si="243"/>
        <v>1.9209771990603961</v>
      </c>
      <c r="Z164" s="13">
        <f t="shared" si="244"/>
        <v>110.0638860470229</v>
      </c>
      <c r="AA164" s="13">
        <f t="shared" si="245"/>
        <v>249.93611395297711</v>
      </c>
      <c r="AB164" s="13">
        <v>100</v>
      </c>
      <c r="AC164" s="13">
        <v>13</v>
      </c>
      <c r="AD164" s="13">
        <f t="shared" si="230"/>
        <v>4</v>
      </c>
      <c r="AE164" s="16">
        <f t="shared" si="231"/>
        <v>149.93611395297711</v>
      </c>
      <c r="AF164" s="23">
        <f t="shared" si="210"/>
        <v>0.13480685912865309</v>
      </c>
      <c r="AG164" s="382"/>
      <c r="AH164" s="385"/>
      <c r="AI164" s="388"/>
      <c r="AJ164" s="22">
        <f t="shared" si="211"/>
        <v>1.8904091057136463</v>
      </c>
      <c r="AK164" s="22">
        <f t="shared" si="232"/>
        <v>0.33</v>
      </c>
      <c r="AL164" s="23">
        <f t="shared" si="212"/>
        <v>18.610006994007279</v>
      </c>
      <c r="AM164" s="23">
        <f t="shared" si="233"/>
        <v>11.60957380402578</v>
      </c>
      <c r="AN164" s="23">
        <f t="shared" si="213"/>
        <v>6.1007322843183527</v>
      </c>
      <c r="AO164" s="23">
        <f t="shared" si="234"/>
        <v>3.1382166870533603</v>
      </c>
      <c r="AP164" s="23">
        <f t="shared" si="235"/>
        <v>0.11915635732522305</v>
      </c>
      <c r="AQ164" s="24">
        <f t="shared" si="214"/>
        <v>5.656721225569989E-2</v>
      </c>
      <c r="AR164" s="22">
        <f t="shared" si="215"/>
        <v>186779366.40697137</v>
      </c>
      <c r="AS164" s="22">
        <f t="shared" si="236"/>
        <v>1.9069623021866072E-3</v>
      </c>
      <c r="AT164" s="23">
        <f t="shared" si="216"/>
        <v>314.64581134435196</v>
      </c>
      <c r="AU164" s="22">
        <f t="shared" si="217"/>
        <v>11651.808768987054</v>
      </c>
      <c r="AV164" s="443"/>
      <c r="AW164" s="445"/>
      <c r="AX164" s="388"/>
      <c r="AY164" s="339"/>
      <c r="AZ164" s="339"/>
      <c r="BA164" s="331"/>
      <c r="BB164" s="402"/>
      <c r="BC164" s="385"/>
      <c r="BD164" s="445"/>
      <c r="BE164" s="445"/>
      <c r="BF164" s="445"/>
      <c r="BG164" s="445"/>
      <c r="BH164" s="447"/>
      <c r="BI164" s="385"/>
      <c r="BJ164" s="385"/>
      <c r="BK164" s="385"/>
      <c r="BL164" s="23">
        <f t="shared" si="218"/>
        <v>-6.7704735793630946E-4</v>
      </c>
      <c r="BM164" s="24">
        <f t="shared" si="219"/>
        <v>15.377785615551819</v>
      </c>
      <c r="BN164" s="24">
        <f t="shared" si="220"/>
        <v>3585.7333634069405</v>
      </c>
      <c r="BO164" s="24">
        <f t="shared" si="221"/>
        <v>28.189498070722955</v>
      </c>
      <c r="BP164" s="24">
        <f t="shared" si="237"/>
        <v>32.417922781331399</v>
      </c>
      <c r="BQ164" s="23">
        <f t="shared" si="238"/>
        <v>101.73446623198147</v>
      </c>
      <c r="BR164" s="23">
        <f t="shared" si="224"/>
        <v>2.2431164302693354</v>
      </c>
      <c r="BS164" s="6">
        <f t="shared" si="225"/>
        <v>245.18948117133135</v>
      </c>
      <c r="BT164" s="23">
        <f t="shared" si="226"/>
        <v>250.19334813401159</v>
      </c>
      <c r="BU164" s="22">
        <f t="shared" si="227"/>
        <v>319.12416853828006</v>
      </c>
      <c r="BV164" s="22">
        <f t="shared" si="228"/>
        <v>15.196388978013337</v>
      </c>
      <c r="BW164" s="23">
        <f t="shared" si="229"/>
        <v>3.2349120523110508E-3</v>
      </c>
      <c r="BX164" s="331"/>
      <c r="BY164" s="361"/>
      <c r="BZ164" s="366"/>
      <c r="CA164" s="361"/>
      <c r="CB164" s="31">
        <v>55</v>
      </c>
    </row>
    <row r="165" spans="3:80" ht="15.75" x14ac:dyDescent="0.3">
      <c r="C165" s="22">
        <v>10</v>
      </c>
      <c r="D165" s="379"/>
      <c r="E165" s="379"/>
      <c r="F165" s="19" t="s">
        <v>128</v>
      </c>
      <c r="G165" s="257"/>
      <c r="H165" s="54">
        <v>0.86250000000000004</v>
      </c>
      <c r="I165" s="13">
        <v>-8.5478179999999995</v>
      </c>
      <c r="J165" s="13">
        <v>115.54651200000001</v>
      </c>
      <c r="K165" s="13">
        <f t="shared" si="207"/>
        <v>-0.14918756796123664</v>
      </c>
      <c r="L165" s="13">
        <f t="shared" si="207"/>
        <v>2.0166670735951384</v>
      </c>
      <c r="M165" s="13">
        <v>3443</v>
      </c>
      <c r="N165" s="71">
        <f t="shared" si="208"/>
        <v>0.43519760933793467</v>
      </c>
      <c r="O165" s="421"/>
      <c r="P165" s="421"/>
      <c r="Q165" s="425"/>
      <c r="R165" s="23">
        <f t="shared" si="239"/>
        <v>4.9999999999991829E-2</v>
      </c>
      <c r="S165" s="331"/>
      <c r="T165" s="23">
        <f t="shared" si="240"/>
        <v>8.7039521867601159</v>
      </c>
      <c r="U165" s="421"/>
      <c r="V165" s="22">
        <f t="shared" si="209"/>
        <v>4.4773130048694032</v>
      </c>
      <c r="W165" s="130">
        <f t="shared" si="241"/>
        <v>-4.5452347116828666E-5</v>
      </c>
      <c r="X165" s="13">
        <f t="shared" si="242"/>
        <v>1.1946778729932106E-4</v>
      </c>
      <c r="Y165" s="13">
        <f t="shared" si="243"/>
        <v>1.9343425474201139</v>
      </c>
      <c r="Z165" s="13">
        <f t="shared" si="244"/>
        <v>110.82966409975684</v>
      </c>
      <c r="AA165" s="13">
        <f t="shared" si="245"/>
        <v>249.17033590024317</v>
      </c>
      <c r="AB165" s="13">
        <v>100</v>
      </c>
      <c r="AC165" s="13">
        <v>13</v>
      </c>
      <c r="AD165" s="13">
        <f t="shared" si="230"/>
        <v>4</v>
      </c>
      <c r="AE165" s="16">
        <f t="shared" si="231"/>
        <v>149.17033590024317</v>
      </c>
      <c r="AF165" s="23">
        <f t="shared" si="210"/>
        <v>0.17000110619066866</v>
      </c>
      <c r="AG165" s="382"/>
      <c r="AH165" s="385"/>
      <c r="AI165" s="388"/>
      <c r="AJ165" s="22">
        <f t="shared" si="211"/>
        <v>1.6357515442643344</v>
      </c>
      <c r="AK165" s="22">
        <f t="shared" si="232"/>
        <v>0.33</v>
      </c>
      <c r="AL165" s="23">
        <f t="shared" si="212"/>
        <v>18.610006994007279</v>
      </c>
      <c r="AM165" s="23">
        <f t="shared" si="233"/>
        <v>10.045644734141765</v>
      </c>
      <c r="AN165" s="23">
        <f t="shared" si="213"/>
        <v>7.8295840722486316</v>
      </c>
      <c r="AO165" s="23">
        <f t="shared" si="234"/>
        <v>4.027538046764696</v>
      </c>
      <c r="AP165" s="23">
        <f t="shared" si="235"/>
        <v>0.15292339901864302</v>
      </c>
      <c r="AQ165" s="24">
        <f t="shared" si="214"/>
        <v>5.5583745614337252E-2</v>
      </c>
      <c r="AR165" s="22">
        <f t="shared" si="215"/>
        <v>239709707.63686144</v>
      </c>
      <c r="AS165" s="22">
        <f t="shared" si="236"/>
        <v>1.8427342467526749E-3</v>
      </c>
      <c r="AT165" s="23">
        <f t="shared" si="216"/>
        <v>500.79040899931971</v>
      </c>
      <c r="AU165" s="22">
        <f t="shared" si="217"/>
        <v>18545.023860549263</v>
      </c>
      <c r="AV165" s="443"/>
      <c r="AW165" s="445"/>
      <c r="AX165" s="388"/>
      <c r="AY165" s="339"/>
      <c r="AZ165" s="339"/>
      <c r="BA165" s="331"/>
      <c r="BB165" s="402"/>
      <c r="BC165" s="385"/>
      <c r="BD165" s="445"/>
      <c r="BE165" s="445"/>
      <c r="BF165" s="445"/>
      <c r="BG165" s="445"/>
      <c r="BH165" s="447"/>
      <c r="BI165" s="385"/>
      <c r="BJ165" s="385"/>
      <c r="BK165" s="385"/>
      <c r="BL165" s="23">
        <f t="shared" si="218"/>
        <v>-1.0772231828309607E-2</v>
      </c>
      <c r="BM165" s="24">
        <f t="shared" si="219"/>
        <v>395.48520250481795</v>
      </c>
      <c r="BN165" s="24">
        <f t="shared" si="220"/>
        <v>5905.9727775769452</v>
      </c>
      <c r="BO165" s="24">
        <f t="shared" si="221"/>
        <v>45.436345206264249</v>
      </c>
      <c r="BP165" s="24">
        <f t="shared" si="237"/>
        <v>52.251796987203889</v>
      </c>
      <c r="BQ165" s="23">
        <f t="shared" si="238"/>
        <v>210.44610037778858</v>
      </c>
      <c r="BR165" s="23">
        <f t="shared" si="224"/>
        <v>2.8787804244057744</v>
      </c>
      <c r="BS165" s="6">
        <f t="shared" si="225"/>
        <v>507.19458289091676</v>
      </c>
      <c r="BT165" s="23">
        <f t="shared" si="226"/>
        <v>517.54549274583349</v>
      </c>
      <c r="BU165" s="22">
        <f t="shared" si="227"/>
        <v>660.13455707376716</v>
      </c>
      <c r="BV165" s="22">
        <f t="shared" si="228"/>
        <v>31.434978908274623</v>
      </c>
      <c r="BW165" s="23">
        <f t="shared" si="229"/>
        <v>6.575341031458566E-3</v>
      </c>
      <c r="BX165" s="331"/>
      <c r="BY165" s="362"/>
      <c r="BZ165" s="451"/>
      <c r="CA165" s="362"/>
      <c r="CB165" s="31">
        <v>55</v>
      </c>
    </row>
    <row r="166" spans="3:80" ht="15.75" x14ac:dyDescent="0.3">
      <c r="C166" s="22">
        <v>11</v>
      </c>
      <c r="D166" s="379"/>
      <c r="E166" s="379"/>
      <c r="F166" s="19" t="s">
        <v>128</v>
      </c>
      <c r="G166" s="255">
        <v>0.86458333333333337</v>
      </c>
      <c r="H166" s="54">
        <v>0.86458333333333404</v>
      </c>
      <c r="I166" s="13">
        <v>-8.5504770000000008</v>
      </c>
      <c r="J166" s="13">
        <v>115.553399</v>
      </c>
      <c r="K166" s="13">
        <f t="shared" si="207"/>
        <v>-0.1492339762660472</v>
      </c>
      <c r="L166" s="13">
        <f t="shared" si="207"/>
        <v>2.0167872744207229</v>
      </c>
      <c r="M166" s="13">
        <v>3443</v>
      </c>
      <c r="N166" s="71">
        <f t="shared" si="208"/>
        <v>0.43933915657287675</v>
      </c>
      <c r="O166" s="422"/>
      <c r="P166" s="422"/>
      <c r="Q166" s="426"/>
      <c r="R166" s="23">
        <f t="shared" si="239"/>
        <v>5.000000000001581E-2</v>
      </c>
      <c r="S166" s="358"/>
      <c r="T166" s="23">
        <f t="shared" si="240"/>
        <v>8.7867831314547562</v>
      </c>
      <c r="U166" s="422"/>
      <c r="V166" s="22">
        <f t="shared" si="209"/>
        <v>4.5199212428203266</v>
      </c>
      <c r="W166" s="130">
        <f t="shared" si="241"/>
        <v>-4.6935388426217416E-5</v>
      </c>
      <c r="X166" s="13">
        <f t="shared" si="242"/>
        <v>1.202008255845044E-4</v>
      </c>
      <c r="Y166" s="13">
        <f t="shared" si="243"/>
        <v>1.9430644159979327</v>
      </c>
      <c r="Z166" s="13">
        <f t="shared" si="244"/>
        <v>111.32939035873362</v>
      </c>
      <c r="AA166" s="13">
        <f t="shared" si="245"/>
        <v>248.67060964126637</v>
      </c>
      <c r="AB166" s="13">
        <v>100</v>
      </c>
      <c r="AC166" s="13">
        <v>13</v>
      </c>
      <c r="AD166" s="13">
        <f t="shared" si="230"/>
        <v>4</v>
      </c>
      <c r="AE166" s="16">
        <f t="shared" si="231"/>
        <v>148.67060964126637</v>
      </c>
      <c r="AF166" s="23">
        <f t="shared" si="210"/>
        <v>0.17161891749325447</v>
      </c>
      <c r="AG166" s="382"/>
      <c r="AH166" s="385"/>
      <c r="AI166" s="388"/>
      <c r="AJ166" s="22">
        <f t="shared" si="211"/>
        <v>1.6233545923129034</v>
      </c>
      <c r="AK166" s="22">
        <f t="shared" si="232"/>
        <v>0.33</v>
      </c>
      <c r="AL166" s="23">
        <f t="shared" si="212"/>
        <v>18.610006994007279</v>
      </c>
      <c r="AM166" s="23">
        <f t="shared" si="233"/>
        <v>9.9695113045100001</v>
      </c>
      <c r="AN166" s="23">
        <f t="shared" si="213"/>
        <v>7.9107837938615964</v>
      </c>
      <c r="AO166" s="23">
        <f t="shared" si="234"/>
        <v>4.0693071835624046</v>
      </c>
      <c r="AP166" s="23">
        <f t="shared" si="235"/>
        <v>0.15450935011308675</v>
      </c>
      <c r="AQ166" s="24">
        <f t="shared" si="214"/>
        <v>5.5536741746599581E-2</v>
      </c>
      <c r="AR166" s="22">
        <f t="shared" si="215"/>
        <v>242195709.61965236</v>
      </c>
      <c r="AS166" s="22">
        <f t="shared" si="236"/>
        <v>1.8401484529598545E-3</v>
      </c>
      <c r="AT166" s="23">
        <f t="shared" si="216"/>
        <v>510.51417256209413</v>
      </c>
      <c r="AU166" s="22">
        <f t="shared" si="217"/>
        <v>18905.109485284604</v>
      </c>
      <c r="AV166" s="443"/>
      <c r="AW166" s="445"/>
      <c r="AX166" s="388"/>
      <c r="AY166" s="339"/>
      <c r="AZ166" s="339"/>
      <c r="BA166" s="331"/>
      <c r="BB166" s="402"/>
      <c r="BC166" s="385"/>
      <c r="BD166" s="445"/>
      <c r="BE166" s="445"/>
      <c r="BF166" s="445"/>
      <c r="BG166" s="445"/>
      <c r="BH166" s="447"/>
      <c r="BI166" s="385"/>
      <c r="BJ166" s="385"/>
      <c r="BK166" s="385"/>
      <c r="BL166" s="23">
        <f t="shared" si="218"/>
        <v>-1.175531554851288E-2</v>
      </c>
      <c r="BM166" s="24">
        <f t="shared" si="219"/>
        <v>445.42073011709743</v>
      </c>
      <c r="BN166" s="24">
        <f t="shared" si="220"/>
        <v>6029.1083335066096</v>
      </c>
      <c r="BO166" s="24">
        <f t="shared" si="221"/>
        <v>46.369291845737109</v>
      </c>
      <c r="BP166" s="24">
        <f t="shared" si="237"/>
        <v>53.324685622597677</v>
      </c>
      <c r="BQ166" s="23">
        <f t="shared" si="238"/>
        <v>216.99452626524359</v>
      </c>
      <c r="BR166" s="23">
        <f t="shared" si="224"/>
        <v>2.908635927187222</v>
      </c>
      <c r="BS166" s="6">
        <f t="shared" si="225"/>
        <v>522.97689546699894</v>
      </c>
      <c r="BT166" s="23">
        <f t="shared" si="226"/>
        <v>533.64989333367237</v>
      </c>
      <c r="BU166" s="22">
        <f t="shared" si="227"/>
        <v>680.67588435417383</v>
      </c>
      <c r="BV166" s="22">
        <f t="shared" si="228"/>
        <v>32.41313735019876</v>
      </c>
      <c r="BW166" s="23">
        <f t="shared" si="229"/>
        <v>6.7742117278108737E-3</v>
      </c>
      <c r="BX166" s="331"/>
      <c r="BY166" s="360">
        <f t="shared" ref="BY166" si="250">(SUM(BW166:BW170))*1000</f>
        <v>22.234209439234615</v>
      </c>
      <c r="BZ166" s="365">
        <v>20</v>
      </c>
      <c r="CA166" s="360">
        <f t="shared" ref="CA166" si="251">AVERAGE(AN166:AN170)</f>
        <v>6.6748623186444176</v>
      </c>
      <c r="CB166" s="31">
        <v>50</v>
      </c>
    </row>
    <row r="167" spans="3:80" ht="15.75" x14ac:dyDescent="0.3">
      <c r="C167" s="22">
        <v>12</v>
      </c>
      <c r="D167" s="379"/>
      <c r="E167" s="379"/>
      <c r="F167" s="19" t="s">
        <v>128</v>
      </c>
      <c r="G167" s="256"/>
      <c r="H167" s="54">
        <v>0.86666666666666703</v>
      </c>
      <c r="I167" s="82">
        <v>-8.5520669999999992</v>
      </c>
      <c r="J167" s="13">
        <v>115.558166</v>
      </c>
      <c r="K167" s="13">
        <f t="shared" si="207"/>
        <v>-0.14926172700115389</v>
      </c>
      <c r="L167" s="13">
        <f t="shared" si="207"/>
        <v>2.0168704742661658</v>
      </c>
      <c r="M167" s="13">
        <v>3443</v>
      </c>
      <c r="N167" s="71">
        <f t="shared" si="208"/>
        <v>0.29895208911135479</v>
      </c>
      <c r="O167" s="420">
        <f t="shared" ref="O167" si="252">SUM(N167:N171)</f>
        <v>1.7486268342272913</v>
      </c>
      <c r="P167" s="423">
        <v>1.74</v>
      </c>
      <c r="Q167" s="424">
        <f t="shared" ref="Q167" si="253">ABS((O167-P167)/O167)*100%</f>
        <v>4.9334907016358471E-3</v>
      </c>
      <c r="R167" s="23">
        <f t="shared" si="239"/>
        <v>4.9999999999991829E-2</v>
      </c>
      <c r="S167" s="357">
        <f t="shared" ref="S167" si="254">+SUM(R167:R171)</f>
        <v>0.25000000000000711</v>
      </c>
      <c r="T167" s="23">
        <f t="shared" si="240"/>
        <v>5.979041782228073</v>
      </c>
      <c r="U167" s="420">
        <f t="shared" ref="U167" si="255">AVERAGE(T167:T171)</f>
        <v>6.9945073369090638</v>
      </c>
      <c r="V167" s="22">
        <f t="shared" si="209"/>
        <v>3.0756190927781204</v>
      </c>
      <c r="W167" s="130">
        <f t="shared" si="241"/>
        <v>-2.80660721620012E-5</v>
      </c>
      <c r="X167" s="13">
        <f t="shared" si="242"/>
        <v>8.3199845442916143E-5</v>
      </c>
      <c r="Y167" s="13">
        <f t="shared" si="243"/>
        <v>1.8961424533841136</v>
      </c>
      <c r="Z167" s="13">
        <f t="shared" si="244"/>
        <v>108.64095993449115</v>
      </c>
      <c r="AA167" s="13">
        <f t="shared" si="245"/>
        <v>251.35904006550885</v>
      </c>
      <c r="AB167" s="13">
        <v>100</v>
      </c>
      <c r="AC167" s="13">
        <v>13</v>
      </c>
      <c r="AD167" s="13">
        <f t="shared" si="230"/>
        <v>4</v>
      </c>
      <c r="AE167" s="16">
        <f t="shared" si="231"/>
        <v>151.35904006550885</v>
      </c>
      <c r="AF167" s="23">
        <f t="shared" si="210"/>
        <v>0.11677956118430284</v>
      </c>
      <c r="AG167" s="382"/>
      <c r="AH167" s="385"/>
      <c r="AI167" s="388"/>
      <c r="AJ167" s="22">
        <f t="shared" si="211"/>
        <v>2.009721019057459</v>
      </c>
      <c r="AK167" s="22">
        <f t="shared" si="232"/>
        <v>-3.999999999999998E-2</v>
      </c>
      <c r="AL167" s="23">
        <f t="shared" si="212"/>
        <v>18.610006994007279</v>
      </c>
      <c r="AM167" s="23">
        <f t="shared" si="233"/>
        <v>-1.4960368888265092</v>
      </c>
      <c r="AN167" s="23">
        <f t="shared" si="213"/>
        <v>6.0684904528885548</v>
      </c>
      <c r="AO167" s="23">
        <f t="shared" si="234"/>
        <v>3.1216314889658725</v>
      </c>
      <c r="AP167" s="23">
        <f t="shared" si="235"/>
        <v>0.11852662649822975</v>
      </c>
      <c r="AQ167" s="24">
        <f t="shared" si="214"/>
        <v>4.9263007239148886E-2</v>
      </c>
      <c r="AR167" s="22">
        <f t="shared" si="215"/>
        <v>185792253.94807237</v>
      </c>
      <c r="AS167" s="22">
        <f t="shared" si="236"/>
        <v>1.908362610968572E-3</v>
      </c>
      <c r="AT167" s="23">
        <f t="shared" si="216"/>
        <v>311.55746191176348</v>
      </c>
      <c r="AU167" s="22">
        <f t="shared" si="217"/>
        <v>11537.44253335664</v>
      </c>
      <c r="AV167" s="443"/>
      <c r="AW167" s="445"/>
      <c r="AX167" s="388"/>
      <c r="AY167" s="339"/>
      <c r="AZ167" s="339"/>
      <c r="BA167" s="331"/>
      <c r="BB167" s="402"/>
      <c r="BC167" s="385"/>
      <c r="BD167" s="445"/>
      <c r="BE167" s="445"/>
      <c r="BF167" s="445"/>
      <c r="BG167" s="445"/>
      <c r="BH167" s="447"/>
      <c r="BI167" s="385"/>
      <c r="BJ167" s="385"/>
      <c r="BK167" s="385"/>
      <c r="BL167" s="23">
        <f t="shared" si="218"/>
        <v>-6.2810180986668418E-4</v>
      </c>
      <c r="BM167" s="24">
        <f t="shared" si="219"/>
        <v>14.230569129478411</v>
      </c>
      <c r="BN167" s="24">
        <f t="shared" si="220"/>
        <v>3547.9329455728102</v>
      </c>
      <c r="BO167" s="24">
        <f t="shared" si="221"/>
        <v>27.909207542075166</v>
      </c>
      <c r="BP167" s="24">
        <f t="shared" si="237"/>
        <v>32.095588673386438</v>
      </c>
      <c r="BQ167" s="23">
        <f t="shared" si="238"/>
        <v>100.1906002597395</v>
      </c>
      <c r="BR167" s="23">
        <f t="shared" si="224"/>
        <v>2.2312617580018674</v>
      </c>
      <c r="BS167" s="6">
        <f t="shared" si="225"/>
        <v>241.46862126266566</v>
      </c>
      <c r="BT167" s="23">
        <f t="shared" si="226"/>
        <v>246.39655230884253</v>
      </c>
      <c r="BU167" s="22">
        <f t="shared" si="227"/>
        <v>314.28131672046237</v>
      </c>
      <c r="BV167" s="22">
        <f t="shared" si="228"/>
        <v>14.965776986688685</v>
      </c>
      <c r="BW167" s="23">
        <f t="shared" si="229"/>
        <v>2.7744537463067049E-3</v>
      </c>
      <c r="BX167" s="331"/>
      <c r="BY167" s="361"/>
      <c r="BZ167" s="366"/>
      <c r="CA167" s="361"/>
      <c r="CB167" s="31">
        <v>50</v>
      </c>
    </row>
    <row r="168" spans="3:80" ht="15.75" x14ac:dyDescent="0.3">
      <c r="C168" s="22">
        <v>13</v>
      </c>
      <c r="D168" s="379"/>
      <c r="E168" s="379"/>
      <c r="F168" s="19" t="s">
        <v>128</v>
      </c>
      <c r="G168" s="256"/>
      <c r="H168" s="54">
        <v>0.86875000000000102</v>
      </c>
      <c r="I168" s="13">
        <v>-8.5535099999999993</v>
      </c>
      <c r="J168" s="13">
        <v>115.561826</v>
      </c>
      <c r="K168" s="13">
        <f t="shared" si="207"/>
        <v>-0.14928691210226017</v>
      </c>
      <c r="L168" s="13">
        <f t="shared" si="207"/>
        <v>2.0169343533167887</v>
      </c>
      <c r="M168" s="13">
        <v>3443</v>
      </c>
      <c r="N168" s="71">
        <f t="shared" si="208"/>
        <v>0.23413842949409439</v>
      </c>
      <c r="O168" s="421"/>
      <c r="P168" s="421"/>
      <c r="Q168" s="425"/>
      <c r="R168" s="23">
        <f t="shared" si="239"/>
        <v>5.000000000001581E-2</v>
      </c>
      <c r="S168" s="331"/>
      <c r="T168" s="23">
        <f t="shared" si="240"/>
        <v>4.682768589880407</v>
      </c>
      <c r="U168" s="421"/>
      <c r="V168" s="22">
        <f t="shared" si="209"/>
        <v>2.4088161626344813</v>
      </c>
      <c r="W168" s="130">
        <f t="shared" si="241"/>
        <v>-2.5471386289437057E-5</v>
      </c>
      <c r="X168" s="13">
        <f t="shared" si="242"/>
        <v>6.3879050622883682E-5</v>
      </c>
      <c r="Y168" s="13">
        <f t="shared" si="243"/>
        <v>1.9502194512736293</v>
      </c>
      <c r="Z168" s="13">
        <f t="shared" si="244"/>
        <v>111.73934368229826</v>
      </c>
      <c r="AA168" s="13">
        <f t="shared" si="245"/>
        <v>248.26065631770174</v>
      </c>
      <c r="AB168" s="13">
        <v>100</v>
      </c>
      <c r="AC168" s="13">
        <v>13</v>
      </c>
      <c r="AD168" s="13">
        <f t="shared" si="230"/>
        <v>4</v>
      </c>
      <c r="AE168" s="16">
        <f t="shared" si="231"/>
        <v>148.26065631770174</v>
      </c>
      <c r="AF168" s="23">
        <f t="shared" si="210"/>
        <v>9.1461421574158638E-2</v>
      </c>
      <c r="AG168" s="382"/>
      <c r="AH168" s="385"/>
      <c r="AI168" s="388"/>
      <c r="AJ168" s="22">
        <f t="shared" si="211"/>
        <v>2.164556517193768</v>
      </c>
      <c r="AK168" s="22">
        <f t="shared" si="232"/>
        <v>0.33</v>
      </c>
      <c r="AL168" s="23">
        <f t="shared" si="212"/>
        <v>18.610006994007279</v>
      </c>
      <c r="AM168" s="23">
        <f t="shared" si="233"/>
        <v>13.293195934887018</v>
      </c>
      <c r="AN168" s="23">
        <f t="shared" si="213"/>
        <v>4.0602789860502586</v>
      </c>
      <c r="AO168" s="23">
        <f t="shared" si="234"/>
        <v>2.0886075104242527</v>
      </c>
      <c r="AP168" s="23">
        <f t="shared" si="235"/>
        <v>7.9303275599472686E-2</v>
      </c>
      <c r="AQ168" s="24">
        <f t="shared" si="214"/>
        <v>5.7665601378258637E-2</v>
      </c>
      <c r="AR168" s="22">
        <f t="shared" si="215"/>
        <v>124309066.69997279</v>
      </c>
      <c r="AS168" s="22">
        <f t="shared" si="236"/>
        <v>2.0192249355994547E-3</v>
      </c>
      <c r="AT168" s="23">
        <f t="shared" si="216"/>
        <v>147.57485445773327</v>
      </c>
      <c r="AU168" s="22">
        <f t="shared" si="217"/>
        <v>5464.9193513996897</v>
      </c>
      <c r="AV168" s="443"/>
      <c r="AW168" s="445"/>
      <c r="AX168" s="388"/>
      <c r="AY168" s="339"/>
      <c r="AZ168" s="339"/>
      <c r="BA168" s="331"/>
      <c r="BB168" s="402"/>
      <c r="BC168" s="385"/>
      <c r="BD168" s="445"/>
      <c r="BE168" s="445"/>
      <c r="BF168" s="445"/>
      <c r="BG168" s="445"/>
      <c r="BH168" s="447"/>
      <c r="BI168" s="385"/>
      <c r="BJ168" s="385"/>
      <c r="BK168" s="385"/>
      <c r="BL168" s="23">
        <f t="shared" si="218"/>
        <v>-9.6338608011645387E-8</v>
      </c>
      <c r="BM168" s="24">
        <f t="shared" si="219"/>
        <v>1.1820208916766047E-2</v>
      </c>
      <c r="BN168" s="24">
        <f t="shared" si="220"/>
        <v>1588.2753951542495</v>
      </c>
      <c r="BO168" s="24">
        <f t="shared" si="221"/>
        <v>13.120707131639017</v>
      </c>
      <c r="BP168" s="24">
        <f t="shared" si="237"/>
        <v>15.08881320138487</v>
      </c>
      <c r="BQ168" s="23">
        <f t="shared" si="238"/>
        <v>31.514608575801052</v>
      </c>
      <c r="BR168" s="23">
        <f t="shared" si="224"/>
        <v>1.4928828344914451</v>
      </c>
      <c r="BS168" s="6">
        <f t="shared" si="225"/>
        <v>75.953123972740286</v>
      </c>
      <c r="BT168" s="23">
        <f t="shared" si="226"/>
        <v>77.503187727286004</v>
      </c>
      <c r="BU168" s="22">
        <f t="shared" si="227"/>
        <v>98.856106795007662</v>
      </c>
      <c r="BV168" s="22">
        <f t="shared" si="228"/>
        <v>4.7074336569051267</v>
      </c>
      <c r="BW168" s="23">
        <f t="shared" si="229"/>
        <v>1.0215469552059479E-3</v>
      </c>
      <c r="BX168" s="331"/>
      <c r="BY168" s="361"/>
      <c r="BZ168" s="366"/>
      <c r="CA168" s="361"/>
      <c r="CB168" s="31">
        <v>50</v>
      </c>
    </row>
    <row r="169" spans="3:80" ht="15.75" x14ac:dyDescent="0.3">
      <c r="C169" s="22">
        <v>14</v>
      </c>
      <c r="D169" s="379"/>
      <c r="E169" s="379"/>
      <c r="F169" s="19" t="s">
        <v>128</v>
      </c>
      <c r="G169" s="256"/>
      <c r="H169" s="54">
        <v>0.87083333333333401</v>
      </c>
      <c r="I169" s="13">
        <v>-8.5557309999999998</v>
      </c>
      <c r="J169" s="13">
        <v>115.567999</v>
      </c>
      <c r="K169" s="13">
        <f t="shared" si="207"/>
        <v>-0.14932567586494697</v>
      </c>
      <c r="L169" s="13">
        <f t="shared" si="207"/>
        <v>2.0170420924915144</v>
      </c>
      <c r="M169" s="13">
        <v>3443</v>
      </c>
      <c r="N169" s="71">
        <f t="shared" si="208"/>
        <v>0.39034438163172319</v>
      </c>
      <c r="O169" s="421"/>
      <c r="P169" s="421"/>
      <c r="Q169" s="425"/>
      <c r="R169" s="23">
        <f t="shared" si="239"/>
        <v>4.9999999999991829E-2</v>
      </c>
      <c r="S169" s="331"/>
      <c r="T169" s="23">
        <f t="shared" si="240"/>
        <v>7.8068876326357399</v>
      </c>
      <c r="U169" s="421"/>
      <c r="V169" s="22">
        <f t="shared" si="209"/>
        <v>4.0158629982278242</v>
      </c>
      <c r="W169" s="130">
        <f t="shared" si="241"/>
        <v>-3.9204589392705281E-5</v>
      </c>
      <c r="X169" s="13">
        <f t="shared" si="242"/>
        <v>1.0773917472572947E-4</v>
      </c>
      <c r="Y169" s="13">
        <f t="shared" si="243"/>
        <v>1.9197862540122246</v>
      </c>
      <c r="Z169" s="13">
        <f t="shared" si="244"/>
        <v>109.99564992213067</v>
      </c>
      <c r="AA169" s="13">
        <f t="shared" si="245"/>
        <v>250.00435007786933</v>
      </c>
      <c r="AB169" s="13">
        <v>100</v>
      </c>
      <c r="AC169" s="13">
        <v>13</v>
      </c>
      <c r="AD169" s="13">
        <f t="shared" si="230"/>
        <v>4</v>
      </c>
      <c r="AE169" s="16">
        <f t="shared" si="231"/>
        <v>150.00435007786933</v>
      </c>
      <c r="AF169" s="23">
        <f t="shared" si="210"/>
        <v>0.15248010386283431</v>
      </c>
      <c r="AG169" s="382"/>
      <c r="AH169" s="385"/>
      <c r="AI169" s="388"/>
      <c r="AJ169" s="22">
        <f t="shared" si="211"/>
        <v>1.7661215036488724</v>
      </c>
      <c r="AK169" s="22">
        <f t="shared" si="232"/>
        <v>-3.999999999999998E-2</v>
      </c>
      <c r="AL169" s="23">
        <f t="shared" si="212"/>
        <v>18.610006994007279</v>
      </c>
      <c r="AM169" s="23">
        <f t="shared" si="233"/>
        <v>-1.314701341406886</v>
      </c>
      <c r="AN169" s="23">
        <f t="shared" si="213"/>
        <v>7.9095248890641301</v>
      </c>
      <c r="AO169" s="23">
        <f t="shared" si="234"/>
        <v>4.0686596029345878</v>
      </c>
      <c r="AP169" s="23">
        <f t="shared" si="235"/>
        <v>0.15448476183369758</v>
      </c>
      <c r="AQ169" s="24">
        <f t="shared" si="214"/>
        <v>4.9351179382648033E-2</v>
      </c>
      <c r="AR169" s="22">
        <f t="shared" si="215"/>
        <v>242157167.12516496</v>
      </c>
      <c r="AS169" s="22">
        <f t="shared" si="236"/>
        <v>1.8401882983378845E-3</v>
      </c>
      <c r="AT169" s="23">
        <f t="shared" si="216"/>
        <v>510.36275210127667</v>
      </c>
      <c r="AU169" s="22">
        <f t="shared" si="217"/>
        <v>18899.502157331888</v>
      </c>
      <c r="AV169" s="443"/>
      <c r="AW169" s="445"/>
      <c r="AX169" s="388"/>
      <c r="AY169" s="339"/>
      <c r="AZ169" s="339"/>
      <c r="BA169" s="331"/>
      <c r="BB169" s="402"/>
      <c r="BC169" s="385"/>
      <c r="BD169" s="445"/>
      <c r="BE169" s="445"/>
      <c r="BF169" s="445"/>
      <c r="BG169" s="445"/>
      <c r="BH169" s="447"/>
      <c r="BI169" s="385"/>
      <c r="BJ169" s="385"/>
      <c r="BK169" s="385"/>
      <c r="BL169" s="23">
        <f t="shared" si="218"/>
        <v>-1.1739650120299764E-2</v>
      </c>
      <c r="BM169" s="24">
        <f t="shared" si="219"/>
        <v>444.60772665983933</v>
      </c>
      <c r="BN169" s="24">
        <f t="shared" si="220"/>
        <v>6027.1895680165035</v>
      </c>
      <c r="BO169" s="24">
        <f t="shared" si="221"/>
        <v>46.354727137197983</v>
      </c>
      <c r="BP169" s="24">
        <f t="shared" si="237"/>
        <v>53.307936207777679</v>
      </c>
      <c r="BQ169" s="23">
        <f t="shared" si="238"/>
        <v>216.89184656439906</v>
      </c>
      <c r="BR169" s="23">
        <f t="shared" si="224"/>
        <v>2.9081730532396799</v>
      </c>
      <c r="BS169" s="6">
        <f t="shared" si="225"/>
        <v>522.72942788291107</v>
      </c>
      <c r="BT169" s="23">
        <f t="shared" si="226"/>
        <v>533.39737539072564</v>
      </c>
      <c r="BU169" s="22">
        <f t="shared" si="227"/>
        <v>680.35379514123156</v>
      </c>
      <c r="BV169" s="22">
        <f t="shared" si="228"/>
        <v>32.397799768630072</v>
      </c>
      <c r="BW169" s="23">
        <f t="shared" si="229"/>
        <v>6.0168661840323077E-3</v>
      </c>
      <c r="BX169" s="331"/>
      <c r="BY169" s="361"/>
      <c r="BZ169" s="366"/>
      <c r="CA169" s="361"/>
      <c r="CB169" s="31">
        <v>50</v>
      </c>
    </row>
    <row r="170" spans="3:80" ht="15.75" x14ac:dyDescent="0.3">
      <c r="C170" s="22">
        <v>15</v>
      </c>
      <c r="D170" s="379"/>
      <c r="E170" s="379"/>
      <c r="F170" s="19" t="s">
        <v>128</v>
      </c>
      <c r="G170" s="257"/>
      <c r="H170" s="54">
        <v>0.87291666666666801</v>
      </c>
      <c r="I170" s="13">
        <v>-8.5581410000000009</v>
      </c>
      <c r="J170" s="13">
        <v>115.574534</v>
      </c>
      <c r="K170" s="13">
        <f t="shared" si="207"/>
        <v>-0.14936773829992006</v>
      </c>
      <c r="L170" s="13">
        <f t="shared" si="207"/>
        <v>2.0171561497581321</v>
      </c>
      <c r="M170" s="13">
        <v>3443</v>
      </c>
      <c r="N170" s="71">
        <f t="shared" si="208"/>
        <v>0.4144533984397214</v>
      </c>
      <c r="O170" s="421"/>
      <c r="P170" s="421"/>
      <c r="Q170" s="425"/>
      <c r="R170" s="23">
        <f t="shared" si="239"/>
        <v>5.000000000001581E-2</v>
      </c>
      <c r="S170" s="331"/>
      <c r="T170" s="23">
        <f t="shared" si="240"/>
        <v>8.289067968791807</v>
      </c>
      <c r="U170" s="421"/>
      <c r="V170" s="22">
        <f t="shared" si="209"/>
        <v>4.2638965631465053</v>
      </c>
      <c r="W170" s="130">
        <f t="shared" si="241"/>
        <v>-4.2541034671956154E-5</v>
      </c>
      <c r="X170" s="13">
        <f t="shared" si="242"/>
        <v>1.1405726661761761E-4</v>
      </c>
      <c r="Y170" s="13">
        <f t="shared" si="243"/>
        <v>1.9277945196078294</v>
      </c>
      <c r="Z170" s="13">
        <f t="shared" si="244"/>
        <v>110.45448974197865</v>
      </c>
      <c r="AA170" s="13">
        <f t="shared" si="245"/>
        <v>249.54551025802135</v>
      </c>
      <c r="AB170" s="13">
        <v>100</v>
      </c>
      <c r="AC170" s="13">
        <v>13</v>
      </c>
      <c r="AD170" s="13">
        <f t="shared" si="230"/>
        <v>4</v>
      </c>
      <c r="AE170" s="16">
        <f t="shared" si="231"/>
        <v>149.54551025802135</v>
      </c>
      <c r="AF170" s="23">
        <f t="shared" si="210"/>
        <v>0.16189780156740227</v>
      </c>
      <c r="AG170" s="382"/>
      <c r="AH170" s="385"/>
      <c r="AI170" s="388"/>
      <c r="AJ170" s="22">
        <f t="shared" si="211"/>
        <v>1.6969317156332591</v>
      </c>
      <c r="AK170" s="22">
        <f t="shared" si="232"/>
        <v>0.33</v>
      </c>
      <c r="AL170" s="23">
        <f t="shared" si="212"/>
        <v>18.610006994007279</v>
      </c>
      <c r="AM170" s="23">
        <f t="shared" si="233"/>
        <v>10.421370661774949</v>
      </c>
      <c r="AN170" s="23">
        <f t="shared" si="213"/>
        <v>7.4252334713575525</v>
      </c>
      <c r="AO170" s="23">
        <f t="shared" si="234"/>
        <v>3.8195400976663247</v>
      </c>
      <c r="AP170" s="23">
        <f t="shared" si="235"/>
        <v>0.14502583157279836</v>
      </c>
      <c r="AQ170" s="24">
        <f t="shared" si="214"/>
        <v>5.5816884416961914E-2</v>
      </c>
      <c r="AR170" s="22">
        <f t="shared" si="215"/>
        <v>227330152.93408489</v>
      </c>
      <c r="AS170" s="22">
        <f t="shared" si="236"/>
        <v>1.8561099616734218E-3</v>
      </c>
      <c r="AT170" s="23">
        <f t="shared" si="216"/>
        <v>453.66976967609952</v>
      </c>
      <c r="AU170" s="22">
        <f t="shared" si="217"/>
        <v>16800.075545106098</v>
      </c>
      <c r="AV170" s="443"/>
      <c r="AW170" s="445"/>
      <c r="AX170" s="388"/>
      <c r="AY170" s="339"/>
      <c r="AZ170" s="339"/>
      <c r="BA170" s="331"/>
      <c r="BB170" s="402"/>
      <c r="BC170" s="385"/>
      <c r="BD170" s="445"/>
      <c r="BE170" s="445"/>
      <c r="BF170" s="445"/>
      <c r="BG170" s="445"/>
      <c r="BH170" s="447"/>
      <c r="BI170" s="385"/>
      <c r="BJ170" s="385"/>
      <c r="BK170" s="385"/>
      <c r="BL170" s="23">
        <f t="shared" si="218"/>
        <v>-6.6763089151844236E-3</v>
      </c>
      <c r="BM170" s="24">
        <f t="shared" si="219"/>
        <v>211.15640520997212</v>
      </c>
      <c r="BN170" s="24">
        <f t="shared" si="220"/>
        <v>5311.7091254743791</v>
      </c>
      <c r="BO170" s="24">
        <f t="shared" si="221"/>
        <v>40.975451992312152</v>
      </c>
      <c r="BP170" s="24">
        <f t="shared" si="237"/>
        <v>47.121769791158975</v>
      </c>
      <c r="BQ170" s="23">
        <f t="shared" si="238"/>
        <v>179.98348919033342</v>
      </c>
      <c r="BR170" s="23">
        <f t="shared" si="224"/>
        <v>2.7301088495557395</v>
      </c>
      <c r="BS170" s="6">
        <f t="shared" si="225"/>
        <v>433.77687000741298</v>
      </c>
      <c r="BT170" s="23">
        <f t="shared" si="226"/>
        <v>442.62945919123774</v>
      </c>
      <c r="BU170" s="22">
        <f t="shared" si="227"/>
        <v>564.57839182555836</v>
      </c>
      <c r="BV170" s="22">
        <f t="shared" si="228"/>
        <v>26.884685325026584</v>
      </c>
      <c r="BW170" s="23">
        <f t="shared" si="229"/>
        <v>5.6471308258787831E-3</v>
      </c>
      <c r="BX170" s="331"/>
      <c r="BY170" s="362"/>
      <c r="BZ170" s="451"/>
      <c r="CA170" s="362"/>
      <c r="CB170" s="31">
        <v>50</v>
      </c>
    </row>
    <row r="171" spans="3:80" ht="15.75" x14ac:dyDescent="0.3">
      <c r="C171" s="22">
        <v>16</v>
      </c>
      <c r="D171" s="379"/>
      <c r="E171" s="379"/>
      <c r="F171" s="19" t="s">
        <v>128</v>
      </c>
      <c r="G171" s="255">
        <v>0.875</v>
      </c>
      <c r="H171" s="54">
        <v>0.875000000000001</v>
      </c>
      <c r="I171" s="13">
        <v>-8.5605119999999992</v>
      </c>
      <c r="J171" s="13">
        <v>115.581017</v>
      </c>
      <c r="K171" s="13">
        <f t="shared" si="207"/>
        <v>-0.1494091200564848</v>
      </c>
      <c r="L171" s="13">
        <f t="shared" si="207"/>
        <v>2.0172692994535391</v>
      </c>
      <c r="M171" s="13">
        <v>3443</v>
      </c>
      <c r="N171" s="71">
        <f t="shared" si="208"/>
        <v>0.41073853555039747</v>
      </c>
      <c r="O171" s="422"/>
      <c r="P171" s="422"/>
      <c r="Q171" s="426"/>
      <c r="R171" s="23">
        <f t="shared" si="239"/>
        <v>4.9999999999991829E-2</v>
      </c>
      <c r="S171" s="358"/>
      <c r="T171" s="23">
        <f t="shared" si="240"/>
        <v>8.214770711009292</v>
      </c>
      <c r="U171" s="422"/>
      <c r="V171" s="22">
        <f t="shared" si="209"/>
        <v>4.22567805374318</v>
      </c>
      <c r="W171" s="130">
        <f t="shared" si="241"/>
        <v>-4.1852875491812481E-5</v>
      </c>
      <c r="X171" s="13">
        <f t="shared" si="242"/>
        <v>1.1314969540698883E-4</v>
      </c>
      <c r="Y171" s="13">
        <f t="shared" si="243"/>
        <v>1.9250789801391208</v>
      </c>
      <c r="Z171" s="13">
        <f t="shared" si="244"/>
        <v>110.29890079132045</v>
      </c>
      <c r="AA171" s="13">
        <f t="shared" si="245"/>
        <v>249.70109920867955</v>
      </c>
      <c r="AB171" s="13">
        <v>100</v>
      </c>
      <c r="AC171" s="13">
        <v>13</v>
      </c>
      <c r="AD171" s="13">
        <f t="shared" si="230"/>
        <v>4</v>
      </c>
      <c r="AE171" s="16">
        <f t="shared" si="231"/>
        <v>149.70109920867955</v>
      </c>
      <c r="AF171" s="23">
        <f t="shared" si="210"/>
        <v>0.16044666583745495</v>
      </c>
      <c r="AG171" s="382"/>
      <c r="AH171" s="385"/>
      <c r="AI171" s="388"/>
      <c r="AJ171" s="22">
        <f t="shared" si="211"/>
        <v>1.7077269984924879</v>
      </c>
      <c r="AK171" s="22">
        <f t="shared" si="232"/>
        <v>0.33</v>
      </c>
      <c r="AL171" s="23">
        <f t="shared" si="212"/>
        <v>18.610006994007279</v>
      </c>
      <c r="AM171" s="23">
        <f t="shared" si="233"/>
        <v>10.487667757314085</v>
      </c>
      <c r="AN171" s="23">
        <f t="shared" si="213"/>
        <v>7.3532328518134893</v>
      </c>
      <c r="AO171" s="23">
        <f t="shared" si="234"/>
        <v>3.7825029789728588</v>
      </c>
      <c r="AP171" s="23">
        <f t="shared" si="235"/>
        <v>0.1436195525967347</v>
      </c>
      <c r="AQ171" s="24">
        <f t="shared" si="214"/>
        <v>5.585822505934912E-2</v>
      </c>
      <c r="AR171" s="22">
        <f t="shared" si="215"/>
        <v>225125789.67528114</v>
      </c>
      <c r="AS171" s="22">
        <f t="shared" si="236"/>
        <v>1.858583754792536E-3</v>
      </c>
      <c r="AT171" s="23">
        <f t="shared" si="216"/>
        <v>445.50715815107992</v>
      </c>
      <c r="AU171" s="22">
        <f t="shared" si="217"/>
        <v>16497.801733995449</v>
      </c>
      <c r="AV171" s="443"/>
      <c r="AW171" s="445"/>
      <c r="AX171" s="388"/>
      <c r="AY171" s="339"/>
      <c r="AZ171" s="339"/>
      <c r="BA171" s="331"/>
      <c r="BB171" s="402"/>
      <c r="BC171" s="385"/>
      <c r="BD171" s="445"/>
      <c r="BE171" s="445"/>
      <c r="BF171" s="445"/>
      <c r="BG171" s="445"/>
      <c r="BH171" s="447"/>
      <c r="BI171" s="385"/>
      <c r="BJ171" s="385"/>
      <c r="BK171" s="385"/>
      <c r="BL171" s="23">
        <f t="shared" si="218"/>
        <v>-6.0799668316861228E-3</v>
      </c>
      <c r="BM171" s="24">
        <f t="shared" si="219"/>
        <v>187.54512381180959</v>
      </c>
      <c r="BN171" s="24">
        <f t="shared" si="220"/>
        <v>5209.1959570019999</v>
      </c>
      <c r="BO171" s="24">
        <f t="shared" si="221"/>
        <v>40.211450147502894</v>
      </c>
      <c r="BP171" s="24">
        <f t="shared" si="237"/>
        <v>46.243167669628328</v>
      </c>
      <c r="BQ171" s="23">
        <f t="shared" si="238"/>
        <v>174.91491946751054</v>
      </c>
      <c r="BR171" s="23">
        <f t="shared" si="224"/>
        <v>2.7036356713925209</v>
      </c>
      <c r="BS171" s="6">
        <f t="shared" si="225"/>
        <v>421.56114777827349</v>
      </c>
      <c r="BT171" s="23">
        <f t="shared" si="226"/>
        <v>430.16443650844235</v>
      </c>
      <c r="BU171" s="22">
        <f t="shared" si="227"/>
        <v>548.67912819954381</v>
      </c>
      <c r="BV171" s="22">
        <f t="shared" si="228"/>
        <v>26.127577533311609</v>
      </c>
      <c r="BW171" s="23">
        <f t="shared" si="229"/>
        <v>5.4921650073180952E-3</v>
      </c>
      <c r="BX171" s="331"/>
      <c r="BY171" s="360">
        <f t="shared" ref="BY171" si="256">(SUM(BW171:BW175))*1000</f>
        <v>17.430792998173647</v>
      </c>
      <c r="BZ171" s="365">
        <v>20</v>
      </c>
      <c r="CA171" s="360">
        <f t="shared" ref="CA171" si="257">AVERAGE(AN171:AN175)</f>
        <v>6.1660647809123166</v>
      </c>
      <c r="CB171" s="31">
        <v>50</v>
      </c>
    </row>
    <row r="172" spans="3:80" ht="15.75" x14ac:dyDescent="0.3">
      <c r="C172" s="22">
        <v>17</v>
      </c>
      <c r="D172" s="379"/>
      <c r="E172" s="379"/>
      <c r="F172" s="19" t="s">
        <v>128</v>
      </c>
      <c r="G172" s="256"/>
      <c r="H172" s="54">
        <v>0.87708333333333399</v>
      </c>
      <c r="I172" s="13">
        <v>-8.5625990000000005</v>
      </c>
      <c r="J172" s="13">
        <v>115.586732</v>
      </c>
      <c r="K172" s="13">
        <f t="shared" ref="K172:L235" si="258">RADIANS(I172)</f>
        <v>-0.14944554507797395</v>
      </c>
      <c r="L172" s="13">
        <f t="shared" si="258"/>
        <v>2.0173690450202901</v>
      </c>
      <c r="M172" s="13">
        <v>3443</v>
      </c>
      <c r="N172" s="71">
        <f t="shared" si="208"/>
        <v>0.36201402655205994</v>
      </c>
      <c r="O172" s="420">
        <f t="shared" ref="O172" si="259">SUM(N172:N176)</f>
        <v>1.7565396850300641</v>
      </c>
      <c r="P172" s="423">
        <v>1.75</v>
      </c>
      <c r="Q172" s="424">
        <f t="shared" ref="Q172" si="260">ABS((O172-P172)/O172)*100%</f>
        <v>3.7230499747873042E-3</v>
      </c>
      <c r="R172" s="23">
        <f t="shared" si="239"/>
        <v>4.9999999999991829E-2</v>
      </c>
      <c r="S172" s="357">
        <f t="shared" ref="S172" si="261">+SUM(R172:R176)</f>
        <v>0.25000000000000711</v>
      </c>
      <c r="T172" s="23">
        <f t="shared" si="240"/>
        <v>7.2402805310423819</v>
      </c>
      <c r="U172" s="420">
        <f t="shared" ref="U172" si="262">AVERAGE(T172:T176)</f>
        <v>7.0261587401201329</v>
      </c>
      <c r="V172" s="22">
        <f t="shared" si="209"/>
        <v>3.7244003051682011</v>
      </c>
      <c r="W172" s="130">
        <f t="shared" si="241"/>
        <v>-3.6839926373941015E-5</v>
      </c>
      <c r="X172" s="13">
        <f t="shared" si="242"/>
        <v>9.9745566751074932E-5</v>
      </c>
      <c r="Y172" s="13">
        <f t="shared" si="243"/>
        <v>1.9245947020370513</v>
      </c>
      <c r="Z172" s="13">
        <f t="shared" si="244"/>
        <v>110.27115369996126</v>
      </c>
      <c r="AA172" s="13">
        <f t="shared" si="245"/>
        <v>249.72884630003875</v>
      </c>
      <c r="AB172" s="13">
        <v>100</v>
      </c>
      <c r="AC172" s="13">
        <v>13</v>
      </c>
      <c r="AD172" s="13">
        <f t="shared" si="230"/>
        <v>4</v>
      </c>
      <c r="AE172" s="16">
        <f t="shared" si="231"/>
        <v>149.72884630003875</v>
      </c>
      <c r="AF172" s="23">
        <f t="shared" si="210"/>
        <v>0.14141342610777025</v>
      </c>
      <c r="AG172" s="382"/>
      <c r="AH172" s="385"/>
      <c r="AI172" s="388"/>
      <c r="AJ172" s="22">
        <f t="shared" si="211"/>
        <v>1.8447963412322115</v>
      </c>
      <c r="AK172" s="22">
        <f t="shared" si="232"/>
        <v>0.33</v>
      </c>
      <c r="AL172" s="23">
        <f t="shared" si="212"/>
        <v>18.610006994007279</v>
      </c>
      <c r="AM172" s="23">
        <f t="shared" si="233"/>
        <v>11.329452028240663</v>
      </c>
      <c r="AN172" s="23">
        <f t="shared" si="213"/>
        <v>6.4199964215678866</v>
      </c>
      <c r="AO172" s="23">
        <f t="shared" si="234"/>
        <v>3.3024461592545209</v>
      </c>
      <c r="AP172" s="23">
        <f t="shared" si="235"/>
        <v>0.12539205983539886</v>
      </c>
      <c r="AQ172" s="24">
        <f t="shared" si="214"/>
        <v>5.6388509086372537E-2</v>
      </c>
      <c r="AR172" s="22">
        <f t="shared" si="215"/>
        <v>196553923.04916623</v>
      </c>
      <c r="AS172" s="22">
        <f t="shared" si="236"/>
        <v>1.8935610587877639E-3</v>
      </c>
      <c r="AT172" s="23">
        <f t="shared" si="216"/>
        <v>345.99099658743313</v>
      </c>
      <c r="AU172" s="22">
        <f t="shared" si="217"/>
        <v>12812.568236022029</v>
      </c>
      <c r="AV172" s="443"/>
      <c r="AW172" s="445"/>
      <c r="AX172" s="388"/>
      <c r="AY172" s="339"/>
      <c r="AZ172" s="339"/>
      <c r="BA172" s="331"/>
      <c r="BB172" s="402"/>
      <c r="BC172" s="385"/>
      <c r="BD172" s="445"/>
      <c r="BE172" s="445"/>
      <c r="BF172" s="445"/>
      <c r="BG172" s="445"/>
      <c r="BH172" s="447"/>
      <c r="BI172" s="385"/>
      <c r="BJ172" s="385"/>
      <c r="BK172" s="385"/>
      <c r="BL172" s="23">
        <f t="shared" si="218"/>
        <v>-1.3405399689674904E-3</v>
      </c>
      <c r="BM172" s="24">
        <f t="shared" si="219"/>
        <v>31.837866729528894</v>
      </c>
      <c r="BN172" s="24">
        <f t="shared" si="220"/>
        <v>3970.8513478043733</v>
      </c>
      <c r="BO172" s="24">
        <f t="shared" si="221"/>
        <v>31.040584488486871</v>
      </c>
      <c r="BP172" s="24">
        <f t="shared" si="237"/>
        <v>35.696672161759899</v>
      </c>
      <c r="BQ172" s="23">
        <f t="shared" si="238"/>
        <v>117.88633787877176</v>
      </c>
      <c r="BR172" s="23">
        <f t="shared" si="224"/>
        <v>2.3605034255487407</v>
      </c>
      <c r="BS172" s="6">
        <f t="shared" si="225"/>
        <v>284.11698701769797</v>
      </c>
      <c r="BT172" s="23">
        <f t="shared" si="226"/>
        <v>289.915292875202</v>
      </c>
      <c r="BU172" s="22">
        <f t="shared" si="227"/>
        <v>369.78991438163519</v>
      </c>
      <c r="BV172" s="22">
        <f t="shared" si="228"/>
        <v>17.609043541982629</v>
      </c>
      <c r="BW172" s="23">
        <f t="shared" si="229"/>
        <v>3.7366608289306704E-3</v>
      </c>
      <c r="BX172" s="331"/>
      <c r="BY172" s="361"/>
      <c r="BZ172" s="366"/>
      <c r="CA172" s="361"/>
      <c r="CB172" s="31">
        <v>50</v>
      </c>
    </row>
    <row r="173" spans="3:80" ht="15.75" x14ac:dyDescent="0.3">
      <c r="C173" s="22">
        <v>18</v>
      </c>
      <c r="D173" s="379"/>
      <c r="E173" s="379"/>
      <c r="F173" s="19" t="s">
        <v>128</v>
      </c>
      <c r="G173" s="256"/>
      <c r="H173" s="54">
        <v>0.87916666666666798</v>
      </c>
      <c r="I173" s="13">
        <v>-8.5647319999999993</v>
      </c>
      <c r="J173" s="13">
        <v>115.59255899999999</v>
      </c>
      <c r="K173" s="13">
        <f t="shared" si="258"/>
        <v>-0.14948277295091897</v>
      </c>
      <c r="L173" s="13">
        <f t="shared" si="258"/>
        <v>2.0174707453558041</v>
      </c>
      <c r="M173" s="13">
        <v>3443</v>
      </c>
      <c r="N173" s="71">
        <f t="shared" si="208"/>
        <v>0.36921309281062881</v>
      </c>
      <c r="O173" s="421"/>
      <c r="P173" s="421"/>
      <c r="Q173" s="425"/>
      <c r="R173" s="23">
        <f t="shared" si="239"/>
        <v>5.000000000001581E-2</v>
      </c>
      <c r="S173" s="331"/>
      <c r="T173" s="23">
        <f t="shared" si="240"/>
        <v>7.3842618562102409</v>
      </c>
      <c r="U173" s="421"/>
      <c r="V173" s="22">
        <f t="shared" si="209"/>
        <v>3.7984642988345478</v>
      </c>
      <c r="W173" s="130">
        <f t="shared" si="241"/>
        <v>-3.7652132740534254E-5</v>
      </c>
      <c r="X173" s="13">
        <f t="shared" si="242"/>
        <v>1.0170033551393232E-4</v>
      </c>
      <c r="Y173" s="13">
        <f t="shared" si="243"/>
        <v>1.9253752278158009</v>
      </c>
      <c r="Z173" s="13">
        <f t="shared" si="244"/>
        <v>110.31587453288478</v>
      </c>
      <c r="AA173" s="13">
        <f t="shared" si="245"/>
        <v>249.68412546711522</v>
      </c>
      <c r="AB173" s="13">
        <v>100</v>
      </c>
      <c r="AC173" s="13">
        <v>13</v>
      </c>
      <c r="AD173" s="13">
        <f t="shared" si="230"/>
        <v>4</v>
      </c>
      <c r="AE173" s="16">
        <f t="shared" si="231"/>
        <v>149.68412546711522</v>
      </c>
      <c r="AF173" s="23">
        <f t="shared" si="210"/>
        <v>0.14422559511147492</v>
      </c>
      <c r="AG173" s="382"/>
      <c r="AH173" s="385"/>
      <c r="AI173" s="388"/>
      <c r="AJ173" s="22">
        <f t="shared" si="211"/>
        <v>1.8250734395785373</v>
      </c>
      <c r="AK173" s="22">
        <f t="shared" si="232"/>
        <v>0.33</v>
      </c>
      <c r="AL173" s="23">
        <f t="shared" si="212"/>
        <v>18.610006994007279</v>
      </c>
      <c r="AM173" s="23">
        <f t="shared" si="233"/>
        <v>11.208327726794057</v>
      </c>
      <c r="AN173" s="23">
        <f t="shared" si="213"/>
        <v>6.5566095871615513</v>
      </c>
      <c r="AO173" s="23">
        <f t="shared" si="234"/>
        <v>3.372719971635902</v>
      </c>
      <c r="AP173" s="23">
        <f t="shared" si="235"/>
        <v>0.12806031774546175</v>
      </c>
      <c r="AQ173" s="24">
        <f t="shared" si="214"/>
        <v>5.6311587246796309E-2</v>
      </c>
      <c r="AR173" s="22">
        <f t="shared" si="215"/>
        <v>200736457.09971362</v>
      </c>
      <c r="AS173" s="22">
        <f t="shared" si="236"/>
        <v>1.8880702746795696E-3</v>
      </c>
      <c r="AT173" s="23">
        <f t="shared" si="216"/>
        <v>359.82614467794622</v>
      </c>
      <c r="AU173" s="22">
        <f t="shared" si="217"/>
        <v>13324.904628337292</v>
      </c>
      <c r="AV173" s="443"/>
      <c r="AW173" s="445"/>
      <c r="AX173" s="388"/>
      <c r="AY173" s="339"/>
      <c r="AZ173" s="339"/>
      <c r="BA173" s="331"/>
      <c r="BB173" s="402"/>
      <c r="BC173" s="385"/>
      <c r="BD173" s="445"/>
      <c r="BE173" s="445"/>
      <c r="BF173" s="445"/>
      <c r="BG173" s="445"/>
      <c r="BH173" s="447"/>
      <c r="BI173" s="385"/>
      <c r="BJ173" s="385"/>
      <c r="BK173" s="385"/>
      <c r="BL173" s="23">
        <f t="shared" si="218"/>
        <v>-1.7425443594940922E-3</v>
      </c>
      <c r="BM173" s="24">
        <f t="shared" si="219"/>
        <v>42.574101081656281</v>
      </c>
      <c r="BN173" s="24">
        <f t="shared" si="220"/>
        <v>4141.6434291356127</v>
      </c>
      <c r="BO173" s="24">
        <f t="shared" si="221"/>
        <v>32.303277599961085</v>
      </c>
      <c r="BP173" s="24">
        <f t="shared" si="237"/>
        <v>37.14876923995525</v>
      </c>
      <c r="BQ173" s="23">
        <f t="shared" si="238"/>
        <v>125.29239593729054</v>
      </c>
      <c r="BR173" s="23">
        <f t="shared" si="224"/>
        <v>2.4107333360009569</v>
      </c>
      <c r="BS173" s="6">
        <f t="shared" si="225"/>
        <v>301.96627251699249</v>
      </c>
      <c r="BT173" s="23">
        <f t="shared" si="226"/>
        <v>308.12884950713521</v>
      </c>
      <c r="BU173" s="22">
        <f t="shared" si="227"/>
        <v>393.02149171828472</v>
      </c>
      <c r="BV173" s="22">
        <f t="shared" si="228"/>
        <v>18.715309129442129</v>
      </c>
      <c r="BW173" s="23">
        <f t="shared" si="229"/>
        <v>3.965994192520232E-3</v>
      </c>
      <c r="BX173" s="331"/>
      <c r="BY173" s="361"/>
      <c r="BZ173" s="366"/>
      <c r="CA173" s="361"/>
      <c r="CB173" s="31">
        <v>50</v>
      </c>
    </row>
    <row r="174" spans="3:80" ht="15.75" x14ac:dyDescent="0.3">
      <c r="C174" s="22">
        <v>19</v>
      </c>
      <c r="D174" s="379"/>
      <c r="E174" s="379"/>
      <c r="F174" s="19" t="s">
        <v>128</v>
      </c>
      <c r="G174" s="256"/>
      <c r="H174" s="54">
        <v>0.88125000000000098</v>
      </c>
      <c r="I174" s="13">
        <v>-8.5664999999999996</v>
      </c>
      <c r="J174" s="13">
        <v>115.597363</v>
      </c>
      <c r="K174" s="13">
        <f t="shared" si="258"/>
        <v>-0.14951363037209423</v>
      </c>
      <c r="L174" s="13">
        <f t="shared" si="258"/>
        <v>2.0175545909730701</v>
      </c>
      <c r="M174" s="13">
        <v>3443</v>
      </c>
      <c r="N174" s="71">
        <f t="shared" si="208"/>
        <v>0.30459002268386098</v>
      </c>
      <c r="O174" s="421"/>
      <c r="P174" s="421"/>
      <c r="Q174" s="425"/>
      <c r="R174" s="23">
        <f t="shared" si="239"/>
        <v>4.9999999999991829E-2</v>
      </c>
      <c r="S174" s="331"/>
      <c r="T174" s="23">
        <f t="shared" si="240"/>
        <v>6.0918004536782151</v>
      </c>
      <c r="U174" s="421"/>
      <c r="V174" s="22">
        <f t="shared" si="209"/>
        <v>3.1336221533720736</v>
      </c>
      <c r="W174" s="130">
        <f t="shared" si="241"/>
        <v>-3.120924230138728E-5</v>
      </c>
      <c r="X174" s="13">
        <f t="shared" si="242"/>
        <v>8.3845617266042893E-5</v>
      </c>
      <c r="Y174" s="13">
        <f t="shared" si="243"/>
        <v>1.9271298861616299</v>
      </c>
      <c r="Z174" s="13">
        <f t="shared" si="244"/>
        <v>110.41640905058819</v>
      </c>
      <c r="AA174" s="13">
        <f t="shared" si="245"/>
        <v>249.58359094941181</v>
      </c>
      <c r="AB174" s="13">
        <v>100</v>
      </c>
      <c r="AC174" s="13">
        <v>13</v>
      </c>
      <c r="AD174" s="13">
        <f t="shared" si="230"/>
        <v>4</v>
      </c>
      <c r="AE174" s="16">
        <f t="shared" si="231"/>
        <v>149.58359094941181</v>
      </c>
      <c r="AF174" s="23">
        <f t="shared" si="210"/>
        <v>0.11898190541457941</v>
      </c>
      <c r="AG174" s="382"/>
      <c r="AH174" s="385"/>
      <c r="AI174" s="388"/>
      <c r="AJ174" s="22">
        <f t="shared" si="211"/>
        <v>1.9955493016994827</v>
      </c>
      <c r="AK174" s="22">
        <f t="shared" si="232"/>
        <v>0.33</v>
      </c>
      <c r="AL174" s="23">
        <f t="shared" si="212"/>
        <v>18.610006994007279</v>
      </c>
      <c r="AM174" s="23">
        <f t="shared" si="233"/>
        <v>12.255271532299526</v>
      </c>
      <c r="AN174" s="23">
        <f t="shared" si="213"/>
        <v>5.3452337668740952</v>
      </c>
      <c r="AO174" s="23">
        <f t="shared" si="234"/>
        <v>2.7495882496800346</v>
      </c>
      <c r="AP174" s="23">
        <f t="shared" si="235"/>
        <v>0.10440034983171892</v>
      </c>
      <c r="AQ174" s="24">
        <f t="shared" si="214"/>
        <v>5.6983480230834868E-2</v>
      </c>
      <c r="AR174" s="22">
        <f t="shared" si="215"/>
        <v>163649104.68865845</v>
      </c>
      <c r="AS174" s="22">
        <f t="shared" si="236"/>
        <v>1.9423649734950723E-3</v>
      </c>
      <c r="AT174" s="23">
        <f t="shared" si="216"/>
        <v>246.02551884945905</v>
      </c>
      <c r="AU174" s="22">
        <f t="shared" si="217"/>
        <v>9110.6958827029503</v>
      </c>
      <c r="AV174" s="443"/>
      <c r="AW174" s="445"/>
      <c r="AX174" s="388"/>
      <c r="AY174" s="339"/>
      <c r="AZ174" s="339"/>
      <c r="BA174" s="331"/>
      <c r="BB174" s="402"/>
      <c r="BC174" s="385"/>
      <c r="BD174" s="445"/>
      <c r="BE174" s="445"/>
      <c r="BF174" s="445"/>
      <c r="BG174" s="445"/>
      <c r="BH174" s="447"/>
      <c r="BI174" s="385"/>
      <c r="BJ174" s="385"/>
      <c r="BK174" s="385"/>
      <c r="BL174" s="23">
        <f t="shared" si="218"/>
        <v>-8.0324910726246166E-5</v>
      </c>
      <c r="BM174" s="24">
        <f t="shared" si="219"/>
        <v>1.984498826410944</v>
      </c>
      <c r="BN174" s="24">
        <f t="shared" si="220"/>
        <v>2752.6276227139338</v>
      </c>
      <c r="BO174" s="24">
        <f t="shared" si="221"/>
        <v>21.980581233400255</v>
      </c>
      <c r="BP174" s="24">
        <f t="shared" si="237"/>
        <v>25.277668418410293</v>
      </c>
      <c r="BQ174" s="23">
        <f t="shared" si="238"/>
        <v>69.503180062569044</v>
      </c>
      <c r="BR174" s="23">
        <f t="shared" si="224"/>
        <v>1.9653348364302792</v>
      </c>
      <c r="BS174" s="6">
        <f t="shared" si="225"/>
        <v>167.50909785519411</v>
      </c>
      <c r="BT174" s="23">
        <f t="shared" si="226"/>
        <v>170.92765087264706</v>
      </c>
      <c r="BU174" s="22">
        <f t="shared" si="227"/>
        <v>218.01996284776411</v>
      </c>
      <c r="BV174" s="22">
        <f t="shared" si="228"/>
        <v>10.381902992750671</v>
      </c>
      <c r="BW174" s="23">
        <f t="shared" si="229"/>
        <v>2.2262976947210345E-3</v>
      </c>
      <c r="BX174" s="331"/>
      <c r="BY174" s="361"/>
      <c r="BZ174" s="366"/>
      <c r="CA174" s="361"/>
      <c r="CB174" s="31">
        <v>45</v>
      </c>
    </row>
    <row r="175" spans="3:80" ht="15.75" x14ac:dyDescent="0.3">
      <c r="C175" s="22">
        <v>20</v>
      </c>
      <c r="D175" s="379"/>
      <c r="E175" s="379"/>
      <c r="F175" s="19" t="s">
        <v>128</v>
      </c>
      <c r="G175" s="257"/>
      <c r="H175" s="54">
        <v>0.88333333333333497</v>
      </c>
      <c r="I175" s="13">
        <v>-8.5682019999999994</v>
      </c>
      <c r="J175" s="13">
        <v>115.602007</v>
      </c>
      <c r="K175" s="13">
        <f t="shared" si="258"/>
        <v>-0.14954333587596316</v>
      </c>
      <c r="L175" s="13">
        <f t="shared" si="258"/>
        <v>2.0176356440635326</v>
      </c>
      <c r="M175" s="13">
        <v>3443</v>
      </c>
      <c r="N175" s="71">
        <f t="shared" si="208"/>
        <v>0.29429542100647593</v>
      </c>
      <c r="O175" s="421"/>
      <c r="P175" s="421"/>
      <c r="Q175" s="425"/>
      <c r="R175" s="23">
        <f t="shared" si="239"/>
        <v>5.000000000001581E-2</v>
      </c>
      <c r="S175" s="331"/>
      <c r="T175" s="23">
        <f t="shared" si="240"/>
        <v>5.8859084201276577</v>
      </c>
      <c r="U175" s="421"/>
      <c r="V175" s="22">
        <f t="shared" si="209"/>
        <v>3.027711291313667</v>
      </c>
      <c r="W175" s="130">
        <f t="shared" si="241"/>
        <v>-3.0044329189433425E-5</v>
      </c>
      <c r="X175" s="13">
        <f t="shared" si="242"/>
        <v>8.1053090462468447E-5</v>
      </c>
      <c r="Y175" s="13">
        <f t="shared" si="243"/>
        <v>1.9257695627584381</v>
      </c>
      <c r="Z175" s="13">
        <f t="shared" si="244"/>
        <v>110.33846826081242</v>
      </c>
      <c r="AA175" s="13">
        <f t="shared" si="245"/>
        <v>249.66153173918758</v>
      </c>
      <c r="AB175" s="13">
        <v>100</v>
      </c>
      <c r="AC175" s="13">
        <v>13</v>
      </c>
      <c r="AD175" s="13">
        <f t="shared" si="230"/>
        <v>4</v>
      </c>
      <c r="AE175" s="16">
        <f t="shared" si="231"/>
        <v>149.66153173918758</v>
      </c>
      <c r="AF175" s="23">
        <f t="shared" si="210"/>
        <v>0.11496052837706724</v>
      </c>
      <c r="AG175" s="382"/>
      <c r="AH175" s="385"/>
      <c r="AI175" s="388"/>
      <c r="AJ175" s="22">
        <f t="shared" si="211"/>
        <v>2.0213413372219313</v>
      </c>
      <c r="AK175" s="22">
        <f t="shared" si="232"/>
        <v>0.33</v>
      </c>
      <c r="AL175" s="23">
        <f t="shared" si="212"/>
        <v>18.610006994007279</v>
      </c>
      <c r="AM175" s="23">
        <f t="shared" si="233"/>
        <v>12.413668219582135</v>
      </c>
      <c r="AN175" s="23">
        <f t="shared" si="213"/>
        <v>5.1552512771445613</v>
      </c>
      <c r="AO175" s="23">
        <f t="shared" si="234"/>
        <v>2.6518612569631621</v>
      </c>
      <c r="AP175" s="23">
        <f t="shared" si="235"/>
        <v>0.10068970980085953</v>
      </c>
      <c r="AQ175" s="24">
        <f t="shared" si="214"/>
        <v>5.7086532777017814E-2</v>
      </c>
      <c r="AR175" s="22">
        <f t="shared" si="215"/>
        <v>157832621.12465852</v>
      </c>
      <c r="AS175" s="22">
        <f t="shared" si="236"/>
        <v>1.9522280332728292E-3</v>
      </c>
      <c r="AT175" s="23">
        <f t="shared" si="216"/>
        <v>230.00969059778598</v>
      </c>
      <c r="AU175" s="22">
        <f t="shared" si="217"/>
        <v>8517.6056163233898</v>
      </c>
      <c r="AV175" s="443"/>
      <c r="AW175" s="445"/>
      <c r="AX175" s="388"/>
      <c r="AY175" s="339"/>
      <c r="AZ175" s="339"/>
      <c r="BA175" s="331"/>
      <c r="BB175" s="402"/>
      <c r="BC175" s="385"/>
      <c r="BD175" s="445"/>
      <c r="BE175" s="445"/>
      <c r="BF175" s="445"/>
      <c r="BG175" s="445"/>
      <c r="BH175" s="447"/>
      <c r="BI175" s="385"/>
      <c r="BJ175" s="385"/>
      <c r="BK175" s="385"/>
      <c r="BL175" s="23">
        <f t="shared" si="218"/>
        <v>-4.0342149376654344E-5</v>
      </c>
      <c r="BM175" s="24">
        <f t="shared" si="219"/>
        <v>1.0847037671379327</v>
      </c>
      <c r="BN175" s="24">
        <f t="shared" si="220"/>
        <v>2560.4348763594285</v>
      </c>
      <c r="BO175" s="24">
        <f t="shared" si="221"/>
        <v>20.535911942113085</v>
      </c>
      <c r="BP175" s="24">
        <f t="shared" si="237"/>
        <v>23.616298733430046</v>
      </c>
      <c r="BQ175" s="23">
        <f t="shared" si="238"/>
        <v>62.627147644051334</v>
      </c>
      <c r="BR175" s="23">
        <f t="shared" si="224"/>
        <v>1.8954821000184225</v>
      </c>
      <c r="BS175" s="6">
        <f t="shared" si="225"/>
        <v>150.93722321273771</v>
      </c>
      <c r="BT175" s="23">
        <f t="shared" si="226"/>
        <v>154.01757470687522</v>
      </c>
      <c r="BU175" s="22">
        <f t="shared" si="227"/>
        <v>196.45098814652451</v>
      </c>
      <c r="BV175" s="22">
        <f t="shared" si="228"/>
        <v>9.3548089593583104</v>
      </c>
      <c r="BW175" s="23">
        <f t="shared" si="229"/>
        <v>2.0096752746836164E-3</v>
      </c>
      <c r="BX175" s="331"/>
      <c r="BY175" s="362"/>
      <c r="BZ175" s="451"/>
      <c r="CA175" s="362"/>
      <c r="CB175" s="31">
        <v>35</v>
      </c>
    </row>
    <row r="176" spans="3:80" ht="15.75" x14ac:dyDescent="0.3">
      <c r="C176" s="22">
        <v>21</v>
      </c>
      <c r="D176" s="379"/>
      <c r="E176" s="379"/>
      <c r="F176" s="19" t="s">
        <v>128</v>
      </c>
      <c r="G176" s="255">
        <v>0.88541666666666696</v>
      </c>
      <c r="H176" s="54">
        <v>0.88541666666666796</v>
      </c>
      <c r="I176" s="13">
        <v>-8.5706550000000004</v>
      </c>
      <c r="J176" s="13">
        <v>115.60874099999999</v>
      </c>
      <c r="K176" s="13">
        <f t="shared" si="258"/>
        <v>-0.14958614880251461</v>
      </c>
      <c r="L176" s="13">
        <f t="shared" si="258"/>
        <v>2.0177531745353616</v>
      </c>
      <c r="M176" s="13">
        <v>3443</v>
      </c>
      <c r="N176" s="71">
        <f t="shared" si="208"/>
        <v>0.42642712197703864</v>
      </c>
      <c r="O176" s="422"/>
      <c r="P176" s="422"/>
      <c r="Q176" s="426"/>
      <c r="R176" s="23">
        <f t="shared" si="239"/>
        <v>4.9999999999991829E-2</v>
      </c>
      <c r="S176" s="358"/>
      <c r="T176" s="23">
        <f t="shared" si="240"/>
        <v>8.5285424395421661</v>
      </c>
      <c r="U176" s="422"/>
      <c r="V176" s="22">
        <f t="shared" si="209"/>
        <v>4.3870822309004902</v>
      </c>
      <c r="W176" s="130">
        <f t="shared" si="241"/>
        <v>-4.3301494897292076E-5</v>
      </c>
      <c r="X176" s="13">
        <f t="shared" si="242"/>
        <v>1.1753047182905263E-4</v>
      </c>
      <c r="Y176" s="13">
        <f t="shared" si="243"/>
        <v>1.9237926685324289</v>
      </c>
      <c r="Z176" s="13">
        <f t="shared" si="244"/>
        <v>110.22520056511831</v>
      </c>
      <c r="AA176" s="13">
        <f t="shared" si="245"/>
        <v>249.77479943488169</v>
      </c>
      <c r="AB176" s="13">
        <v>100</v>
      </c>
      <c r="AC176" s="13">
        <v>13</v>
      </c>
      <c r="AD176" s="13">
        <f t="shared" si="230"/>
        <v>4</v>
      </c>
      <c r="AE176" s="16">
        <f t="shared" si="231"/>
        <v>149.77479943488169</v>
      </c>
      <c r="AF176" s="23">
        <f t="shared" si="210"/>
        <v>0.16657509345256596</v>
      </c>
      <c r="AG176" s="382"/>
      <c r="AH176" s="385"/>
      <c r="AI176" s="388"/>
      <c r="AJ176" s="22">
        <f t="shared" si="211"/>
        <v>1.6618039178242254</v>
      </c>
      <c r="AK176" s="22">
        <f t="shared" si="232"/>
        <v>0.33</v>
      </c>
      <c r="AL176" s="23">
        <f t="shared" si="212"/>
        <v>18.610006994007279</v>
      </c>
      <c r="AM176" s="23">
        <f t="shared" si="233"/>
        <v>10.205640236014586</v>
      </c>
      <c r="AN176" s="23">
        <f t="shared" si="213"/>
        <v>7.6581500807866707</v>
      </c>
      <c r="AO176" s="23">
        <f t="shared" si="234"/>
        <v>3.939352401556663</v>
      </c>
      <c r="AP176" s="23">
        <f t="shared" si="235"/>
        <v>0.14957503869199198</v>
      </c>
      <c r="AQ176" s="24">
        <f t="shared" si="214"/>
        <v>5.5682784677580338E-2</v>
      </c>
      <c r="AR176" s="22">
        <f t="shared" si="215"/>
        <v>234461102.90982071</v>
      </c>
      <c r="AS176" s="22">
        <f t="shared" si="236"/>
        <v>1.8483011948528874E-3</v>
      </c>
      <c r="AT176" s="23">
        <f t="shared" si="216"/>
        <v>480.54758896609525</v>
      </c>
      <c r="AU176" s="22">
        <f t="shared" si="217"/>
        <v>17795.40171568613</v>
      </c>
      <c r="AV176" s="443"/>
      <c r="AW176" s="445"/>
      <c r="AX176" s="388"/>
      <c r="AY176" s="339"/>
      <c r="AZ176" s="339"/>
      <c r="BA176" s="331"/>
      <c r="BB176" s="402"/>
      <c r="BC176" s="385"/>
      <c r="BD176" s="445"/>
      <c r="BE176" s="445"/>
      <c r="BF176" s="445"/>
      <c r="BG176" s="445"/>
      <c r="BH176" s="447"/>
      <c r="BI176" s="385"/>
      <c r="BJ176" s="385"/>
      <c r="BK176" s="385"/>
      <c r="BL176" s="23">
        <f t="shared" si="218"/>
        <v>-8.8762476052872859E-3</v>
      </c>
      <c r="BM176" s="24">
        <f t="shared" si="219"/>
        <v>305.39271199213317</v>
      </c>
      <c r="BN176" s="24">
        <f t="shared" si="220"/>
        <v>5650.1737557564747</v>
      </c>
      <c r="BO176" s="24">
        <f t="shared" si="221"/>
        <v>43.508553432056821</v>
      </c>
      <c r="BP176" s="24">
        <f t="shared" si="237"/>
        <v>50.034836446865341</v>
      </c>
      <c r="BQ176" s="23">
        <f t="shared" si="238"/>
        <v>197.10485311845383</v>
      </c>
      <c r="BR176" s="23">
        <f t="shared" si="224"/>
        <v>2.8157475973559074</v>
      </c>
      <c r="BS176" s="6">
        <f t="shared" si="225"/>
        <v>475.0409419976163</v>
      </c>
      <c r="BT176" s="23">
        <f t="shared" si="226"/>
        <v>484.73565509960849</v>
      </c>
      <c r="BU176" s="22">
        <f t="shared" si="227"/>
        <v>618.28527436174545</v>
      </c>
      <c r="BV176" s="22">
        <f t="shared" si="228"/>
        <v>29.442155921987879</v>
      </c>
      <c r="BW176" s="23">
        <f t="shared" si="229"/>
        <v>6.1694699676473931E-3</v>
      </c>
      <c r="BX176" s="331"/>
      <c r="BY176" s="360">
        <f t="shared" ref="BY176" si="263">(SUM(BW176:BW180))*1000</f>
        <v>21.611058345901899</v>
      </c>
      <c r="BZ176" s="365">
        <v>20</v>
      </c>
      <c r="CA176" s="360">
        <f t="shared" ref="CA176" si="264">AVERAGE(AN176:AN180)</f>
        <v>6.711203583258043</v>
      </c>
      <c r="CB176" s="31">
        <v>20</v>
      </c>
    </row>
    <row r="177" spans="3:80" ht="15.75" x14ac:dyDescent="0.3">
      <c r="C177" s="22">
        <v>22</v>
      </c>
      <c r="D177" s="379"/>
      <c r="E177" s="379"/>
      <c r="F177" s="19" t="s">
        <v>128</v>
      </c>
      <c r="G177" s="256"/>
      <c r="H177" s="54">
        <v>0.88750000000000195</v>
      </c>
      <c r="I177" s="13">
        <v>-8.5727530000000005</v>
      </c>
      <c r="J177" s="13">
        <v>115.614603</v>
      </c>
      <c r="K177" s="13">
        <f t="shared" si="258"/>
        <v>-0.14962276581022146</v>
      </c>
      <c r="L177" s="13">
        <f t="shared" si="258"/>
        <v>2.017855485736114</v>
      </c>
      <c r="M177" s="13">
        <v>3443</v>
      </c>
      <c r="N177" s="71">
        <f t="shared" si="208"/>
        <v>0.37043623370730955</v>
      </c>
      <c r="O177" s="420">
        <f t="shared" ref="O177" si="265">SUM(N177:N181)</f>
        <v>1.7504101408742536</v>
      </c>
      <c r="P177" s="423">
        <v>1.74</v>
      </c>
      <c r="Q177" s="424">
        <f t="shared" ref="Q177" si="266">ABS((O177-P177)/O177)*100%</f>
        <v>5.9472580917831145E-3</v>
      </c>
      <c r="R177" s="23">
        <f t="shared" si="239"/>
        <v>5.000000000001581E-2</v>
      </c>
      <c r="S177" s="357">
        <f t="shared" ref="S177" si="267">+SUM(R177:R181)</f>
        <v>0.25000000000000977</v>
      </c>
      <c r="T177" s="23">
        <f t="shared" si="240"/>
        <v>7.4087246741438486</v>
      </c>
      <c r="U177" s="420">
        <f t="shared" ref="U177" si="268">AVERAGE(T177:T181)</f>
        <v>7.001640563496653</v>
      </c>
      <c r="V177" s="22">
        <f t="shared" si="209"/>
        <v>3.8110479723795954</v>
      </c>
      <c r="W177" s="130">
        <f t="shared" si="241"/>
        <v>-3.7035092943779938E-5</v>
      </c>
      <c r="X177" s="13">
        <f t="shared" si="242"/>
        <v>1.0231120075232525E-4</v>
      </c>
      <c r="Y177" s="13">
        <f t="shared" si="243"/>
        <v>1.9181078199648769</v>
      </c>
      <c r="Z177" s="13">
        <f t="shared" si="244"/>
        <v>109.8994827350266</v>
      </c>
      <c r="AA177" s="13">
        <f t="shared" si="245"/>
        <v>250.1005172649734</v>
      </c>
      <c r="AB177" s="13">
        <v>100</v>
      </c>
      <c r="AC177" s="13">
        <v>13</v>
      </c>
      <c r="AD177" s="13">
        <f t="shared" si="230"/>
        <v>4</v>
      </c>
      <c r="AE177" s="16">
        <f t="shared" si="231"/>
        <v>150.1005172649734</v>
      </c>
      <c r="AF177" s="23">
        <f t="shared" si="210"/>
        <v>0.14470339025786602</v>
      </c>
      <c r="AG177" s="382"/>
      <c r="AH177" s="385"/>
      <c r="AI177" s="388"/>
      <c r="AJ177" s="22">
        <f t="shared" si="211"/>
        <v>1.8217042306813005</v>
      </c>
      <c r="AK177" s="22">
        <f t="shared" si="232"/>
        <v>-3.999999999999998E-2</v>
      </c>
      <c r="AL177" s="23">
        <f t="shared" si="212"/>
        <v>18.610006994007279</v>
      </c>
      <c r="AM177" s="23">
        <f t="shared" si="233"/>
        <v>-1.3560771389596653</v>
      </c>
      <c r="AN177" s="23">
        <f t="shared" si="213"/>
        <v>7.5091926957383777</v>
      </c>
      <c r="AO177" s="23">
        <f t="shared" si="234"/>
        <v>3.8627287226878213</v>
      </c>
      <c r="AP177" s="23">
        <f t="shared" si="235"/>
        <v>0.14666567985245255</v>
      </c>
      <c r="AQ177" s="24">
        <f t="shared" si="214"/>
        <v>4.9331033137229224E-2</v>
      </c>
      <c r="AR177" s="22">
        <f t="shared" si="215"/>
        <v>229900639.55815476</v>
      </c>
      <c r="AS177" s="22">
        <f t="shared" si="236"/>
        <v>1.8532615453360818E-3</v>
      </c>
      <c r="AT177" s="23">
        <f t="shared" si="216"/>
        <v>463.27527698722037</v>
      </c>
      <c r="AU177" s="22">
        <f t="shared" si="217"/>
        <v>17155.781962553996</v>
      </c>
      <c r="AV177" s="443"/>
      <c r="AW177" s="445"/>
      <c r="AX177" s="388"/>
      <c r="AY177" s="339"/>
      <c r="AZ177" s="339"/>
      <c r="BA177" s="331"/>
      <c r="BB177" s="402"/>
      <c r="BC177" s="385"/>
      <c r="BD177" s="445"/>
      <c r="BE177" s="445"/>
      <c r="BF177" s="445"/>
      <c r="BG177" s="445"/>
      <c r="BH177" s="447"/>
      <c r="BI177" s="385"/>
      <c r="BJ177" s="385"/>
      <c r="BK177" s="385"/>
      <c r="BL177" s="23">
        <f t="shared" si="218"/>
        <v>-7.4208289792714963E-3</v>
      </c>
      <c r="BM177" s="24">
        <f t="shared" si="219"/>
        <v>241.80014024194259</v>
      </c>
      <c r="BN177" s="24">
        <f t="shared" si="220"/>
        <v>5432.5102606045357</v>
      </c>
      <c r="BO177" s="24">
        <f t="shared" si="221"/>
        <v>41.877531137044606</v>
      </c>
      <c r="BP177" s="24">
        <f t="shared" si="237"/>
        <v>48.159160807601296</v>
      </c>
      <c r="BQ177" s="23">
        <f t="shared" si="238"/>
        <v>186.02577371206314</v>
      </c>
      <c r="BR177" s="23">
        <f t="shared" si="224"/>
        <v>2.7609789659457662</v>
      </c>
      <c r="BS177" s="6">
        <f t="shared" si="225"/>
        <v>448.33933503862727</v>
      </c>
      <c r="BT177" s="23">
        <f t="shared" si="226"/>
        <v>457.48911738635434</v>
      </c>
      <c r="BU177" s="22">
        <f t="shared" si="227"/>
        <v>583.53203748259477</v>
      </c>
      <c r="BV177" s="22">
        <f t="shared" si="228"/>
        <v>27.787239880123561</v>
      </c>
      <c r="BW177" s="23">
        <f t="shared" si="229"/>
        <v>5.1584938993618273E-3</v>
      </c>
      <c r="BX177" s="331"/>
      <c r="BY177" s="361"/>
      <c r="BZ177" s="366"/>
      <c r="CA177" s="361"/>
      <c r="CB177" s="31">
        <v>20</v>
      </c>
    </row>
    <row r="178" spans="3:80" ht="15.75" x14ac:dyDescent="0.3">
      <c r="C178" s="22">
        <v>23</v>
      </c>
      <c r="D178" s="379"/>
      <c r="E178" s="379"/>
      <c r="F178" s="19" t="s">
        <v>128</v>
      </c>
      <c r="G178" s="256"/>
      <c r="H178" s="54">
        <v>0.88958333333333495</v>
      </c>
      <c r="I178" s="13">
        <v>-8.5749560000000002</v>
      </c>
      <c r="J178" s="13">
        <v>115.620445</v>
      </c>
      <c r="K178" s="13">
        <f t="shared" si="258"/>
        <v>-0.14966121541364288</v>
      </c>
      <c r="L178" s="13">
        <f t="shared" si="258"/>
        <v>2.0179574478710154</v>
      </c>
      <c r="M178" s="13">
        <v>3443</v>
      </c>
      <c r="N178" s="71">
        <f t="shared" si="208"/>
        <v>0.37151837411562821</v>
      </c>
      <c r="O178" s="421"/>
      <c r="P178" s="421"/>
      <c r="Q178" s="425"/>
      <c r="R178" s="23">
        <f t="shared" si="239"/>
        <v>4.9999999999991829E-2</v>
      </c>
      <c r="S178" s="331"/>
      <c r="T178" s="23">
        <f t="shared" si="240"/>
        <v>7.4303674823137786</v>
      </c>
      <c r="U178" s="421"/>
      <c r="V178" s="22">
        <f t="shared" si="209"/>
        <v>3.8221810329022077</v>
      </c>
      <c r="W178" s="130">
        <f t="shared" si="241"/>
        <v>-3.8888834075317613E-5</v>
      </c>
      <c r="X178" s="13">
        <f t="shared" si="242"/>
        <v>1.0196213490143435E-4</v>
      </c>
      <c r="Y178" s="13">
        <f t="shared" si="243"/>
        <v>1.9351701902068812</v>
      </c>
      <c r="Z178" s="13">
        <f t="shared" si="244"/>
        <v>110.87708453838304</v>
      </c>
      <c r="AA178" s="13">
        <f t="shared" si="245"/>
        <v>249.12291546161697</v>
      </c>
      <c r="AB178" s="13">
        <v>100</v>
      </c>
      <c r="AC178" s="13">
        <v>13</v>
      </c>
      <c r="AD178" s="13">
        <f t="shared" si="230"/>
        <v>4</v>
      </c>
      <c r="AE178" s="16">
        <f t="shared" si="231"/>
        <v>149.12291546161697</v>
      </c>
      <c r="AF178" s="23">
        <f t="shared" si="210"/>
        <v>0.14512610642760296</v>
      </c>
      <c r="AG178" s="382"/>
      <c r="AH178" s="385"/>
      <c r="AI178" s="388"/>
      <c r="AJ178" s="22">
        <f t="shared" si="211"/>
        <v>1.8187189997225721</v>
      </c>
      <c r="AK178" s="22">
        <f t="shared" si="232"/>
        <v>0.33</v>
      </c>
      <c r="AL178" s="23">
        <f t="shared" si="212"/>
        <v>18.610006994007279</v>
      </c>
      <c r="AM178" s="23">
        <f t="shared" si="233"/>
        <v>11.169303190640425</v>
      </c>
      <c r="AN178" s="23">
        <f t="shared" si="213"/>
        <v>6.600447210035397</v>
      </c>
      <c r="AO178" s="23">
        <f t="shared" si="234"/>
        <v>3.3952700448422082</v>
      </c>
      <c r="AP178" s="23">
        <f t="shared" si="235"/>
        <v>0.12891653159193248</v>
      </c>
      <c r="AQ178" s="24">
        <f t="shared" si="214"/>
        <v>5.6286848798785531E-2</v>
      </c>
      <c r="AR178" s="22">
        <f t="shared" si="215"/>
        <v>202078585.06789398</v>
      </c>
      <c r="AS178" s="22">
        <f t="shared" si="236"/>
        <v>1.8863375414332961E-3</v>
      </c>
      <c r="AT178" s="23">
        <f t="shared" si="216"/>
        <v>364.31918683281788</v>
      </c>
      <c r="AU178" s="22">
        <f t="shared" si="217"/>
        <v>13491.28875325503</v>
      </c>
      <c r="AV178" s="443"/>
      <c r="AW178" s="445"/>
      <c r="AX178" s="388"/>
      <c r="AY178" s="339"/>
      <c r="AZ178" s="339"/>
      <c r="BA178" s="331"/>
      <c r="BB178" s="402"/>
      <c r="BC178" s="385"/>
      <c r="BD178" s="445"/>
      <c r="BE178" s="445"/>
      <c r="BF178" s="445"/>
      <c r="BG178" s="445"/>
      <c r="BH178" s="447"/>
      <c r="BI178" s="385"/>
      <c r="BJ178" s="385"/>
      <c r="BK178" s="385"/>
      <c r="BL178" s="23">
        <f t="shared" si="218"/>
        <v>-1.8890524917593867E-3</v>
      </c>
      <c r="BM178" s="24">
        <f t="shared" si="219"/>
        <v>46.619291978545682</v>
      </c>
      <c r="BN178" s="24">
        <f t="shared" si="220"/>
        <v>4197.2107941096592</v>
      </c>
      <c r="BO178" s="24">
        <f t="shared" si="221"/>
        <v>32.714004504017595</v>
      </c>
      <c r="BP178" s="24">
        <f t="shared" si="237"/>
        <v>37.621105179620237</v>
      </c>
      <c r="BQ178" s="23">
        <f t="shared" si="238"/>
        <v>127.73381147022263</v>
      </c>
      <c r="BR178" s="23">
        <f t="shared" si="224"/>
        <v>2.4268515473155285</v>
      </c>
      <c r="BS178" s="6">
        <f t="shared" si="225"/>
        <v>307.85030995301997</v>
      </c>
      <c r="BT178" s="23">
        <f t="shared" si="226"/>
        <v>314.13296933981633</v>
      </c>
      <c r="BU178" s="22">
        <f t="shared" si="227"/>
        <v>400.67980783139836</v>
      </c>
      <c r="BV178" s="22">
        <f t="shared" si="228"/>
        <v>19.079990849114211</v>
      </c>
      <c r="BW178" s="23">
        <f t="shared" si="229"/>
        <v>4.0414982738157185E-3</v>
      </c>
      <c r="BX178" s="331"/>
      <c r="BY178" s="361"/>
      <c r="BZ178" s="366"/>
      <c r="CA178" s="361"/>
    </row>
    <row r="179" spans="3:80" ht="15.75" x14ac:dyDescent="0.3">
      <c r="C179" s="22">
        <v>24</v>
      </c>
      <c r="D179" s="379"/>
      <c r="E179" s="379"/>
      <c r="F179" s="19" t="s">
        <v>128</v>
      </c>
      <c r="G179" s="256"/>
      <c r="H179" s="54">
        <v>0.89166666666666805</v>
      </c>
      <c r="I179" s="13">
        <v>-8.5768070000000005</v>
      </c>
      <c r="J179" s="13">
        <v>115.624848</v>
      </c>
      <c r="K179" s="13">
        <f t="shared" si="258"/>
        <v>-0.14969352145809731</v>
      </c>
      <c r="L179" s="13">
        <f t="shared" si="258"/>
        <v>2.0180342947179803</v>
      </c>
      <c r="M179" s="13">
        <v>3443</v>
      </c>
      <c r="N179" s="71">
        <f t="shared" si="208"/>
        <v>0.2842884508539591</v>
      </c>
      <c r="O179" s="421"/>
      <c r="P179" s="421"/>
      <c r="Q179" s="425"/>
      <c r="R179" s="23">
        <f t="shared" si="239"/>
        <v>4.9999999999994493E-2</v>
      </c>
      <c r="S179" s="331"/>
      <c r="T179" s="23">
        <f t="shared" si="240"/>
        <v>5.6857690170798083</v>
      </c>
      <c r="U179" s="421"/>
      <c r="V179" s="22">
        <f t="shared" si="209"/>
        <v>2.9247595823858532</v>
      </c>
      <c r="W179" s="130">
        <f t="shared" si="241"/>
        <v>-3.2675269152439941E-5</v>
      </c>
      <c r="X179" s="13">
        <f t="shared" si="242"/>
        <v>7.6846846964961912E-5</v>
      </c>
      <c r="Y179" s="13">
        <f t="shared" si="243"/>
        <v>1.9728362516824607</v>
      </c>
      <c r="Z179" s="13">
        <f t="shared" si="244"/>
        <v>113.03519089181405</v>
      </c>
      <c r="AA179" s="13">
        <f t="shared" si="245"/>
        <v>246.96480910818593</v>
      </c>
      <c r="AB179" s="13">
        <v>100</v>
      </c>
      <c r="AC179" s="13">
        <v>13</v>
      </c>
      <c r="AD179" s="13">
        <f t="shared" si="230"/>
        <v>4</v>
      </c>
      <c r="AE179" s="16">
        <f t="shared" si="231"/>
        <v>146.96480910818593</v>
      </c>
      <c r="AF179" s="23">
        <f t="shared" si="210"/>
        <v>0.11105150875236969</v>
      </c>
      <c r="AG179" s="382"/>
      <c r="AH179" s="385"/>
      <c r="AI179" s="388"/>
      <c r="AJ179" s="22">
        <f t="shared" si="211"/>
        <v>2.0460531415005718</v>
      </c>
      <c r="AK179" s="22">
        <f t="shared" si="232"/>
        <v>0.33</v>
      </c>
      <c r="AL179" s="23">
        <f t="shared" si="212"/>
        <v>18.610006994007279</v>
      </c>
      <c r="AM179" s="23">
        <f t="shared" si="233"/>
        <v>12.565430880233949</v>
      </c>
      <c r="AN179" s="23">
        <f t="shared" si="213"/>
        <v>4.9713276412288874</v>
      </c>
      <c r="AO179" s="23">
        <f t="shared" si="234"/>
        <v>2.5572509386481395</v>
      </c>
      <c r="AP179" s="23">
        <f t="shared" si="235"/>
        <v>9.7097408178633715E-2</v>
      </c>
      <c r="AQ179" s="24">
        <f t="shared" si="214"/>
        <v>5.7185619490507857E-2</v>
      </c>
      <c r="AR179" s="22">
        <f t="shared" si="215"/>
        <v>152201634.78029799</v>
      </c>
      <c r="AS179" s="22">
        <f t="shared" si="236"/>
        <v>1.9622048672891289E-3</v>
      </c>
      <c r="AT179" s="23">
        <f t="shared" si="216"/>
        <v>214.98345302960243</v>
      </c>
      <c r="AU179" s="22">
        <f t="shared" si="217"/>
        <v>7961.16138490716</v>
      </c>
      <c r="AV179" s="443"/>
      <c r="AW179" s="445"/>
      <c r="AX179" s="388"/>
      <c r="AY179" s="339"/>
      <c r="AZ179" s="339"/>
      <c r="BA179" s="331"/>
      <c r="BB179" s="402"/>
      <c r="BC179" s="385"/>
      <c r="BD179" s="445"/>
      <c r="BE179" s="445"/>
      <c r="BF179" s="445"/>
      <c r="BG179" s="445"/>
      <c r="BH179" s="447"/>
      <c r="BI179" s="385"/>
      <c r="BJ179" s="385"/>
      <c r="BK179" s="385"/>
      <c r="BL179" s="23">
        <f t="shared" si="218"/>
        <v>-1.9183691354737184E-5</v>
      </c>
      <c r="BM179" s="24">
        <f t="shared" si="219"/>
        <v>0.57969593755363868</v>
      </c>
      <c r="BN179" s="24">
        <f t="shared" si="220"/>
        <v>2380.9969042322496</v>
      </c>
      <c r="BO179" s="24">
        <f t="shared" si="221"/>
        <v>19.181725002812669</v>
      </c>
      <c r="BP179" s="24">
        <f t="shared" si="237"/>
        <v>22.058983753234571</v>
      </c>
      <c r="BQ179" s="23">
        <f t="shared" si="238"/>
        <v>56.410356908583168</v>
      </c>
      <c r="BR179" s="23">
        <f t="shared" si="224"/>
        <v>1.8278570821664191</v>
      </c>
      <c r="BS179" s="6">
        <f t="shared" si="225"/>
        <v>135.95418205238607</v>
      </c>
      <c r="BT179" s="23">
        <f t="shared" si="226"/>
        <v>138.72875719631233</v>
      </c>
      <c r="BU179" s="22">
        <f t="shared" si="227"/>
        <v>176.94994540345959</v>
      </c>
      <c r="BV179" s="22">
        <f t="shared" si="228"/>
        <v>8.42618787635522</v>
      </c>
      <c r="BW179" s="23">
        <f t="shared" si="229"/>
        <v>1.8133234106101415E-3</v>
      </c>
      <c r="BX179" s="331"/>
      <c r="BY179" s="361"/>
      <c r="BZ179" s="366"/>
      <c r="CA179" s="361"/>
    </row>
    <row r="180" spans="3:80" ht="15.75" x14ac:dyDescent="0.3">
      <c r="C180" s="22">
        <v>25</v>
      </c>
      <c r="D180" s="379"/>
      <c r="E180" s="379"/>
      <c r="F180" s="19" t="s">
        <v>128</v>
      </c>
      <c r="G180" s="257"/>
      <c r="H180" s="54">
        <v>0.89375000000000204</v>
      </c>
      <c r="I180" s="13">
        <v>-8.5790019999999991</v>
      </c>
      <c r="J180" s="13">
        <v>115.630897</v>
      </c>
      <c r="K180" s="13">
        <f t="shared" si="258"/>
        <v>-0.14973183143517857</v>
      </c>
      <c r="L180" s="13">
        <f t="shared" si="258"/>
        <v>2.0181398696844339</v>
      </c>
      <c r="M180" s="13">
        <v>3443</v>
      </c>
      <c r="N180" s="71">
        <f t="shared" si="208"/>
        <v>0.38286658532975526</v>
      </c>
      <c r="O180" s="421"/>
      <c r="P180" s="421"/>
      <c r="Q180" s="425"/>
      <c r="R180" s="23">
        <f t="shared" si="239"/>
        <v>5.000000000001581E-2</v>
      </c>
      <c r="S180" s="331"/>
      <c r="T180" s="23">
        <f t="shared" si="240"/>
        <v>7.657331706592684</v>
      </c>
      <c r="U180" s="421"/>
      <c r="V180" s="22">
        <f t="shared" si="209"/>
        <v>3.9389314298712765</v>
      </c>
      <c r="W180" s="130">
        <f t="shared" si="241"/>
        <v>-3.8748027982283573E-5</v>
      </c>
      <c r="X180" s="13">
        <f t="shared" si="242"/>
        <v>1.05574966453581E-4</v>
      </c>
      <c r="Y180" s="13">
        <f t="shared" si="243"/>
        <v>1.9225517415007909</v>
      </c>
      <c r="Z180" s="13">
        <f t="shared" si="244"/>
        <v>110.15410068352176</v>
      </c>
      <c r="AA180" s="13">
        <f t="shared" si="245"/>
        <v>249.84589931647824</v>
      </c>
      <c r="AB180" s="13">
        <v>100</v>
      </c>
      <c r="AC180" s="13">
        <v>13</v>
      </c>
      <c r="AD180" s="13">
        <f t="shared" si="230"/>
        <v>4</v>
      </c>
      <c r="AE180" s="16">
        <f t="shared" si="231"/>
        <v>149.84589931647824</v>
      </c>
      <c r="AF180" s="23">
        <f t="shared" si="210"/>
        <v>0.14955905462920416</v>
      </c>
      <c r="AG180" s="382"/>
      <c r="AH180" s="385"/>
      <c r="AI180" s="388"/>
      <c r="AJ180" s="22">
        <f t="shared" si="211"/>
        <v>1.7871637323416019</v>
      </c>
      <c r="AK180" s="22">
        <f t="shared" si="232"/>
        <v>0.33</v>
      </c>
      <c r="AL180" s="23">
        <f t="shared" si="212"/>
        <v>18.610006994007279</v>
      </c>
      <c r="AM180" s="23">
        <f t="shared" si="233"/>
        <v>10.975512754243409</v>
      </c>
      <c r="AN180" s="23">
        <f t="shared" si="213"/>
        <v>6.8169002885008796</v>
      </c>
      <c r="AO180" s="23">
        <f t="shared" si="234"/>
        <v>3.5066135084048522</v>
      </c>
      <c r="AP180" s="23">
        <f t="shared" si="235"/>
        <v>0.13314418151324997</v>
      </c>
      <c r="AQ180" s="24">
        <f t="shared" si="214"/>
        <v>5.6164322364461686E-2</v>
      </c>
      <c r="AR180" s="22">
        <f t="shared" si="215"/>
        <v>208705489.34240901</v>
      </c>
      <c r="AS180" s="22">
        <f t="shared" si="236"/>
        <v>1.877980902233532E-3</v>
      </c>
      <c r="AT180" s="23">
        <f t="shared" si="216"/>
        <v>386.88417568841925</v>
      </c>
      <c r="AU180" s="22">
        <f t="shared" si="217"/>
        <v>14326.904310622314</v>
      </c>
      <c r="AV180" s="443"/>
      <c r="AW180" s="445"/>
      <c r="AX180" s="388"/>
      <c r="AY180" s="339"/>
      <c r="AZ180" s="339"/>
      <c r="BA180" s="331"/>
      <c r="BB180" s="402"/>
      <c r="BC180" s="385"/>
      <c r="BD180" s="445"/>
      <c r="BE180" s="445"/>
      <c r="BF180" s="445"/>
      <c r="BG180" s="445"/>
      <c r="BH180" s="447"/>
      <c r="BI180" s="385"/>
      <c r="BJ180" s="385"/>
      <c r="BK180" s="385"/>
      <c r="BL180" s="23">
        <f t="shared" si="218"/>
        <v>-2.7514277259345602E-3</v>
      </c>
      <c r="BM180" s="24">
        <f t="shared" si="219"/>
        <v>71.764995459345826</v>
      </c>
      <c r="BN180" s="24">
        <f t="shared" si="220"/>
        <v>4477.0087206858561</v>
      </c>
      <c r="BO180" s="24">
        <f t="shared" si="221"/>
        <v>34.782317156833223</v>
      </c>
      <c r="BP180" s="24">
        <f t="shared" si="237"/>
        <v>39.999664730358205</v>
      </c>
      <c r="BQ180" s="23">
        <f t="shared" si="238"/>
        <v>140.2633646751392</v>
      </c>
      <c r="BR180" s="23">
        <f t="shared" si="224"/>
        <v>2.5064369862531346</v>
      </c>
      <c r="BS180" s="6">
        <f t="shared" si="225"/>
        <v>338.04769303671208</v>
      </c>
      <c r="BT180" s="23">
        <f t="shared" si="226"/>
        <v>344.94662554766541</v>
      </c>
      <c r="BU180" s="22">
        <f t="shared" si="227"/>
        <v>439.98294074957317</v>
      </c>
      <c r="BV180" s="22">
        <f t="shared" si="228"/>
        <v>20.951568607122532</v>
      </c>
      <c r="BW180" s="23">
        <f t="shared" si="229"/>
        <v>4.4282727944668183E-3</v>
      </c>
      <c r="BX180" s="331"/>
      <c r="BY180" s="362"/>
      <c r="BZ180" s="451"/>
      <c r="CA180" s="362"/>
    </row>
    <row r="181" spans="3:80" ht="15.75" x14ac:dyDescent="0.3">
      <c r="C181" s="22">
        <v>26</v>
      </c>
      <c r="D181" s="379"/>
      <c r="E181" s="379"/>
      <c r="F181" s="19" t="s">
        <v>128</v>
      </c>
      <c r="G181" s="255">
        <v>0.89583333333333404</v>
      </c>
      <c r="H181" s="54">
        <v>0.89583333333333504</v>
      </c>
      <c r="I181" s="13">
        <v>-8.5808280000000003</v>
      </c>
      <c r="J181" s="13">
        <v>115.636336</v>
      </c>
      <c r="K181" s="13">
        <f t="shared" si="258"/>
        <v>-0.14976370114731999</v>
      </c>
      <c r="L181" s="13">
        <f t="shared" si="258"/>
        <v>2.0182347981424495</v>
      </c>
      <c r="M181" s="13">
        <v>3443</v>
      </c>
      <c r="N181" s="71">
        <f t="shared" si="208"/>
        <v>0.34130049686760139</v>
      </c>
      <c r="O181" s="422"/>
      <c r="P181" s="422"/>
      <c r="Q181" s="426"/>
      <c r="R181" s="23">
        <f t="shared" si="239"/>
        <v>4.9999999999991829E-2</v>
      </c>
      <c r="S181" s="358"/>
      <c r="T181" s="23">
        <f t="shared" si="240"/>
        <v>6.8260099373531435</v>
      </c>
      <c r="U181" s="422"/>
      <c r="V181" s="22">
        <f t="shared" si="209"/>
        <v>3.5112995117744568</v>
      </c>
      <c r="W181" s="130">
        <f t="shared" si="241"/>
        <v>-3.2234294151517458E-5</v>
      </c>
      <c r="X181" s="13">
        <f t="shared" si="242"/>
        <v>9.4928458015619555E-5</v>
      </c>
      <c r="Y181" s="13">
        <f t="shared" si="243"/>
        <v>1.8981440288991815</v>
      </c>
      <c r="Z181" s="13">
        <f t="shared" si="244"/>
        <v>108.75564176388127</v>
      </c>
      <c r="AA181" s="13">
        <f t="shared" si="245"/>
        <v>251.24435823611873</v>
      </c>
      <c r="AB181" s="13">
        <v>100</v>
      </c>
      <c r="AC181" s="13">
        <v>13</v>
      </c>
      <c r="AD181" s="13">
        <f t="shared" si="230"/>
        <v>4</v>
      </c>
      <c r="AE181" s="16">
        <f t="shared" si="231"/>
        <v>151.24435823611873</v>
      </c>
      <c r="AF181" s="23">
        <f t="shared" si="210"/>
        <v>0.13332210647752646</v>
      </c>
      <c r="AG181" s="382"/>
      <c r="AH181" s="385"/>
      <c r="AI181" s="388"/>
      <c r="AJ181" s="22">
        <f t="shared" si="211"/>
        <v>1.9005207107561353</v>
      </c>
      <c r="AK181" s="22">
        <f t="shared" si="232"/>
        <v>-3.999999999999998E-2</v>
      </c>
      <c r="AL181" s="23">
        <f t="shared" si="212"/>
        <v>18.610006994007279</v>
      </c>
      <c r="AM181" s="23">
        <f t="shared" si="233"/>
        <v>-1.4147481487770939</v>
      </c>
      <c r="AN181" s="23">
        <f t="shared" si="213"/>
        <v>6.9225807865771873</v>
      </c>
      <c r="AO181" s="23">
        <f t="shared" si="234"/>
        <v>3.560975556615305</v>
      </c>
      <c r="AP181" s="23">
        <f t="shared" si="235"/>
        <v>0.13520827851082787</v>
      </c>
      <c r="AQ181" s="24">
        <f t="shared" si="214"/>
        <v>4.9302493880516288E-2</v>
      </c>
      <c r="AR181" s="22">
        <f t="shared" si="215"/>
        <v>211940992.15622762</v>
      </c>
      <c r="AS181" s="22">
        <f t="shared" si="236"/>
        <v>1.8740163401210113E-3</v>
      </c>
      <c r="AT181" s="23">
        <f t="shared" si="216"/>
        <v>398.13040952841624</v>
      </c>
      <c r="AU181" s="22">
        <f t="shared" si="217"/>
        <v>14743.369305071408</v>
      </c>
      <c r="AV181" s="443"/>
      <c r="AW181" s="445"/>
      <c r="AX181" s="388"/>
      <c r="AY181" s="339"/>
      <c r="AZ181" s="339"/>
      <c r="BA181" s="331"/>
      <c r="BB181" s="402"/>
      <c r="BC181" s="385"/>
      <c r="BD181" s="445"/>
      <c r="BE181" s="445"/>
      <c r="BF181" s="445"/>
      <c r="BG181" s="445"/>
      <c r="BH181" s="447"/>
      <c r="BI181" s="385"/>
      <c r="BJ181" s="385"/>
      <c r="BK181" s="385"/>
      <c r="BL181" s="23">
        <f t="shared" si="218"/>
        <v>-3.2642719173865209E-3</v>
      </c>
      <c r="BM181" s="24">
        <f t="shared" si="219"/>
        <v>87.736067519076627</v>
      </c>
      <c r="BN181" s="24">
        <f t="shared" si="220"/>
        <v>4616.8963270160839</v>
      </c>
      <c r="BO181" s="24">
        <f t="shared" si="221"/>
        <v>35.81702671802465</v>
      </c>
      <c r="BP181" s="24">
        <f t="shared" si="237"/>
        <v>41.189580725728348</v>
      </c>
      <c r="BQ181" s="23">
        <f t="shared" si="238"/>
        <v>146.67509015155153</v>
      </c>
      <c r="BR181" s="23">
        <f t="shared" si="224"/>
        <v>2.5452935776500967</v>
      </c>
      <c r="BS181" s="6">
        <f t="shared" si="225"/>
        <v>353.50054496783417</v>
      </c>
      <c r="BT181" s="23">
        <f t="shared" si="226"/>
        <v>360.71484180391241</v>
      </c>
      <c r="BU181" s="22">
        <f t="shared" si="227"/>
        <v>460.09546148458213</v>
      </c>
      <c r="BV181" s="22">
        <f t="shared" si="228"/>
        <v>21.909307689742004</v>
      </c>
      <c r="BW181" s="23">
        <f t="shared" si="229"/>
        <v>4.0649465784340089E-3</v>
      </c>
      <c r="BX181" s="331"/>
      <c r="BY181" s="360">
        <f t="shared" ref="BY181" si="269">(SUM(BW181:BW185))*1000</f>
        <v>36.617767418865611</v>
      </c>
      <c r="BZ181" s="365">
        <v>40</v>
      </c>
      <c r="CA181" s="360">
        <f t="shared" ref="CA181" si="270">AVERAGE(AN181:AN185)</f>
        <v>7.7948533057112339</v>
      </c>
    </row>
    <row r="182" spans="3:80" ht="15.75" x14ac:dyDescent="0.3">
      <c r="C182" s="22">
        <v>27</v>
      </c>
      <c r="D182" s="379"/>
      <c r="E182" s="379"/>
      <c r="F182" s="19" t="s">
        <v>128</v>
      </c>
      <c r="G182" s="256"/>
      <c r="H182" s="54">
        <v>0.89791666666666903</v>
      </c>
      <c r="I182" s="82">
        <v>-8.5828209999999991</v>
      </c>
      <c r="J182" s="82">
        <v>115.64314400000001</v>
      </c>
      <c r="K182" s="13">
        <f t="shared" si="258"/>
        <v>-0.14979848555931222</v>
      </c>
      <c r="L182" s="13">
        <f t="shared" si="258"/>
        <v>2.0183536201579253</v>
      </c>
      <c r="M182" s="13">
        <v>3443</v>
      </c>
      <c r="N182" s="71">
        <f t="shared" si="208"/>
        <v>0.42187983464018469</v>
      </c>
      <c r="O182" s="420">
        <f t="shared" ref="O182" si="271">SUM(N182:N186)</f>
        <v>2.4571327722514682</v>
      </c>
      <c r="P182" s="423">
        <v>1.75</v>
      </c>
      <c r="Q182" s="424">
        <f t="shared" ref="Q182" si="272">ABS((O182-P182)/O182)*100%</f>
        <v>0.28778777453019894</v>
      </c>
      <c r="R182" s="23">
        <f t="shared" si="239"/>
        <v>5.000000000001581E-2</v>
      </c>
      <c r="S182" s="357">
        <f t="shared" ref="S182" si="273">+SUM(R182:R186)</f>
        <v>0.25000000000003109</v>
      </c>
      <c r="T182" s="23">
        <f t="shared" si="240"/>
        <v>8.4375966928010264</v>
      </c>
      <c r="U182" s="420">
        <f t="shared" ref="U182" si="274">AVERAGE(T182:T186)</f>
        <v>9.8285310890041977</v>
      </c>
      <c r="V182" s="22">
        <f t="shared" si="209"/>
        <v>4.3402997387768476</v>
      </c>
      <c r="W182" s="130">
        <f t="shared" si="241"/>
        <v>-3.518251536566381E-5</v>
      </c>
      <c r="X182" s="13">
        <f t="shared" si="242"/>
        <v>1.1882201547575022E-4</v>
      </c>
      <c r="Y182" s="13">
        <f t="shared" si="243"/>
        <v>1.8586660222423048</v>
      </c>
      <c r="Z182" s="13">
        <f t="shared" si="244"/>
        <v>106.49371859885287</v>
      </c>
      <c r="AA182" s="13">
        <f t="shared" si="245"/>
        <v>253.50628140114713</v>
      </c>
      <c r="AB182" s="13">
        <v>100</v>
      </c>
      <c r="AC182" s="13">
        <v>13</v>
      </c>
      <c r="AD182" s="13">
        <f t="shared" si="230"/>
        <v>4</v>
      </c>
      <c r="AE182" s="16">
        <f t="shared" si="231"/>
        <v>153.50628140114713</v>
      </c>
      <c r="AF182" s="23">
        <f t="shared" si="210"/>
        <v>0.1647987880205522</v>
      </c>
      <c r="AG182" s="382"/>
      <c r="AH182" s="385"/>
      <c r="AI182" s="388"/>
      <c r="AJ182" s="22">
        <f t="shared" si="211"/>
        <v>1.6752042541406595</v>
      </c>
      <c r="AK182" s="22">
        <f t="shared" si="232"/>
        <v>-3.999999999999998E-2</v>
      </c>
      <c r="AL182" s="23">
        <f t="shared" si="212"/>
        <v>18.610006994007279</v>
      </c>
      <c r="AM182" s="23">
        <f t="shared" si="233"/>
        <v>-1.2470225154379362</v>
      </c>
      <c r="AN182" s="23">
        <f t="shared" si="213"/>
        <v>8.5428154233221019</v>
      </c>
      <c r="AO182" s="23">
        <f t="shared" si="234"/>
        <v>4.3944242537568892</v>
      </c>
      <c r="AP182" s="23">
        <f t="shared" si="235"/>
        <v>0.16685386601233732</v>
      </c>
      <c r="AQ182" s="24">
        <f t="shared" si="214"/>
        <v>4.9384168302225293E-2</v>
      </c>
      <c r="AR182" s="22">
        <f t="shared" si="215"/>
        <v>261545922.31514177</v>
      </c>
      <c r="AS182" s="22">
        <f t="shared" si="236"/>
        <v>1.821054814251156E-3</v>
      </c>
      <c r="AT182" s="23">
        <f t="shared" si="216"/>
        <v>589.17047702140246</v>
      </c>
      <c r="AU182" s="22">
        <f t="shared" si="217"/>
        <v>21817.871025377284</v>
      </c>
      <c r="AV182" s="443"/>
      <c r="AW182" s="445"/>
      <c r="AX182" s="388"/>
      <c r="AY182" s="339"/>
      <c r="AZ182" s="339"/>
      <c r="BA182" s="331"/>
      <c r="BB182" s="402"/>
      <c r="BC182" s="385"/>
      <c r="BD182" s="445"/>
      <c r="BE182" s="445"/>
      <c r="BF182" s="445"/>
      <c r="BG182" s="445"/>
      <c r="BH182" s="447"/>
      <c r="BI182" s="385"/>
      <c r="BJ182" s="385"/>
      <c r="BK182" s="385"/>
      <c r="BL182" s="23">
        <f t="shared" si="218"/>
        <v>-2.1352889452954455E-2</v>
      </c>
      <c r="BM182" s="24">
        <f t="shared" si="219"/>
        <v>1051.3394797518138</v>
      </c>
      <c r="BN182" s="24">
        <f t="shared" si="220"/>
        <v>7030.9838977568379</v>
      </c>
      <c r="BO182" s="24">
        <f t="shared" si="221"/>
        <v>54.12378056376248</v>
      </c>
      <c r="BP182" s="24">
        <f t="shared" si="237"/>
        <v>62.242347648326856</v>
      </c>
      <c r="BQ182" s="23">
        <f t="shared" si="238"/>
        <v>273.5192821165756</v>
      </c>
      <c r="BR182" s="23">
        <f t="shared" si="224"/>
        <v>3.1410212321672404</v>
      </c>
      <c r="BS182" s="6">
        <f t="shared" si="225"/>
        <v>659.20678956131167</v>
      </c>
      <c r="BT182" s="23">
        <f t="shared" si="226"/>
        <v>672.65998934827724</v>
      </c>
      <c r="BU182" s="22">
        <f t="shared" si="227"/>
        <v>857.98468029116987</v>
      </c>
      <c r="BV182" s="22">
        <f t="shared" si="228"/>
        <v>40.856413347198568</v>
      </c>
      <c r="BW182" s="23">
        <f t="shared" si="229"/>
        <v>7.5928580855196314E-3</v>
      </c>
      <c r="BX182" s="331"/>
      <c r="BY182" s="361"/>
      <c r="BZ182" s="366"/>
      <c r="CA182" s="361"/>
    </row>
    <row r="183" spans="3:80" ht="15.75" x14ac:dyDescent="0.3">
      <c r="C183" s="22">
        <v>28</v>
      </c>
      <c r="D183" s="379"/>
      <c r="E183" s="379"/>
      <c r="F183" s="19" t="s">
        <v>128</v>
      </c>
      <c r="G183" s="256"/>
      <c r="H183" s="54">
        <v>0.90000000000000202</v>
      </c>
      <c r="I183" s="82">
        <v>-8.5855949999999996</v>
      </c>
      <c r="J183" s="82">
        <v>115.650699</v>
      </c>
      <c r="K183" s="13">
        <f t="shared" si="258"/>
        <v>-0.14984690099276254</v>
      </c>
      <c r="L183" s="13">
        <f t="shared" si="258"/>
        <v>2.0184854797829135</v>
      </c>
      <c r="M183" s="13">
        <v>3443</v>
      </c>
      <c r="N183" s="71">
        <f t="shared" si="208"/>
        <v>0.47885736205363205</v>
      </c>
      <c r="O183" s="421"/>
      <c r="P183" s="421"/>
      <c r="Q183" s="425"/>
      <c r="R183" s="23">
        <f t="shared" si="239"/>
        <v>4.9999999999991829E-2</v>
      </c>
      <c r="S183" s="331"/>
      <c r="T183" s="23">
        <f t="shared" si="240"/>
        <v>9.577147241074206</v>
      </c>
      <c r="U183" s="421"/>
      <c r="V183" s="22">
        <f t="shared" si="209"/>
        <v>4.9264845408085716</v>
      </c>
      <c r="W183" s="130">
        <f t="shared" si="241"/>
        <v>-4.8969851342208622E-5</v>
      </c>
      <c r="X183" s="13">
        <f t="shared" si="242"/>
        <v>1.3185962498818427E-4</v>
      </c>
      <c r="Y183" s="13">
        <f t="shared" si="243"/>
        <v>1.9263883532799437</v>
      </c>
      <c r="Z183" s="13">
        <f t="shared" si="244"/>
        <v>110.37392234609739</v>
      </c>
      <c r="AA183" s="13">
        <f t="shared" si="245"/>
        <v>249.6260776539026</v>
      </c>
      <c r="AB183" s="13">
        <v>100</v>
      </c>
      <c r="AC183" s="13">
        <v>13</v>
      </c>
      <c r="AD183" s="13">
        <f t="shared" si="230"/>
        <v>4</v>
      </c>
      <c r="AE183" s="16">
        <f t="shared" si="231"/>
        <v>149.6260776539026</v>
      </c>
      <c r="AF183" s="23">
        <f t="shared" si="210"/>
        <v>0.18705590175577069</v>
      </c>
      <c r="AG183" s="382"/>
      <c r="AH183" s="385"/>
      <c r="AI183" s="388"/>
      <c r="AJ183" s="22">
        <f t="shared" si="211"/>
        <v>1.5020102030763398</v>
      </c>
      <c r="AK183" s="22">
        <f t="shared" si="232"/>
        <v>0.33</v>
      </c>
      <c r="AL183" s="23">
        <f t="shared" si="212"/>
        <v>18.610006994007279</v>
      </c>
      <c r="AM183" s="23">
        <f t="shared" si="233"/>
        <v>9.2242987268259231</v>
      </c>
      <c r="AN183" s="23">
        <f t="shared" si="213"/>
        <v>8.6937225700495535</v>
      </c>
      <c r="AO183" s="23">
        <f t="shared" si="234"/>
        <v>4.4720508900334899</v>
      </c>
      <c r="AP183" s="23">
        <f t="shared" si="235"/>
        <v>0.16980130659166034</v>
      </c>
      <c r="AQ183" s="24">
        <f t="shared" si="214"/>
        <v>5.5080819314769394E-2</v>
      </c>
      <c r="AR183" s="22">
        <f t="shared" si="215"/>
        <v>266166079.3616145</v>
      </c>
      <c r="AS183" s="22">
        <f t="shared" si="236"/>
        <v>1.8167465965491126E-3</v>
      </c>
      <c r="AT183" s="23">
        <f t="shared" si="216"/>
        <v>608.72595737649601</v>
      </c>
      <c r="AU183" s="22">
        <f t="shared" si="217"/>
        <v>22542.039945693414</v>
      </c>
      <c r="AV183" s="443"/>
      <c r="AW183" s="445"/>
      <c r="AX183" s="388"/>
      <c r="AY183" s="339"/>
      <c r="AZ183" s="339"/>
      <c r="BA183" s="331"/>
      <c r="BB183" s="402"/>
      <c r="BC183" s="385"/>
      <c r="BD183" s="445"/>
      <c r="BE183" s="445"/>
      <c r="BF183" s="445"/>
      <c r="BG183" s="445"/>
      <c r="BH183" s="447"/>
      <c r="BI183" s="385"/>
      <c r="BJ183" s="385"/>
      <c r="BK183" s="385"/>
      <c r="BL183" s="23">
        <f t="shared" si="218"/>
        <v>-2.4162536854298367E-2</v>
      </c>
      <c r="BM183" s="24">
        <f t="shared" si="219"/>
        <v>1271.0996285165224</v>
      </c>
      <c r="BN183" s="24">
        <f t="shared" si="220"/>
        <v>7281.5797658653219</v>
      </c>
      <c r="BO183" s="24">
        <f t="shared" si="221"/>
        <v>56.122323831425156</v>
      </c>
      <c r="BP183" s="24">
        <f t="shared" si="237"/>
        <v>64.540672406138924</v>
      </c>
      <c r="BQ183" s="23">
        <f t="shared" si="238"/>
        <v>288.62917147723346</v>
      </c>
      <c r="BR183" s="23">
        <f t="shared" si="224"/>
        <v>3.1965067516907757</v>
      </c>
      <c r="BS183" s="6">
        <f t="shared" si="225"/>
        <v>695.62302164187349</v>
      </c>
      <c r="BT183" s="23">
        <f t="shared" si="226"/>
        <v>709.81940983864638</v>
      </c>
      <c r="BU183" s="22">
        <f t="shared" si="227"/>
        <v>905.38190030439591</v>
      </c>
      <c r="BV183" s="22">
        <f t="shared" si="228"/>
        <v>43.113423824018852</v>
      </c>
      <c r="BW183" s="23">
        <f t="shared" si="229"/>
        <v>8.936556493585995E-3</v>
      </c>
      <c r="BX183" s="331"/>
      <c r="BY183" s="361"/>
      <c r="BZ183" s="366"/>
      <c r="CA183" s="361"/>
    </row>
    <row r="184" spans="3:80" ht="15.75" x14ac:dyDescent="0.3">
      <c r="C184" s="22">
        <v>29</v>
      </c>
      <c r="D184" s="379"/>
      <c r="E184" s="379"/>
      <c r="F184" s="19" t="s">
        <v>128</v>
      </c>
      <c r="G184" s="256"/>
      <c r="H184" s="54">
        <v>0.90208333333333601</v>
      </c>
      <c r="I184" s="82">
        <v>-8.5887600000000006</v>
      </c>
      <c r="J184" s="82">
        <v>115.659375</v>
      </c>
      <c r="K184" s="13">
        <f t="shared" si="258"/>
        <v>-0.1499021406635882</v>
      </c>
      <c r="L184" s="13">
        <f t="shared" si="258"/>
        <v>2.0186369045488166</v>
      </c>
      <c r="M184" s="13">
        <v>3443</v>
      </c>
      <c r="N184" s="71">
        <f t="shared" si="208"/>
        <v>0.54947600375236283</v>
      </c>
      <c r="O184" s="421"/>
      <c r="P184" s="421"/>
      <c r="Q184" s="425"/>
      <c r="R184" s="23">
        <f t="shared" si="239"/>
        <v>5.000000000001581E-2</v>
      </c>
      <c r="S184" s="331"/>
      <c r="T184" s="23">
        <f t="shared" si="240"/>
        <v>10.989520075043782</v>
      </c>
      <c r="U184" s="421"/>
      <c r="V184" s="22">
        <f t="shared" si="209"/>
        <v>5.6530091266025213</v>
      </c>
      <c r="W184" s="130">
        <f t="shared" si="241"/>
        <v>-5.5872674417887269E-5</v>
      </c>
      <c r="X184" s="13">
        <f t="shared" si="242"/>
        <v>1.5142476590312981E-4</v>
      </c>
      <c r="Y184" s="13">
        <f t="shared" si="243"/>
        <v>1.9242785641667708</v>
      </c>
      <c r="Z184" s="13">
        <f t="shared" si="244"/>
        <v>110.25304033424993</v>
      </c>
      <c r="AA184" s="13">
        <f t="shared" si="245"/>
        <v>249.74695966575007</v>
      </c>
      <c r="AB184" s="13">
        <v>100</v>
      </c>
      <c r="AC184" s="13">
        <v>13</v>
      </c>
      <c r="AD184" s="13">
        <f t="shared" si="230"/>
        <v>4</v>
      </c>
      <c r="AE184" s="16">
        <f t="shared" si="231"/>
        <v>149.74695966575007</v>
      </c>
      <c r="AF184" s="23">
        <f t="shared" si="210"/>
        <v>0.2146416397029195</v>
      </c>
      <c r="AG184" s="382"/>
      <c r="AH184" s="385"/>
      <c r="AI184" s="388"/>
      <c r="AJ184" s="22">
        <f t="shared" si="211"/>
        <v>1.2714019445646463</v>
      </c>
      <c r="AK184" s="22">
        <f t="shared" si="232"/>
        <v>0.33</v>
      </c>
      <c r="AL184" s="23">
        <f t="shared" si="212"/>
        <v>18.610006994007279</v>
      </c>
      <c r="AM184" s="23">
        <f t="shared" si="233"/>
        <v>7.8080636965790324</v>
      </c>
      <c r="AN184" s="23">
        <f t="shared" si="213"/>
        <v>10.131451347636023</v>
      </c>
      <c r="AO184" s="23">
        <f t="shared" si="234"/>
        <v>5.2116185732239702</v>
      </c>
      <c r="AP184" s="23">
        <f t="shared" si="235"/>
        <v>0.19788228375553388</v>
      </c>
      <c r="AQ184" s="24">
        <f t="shared" si="214"/>
        <v>5.4234678221158544E-2</v>
      </c>
      <c r="AR184" s="22">
        <f t="shared" si="215"/>
        <v>310183429.6775651</v>
      </c>
      <c r="AS184" s="22">
        <f t="shared" si="236"/>
        <v>1.7797347175350622E-3</v>
      </c>
      <c r="AT184" s="23">
        <f t="shared" si="216"/>
        <v>809.86850651915074</v>
      </c>
      <c r="AU184" s="22">
        <f t="shared" si="217"/>
        <v>29990.651792465629</v>
      </c>
      <c r="AV184" s="443"/>
      <c r="AW184" s="445"/>
      <c r="AX184" s="388"/>
      <c r="AY184" s="339"/>
      <c r="AZ184" s="339"/>
      <c r="BA184" s="331"/>
      <c r="BB184" s="402"/>
      <c r="BC184" s="385"/>
      <c r="BD184" s="445"/>
      <c r="BE184" s="445"/>
      <c r="BF184" s="445"/>
      <c r="BG184" s="445"/>
      <c r="BH184" s="447"/>
      <c r="BI184" s="385"/>
      <c r="BJ184" s="385"/>
      <c r="BK184" s="385"/>
      <c r="BL184" s="23">
        <f t="shared" si="218"/>
        <v>-6.0299139804485799E-2</v>
      </c>
      <c r="BM184" s="24">
        <f t="shared" si="219"/>
        <v>6135.3372832336145</v>
      </c>
      <c r="BN184" s="24">
        <f t="shared" si="220"/>
        <v>9889.1140062945033</v>
      </c>
      <c r="BO184" s="24">
        <f t="shared" si="221"/>
        <v>79.312629539576946</v>
      </c>
      <c r="BP184" s="24">
        <f t="shared" si="237"/>
        <v>91.209523970513487</v>
      </c>
      <c r="BQ184" s="23">
        <f t="shared" si="238"/>
        <v>475.34924917964503</v>
      </c>
      <c r="BR184" s="23">
        <f t="shared" si="224"/>
        <v>3.725130676324373</v>
      </c>
      <c r="BS184" s="6">
        <f t="shared" si="225"/>
        <v>1145.6356935689112</v>
      </c>
      <c r="BT184" s="23">
        <f t="shared" si="226"/>
        <v>1169.0160138458277</v>
      </c>
      <c r="BU184" s="22">
        <f t="shared" si="227"/>
        <v>1491.0918543951884</v>
      </c>
      <c r="BV184" s="22">
        <f t="shared" si="228"/>
        <v>71.004374018818496</v>
      </c>
      <c r="BW184" s="23">
        <f t="shared" si="229"/>
        <v>1.4491704536299402E-2</v>
      </c>
      <c r="BX184" s="331"/>
      <c r="BY184" s="361"/>
      <c r="BZ184" s="366"/>
      <c r="CA184" s="361"/>
    </row>
    <row r="185" spans="3:80" ht="15.75" x14ac:dyDescent="0.3">
      <c r="C185" s="22">
        <v>30</v>
      </c>
      <c r="D185" s="379"/>
      <c r="E185" s="379"/>
      <c r="F185" s="19" t="s">
        <v>128</v>
      </c>
      <c r="G185" s="257"/>
      <c r="H185" s="54">
        <v>0.90416666666666901</v>
      </c>
      <c r="I185" s="82">
        <v>-8.5927779999999991</v>
      </c>
      <c r="J185" s="82">
        <v>115.661354</v>
      </c>
      <c r="K185" s="13">
        <f t="shared" si="258"/>
        <v>-0.14997226799293328</v>
      </c>
      <c r="L185" s="13">
        <f t="shared" si="258"/>
        <v>2.0186714446147138</v>
      </c>
      <c r="M185" s="13">
        <v>3443</v>
      </c>
      <c r="N185" s="71">
        <f t="shared" si="208"/>
        <v>0.26855926293967886</v>
      </c>
      <c r="O185" s="421"/>
      <c r="P185" s="421"/>
      <c r="Q185" s="425"/>
      <c r="R185" s="23">
        <f t="shared" si="239"/>
        <v>4.9999999999991829E-2</v>
      </c>
      <c r="S185" s="331"/>
      <c r="T185" s="23">
        <f t="shared" si="240"/>
        <v>5.3711852587944549</v>
      </c>
      <c r="U185" s="421"/>
      <c r="V185" s="22">
        <f t="shared" si="209"/>
        <v>2.7629376971238675</v>
      </c>
      <c r="W185" s="130">
        <f t="shared" si="241"/>
        <v>-7.0931609085811317E-5</v>
      </c>
      <c r="X185" s="13">
        <f t="shared" si="242"/>
        <v>3.4540065897203931E-5</v>
      </c>
      <c r="Y185" s="13">
        <f t="shared" si="243"/>
        <v>2.6884403668246168</v>
      </c>
      <c r="Z185" s="13">
        <f t="shared" si="244"/>
        <v>154.03628649165341</v>
      </c>
      <c r="AA185" s="13">
        <f t="shared" si="245"/>
        <v>205.96371350834659</v>
      </c>
      <c r="AB185" s="13">
        <v>100</v>
      </c>
      <c r="AC185" s="13">
        <v>13</v>
      </c>
      <c r="AD185" s="13">
        <f t="shared" si="230"/>
        <v>4</v>
      </c>
      <c r="AE185" s="16">
        <f t="shared" si="231"/>
        <v>105.96371350834659</v>
      </c>
      <c r="AF185" s="23">
        <f t="shared" si="210"/>
        <v>0.10490722099083101</v>
      </c>
      <c r="AG185" s="382"/>
      <c r="AH185" s="385"/>
      <c r="AI185" s="388"/>
      <c r="AJ185" s="22">
        <f t="shared" si="211"/>
        <v>2.0841791921481043</v>
      </c>
      <c r="AK185" s="22">
        <f t="shared" si="232"/>
        <v>0.33</v>
      </c>
      <c r="AL185" s="23">
        <f t="shared" si="212"/>
        <v>18.610006994007279</v>
      </c>
      <c r="AM185" s="23">
        <f t="shared" si="233"/>
        <v>12.799574483071417</v>
      </c>
      <c r="AN185" s="23">
        <f t="shared" si="213"/>
        <v>4.6836964009713062</v>
      </c>
      <c r="AO185" s="23">
        <f t="shared" si="234"/>
        <v>2.4092934286596397</v>
      </c>
      <c r="AP185" s="23">
        <f t="shared" si="235"/>
        <v>9.1479543101989261E-2</v>
      </c>
      <c r="AQ185" s="24">
        <f t="shared" si="214"/>
        <v>5.7339169738667296E-2</v>
      </c>
      <c r="AR185" s="22">
        <f t="shared" si="215"/>
        <v>143395547.52545217</v>
      </c>
      <c r="AS185" s="22">
        <f t="shared" si="236"/>
        <v>1.9787387730345199E-3</v>
      </c>
      <c r="AT185" s="23">
        <f t="shared" si="216"/>
        <v>192.43401805682728</v>
      </c>
      <c r="AU185" s="22">
        <f t="shared" si="217"/>
        <v>7126.121811270702</v>
      </c>
      <c r="AV185" s="443"/>
      <c r="AW185" s="445"/>
      <c r="AX185" s="388"/>
      <c r="AY185" s="339"/>
      <c r="AZ185" s="339"/>
      <c r="BA185" s="331"/>
      <c r="BB185" s="402"/>
      <c r="BC185" s="385"/>
      <c r="BD185" s="445"/>
      <c r="BE185" s="445"/>
      <c r="BF185" s="445"/>
      <c r="BG185" s="445"/>
      <c r="BH185" s="447"/>
      <c r="BI185" s="385"/>
      <c r="BJ185" s="385"/>
      <c r="BK185" s="385"/>
      <c r="BL185" s="23">
        <f t="shared" si="218"/>
        <v>-5.0093484442452521E-6</v>
      </c>
      <c r="BM185" s="24">
        <f t="shared" si="219"/>
        <v>0.19817281820496022</v>
      </c>
      <c r="BN185" s="24">
        <f t="shared" si="220"/>
        <v>2113.4478188361199</v>
      </c>
      <c r="BO185" s="24">
        <f t="shared" si="221"/>
        <v>17.151640848990596</v>
      </c>
      <c r="BP185" s="24">
        <f t="shared" si="237"/>
        <v>19.724386976339186</v>
      </c>
      <c r="BQ185" s="23">
        <f t="shared" si="238"/>
        <v>47.521835926433781</v>
      </c>
      <c r="BR185" s="23">
        <f t="shared" si="224"/>
        <v>1.7221008662218251</v>
      </c>
      <c r="BS185" s="6">
        <f t="shared" si="225"/>
        <v>114.53202367565507</v>
      </c>
      <c r="BT185" s="23">
        <f t="shared" si="226"/>
        <v>116.86941191393375</v>
      </c>
      <c r="BU185" s="22">
        <f t="shared" si="227"/>
        <v>149.06812744124201</v>
      </c>
      <c r="BV185" s="22">
        <f t="shared" si="228"/>
        <v>7.0984822591067624</v>
      </c>
      <c r="BW185" s="23">
        <f t="shared" si="229"/>
        <v>1.5317017250265764E-3</v>
      </c>
      <c r="BX185" s="331"/>
      <c r="BY185" s="362"/>
      <c r="BZ185" s="451"/>
      <c r="CA185" s="362"/>
    </row>
    <row r="186" spans="3:80" s="203" customFormat="1" ht="15.75" x14ac:dyDescent="0.3">
      <c r="C186" s="195">
        <v>31</v>
      </c>
      <c r="D186" s="379"/>
      <c r="E186" s="379"/>
      <c r="F186" s="196" t="s">
        <v>128</v>
      </c>
      <c r="G186" s="438">
        <v>0.90625</v>
      </c>
      <c r="H186" s="197">
        <v>0.906250000000003</v>
      </c>
      <c r="I186" s="207">
        <v>-8.5948429999999991</v>
      </c>
      <c r="J186" s="207">
        <v>115.673604</v>
      </c>
      <c r="K186" s="195">
        <f t="shared" si="258"/>
        <v>-0.15000830904198698</v>
      </c>
      <c r="L186" s="195">
        <f t="shared" si="258"/>
        <v>2.018885247448083</v>
      </c>
      <c r="M186" s="195">
        <v>3443</v>
      </c>
      <c r="N186" s="198">
        <f t="shared" si="208"/>
        <v>0.73836030886560999</v>
      </c>
      <c r="O186" s="422"/>
      <c r="P186" s="422"/>
      <c r="Q186" s="426"/>
      <c r="R186" s="199">
        <f t="shared" si="239"/>
        <v>5.000000000001581E-2</v>
      </c>
      <c r="S186" s="358"/>
      <c r="T186" s="199">
        <f t="shared" si="240"/>
        <v>14.76720617730753</v>
      </c>
      <c r="U186" s="422"/>
      <c r="V186" s="195">
        <f t="shared" si="209"/>
        <v>7.5962508576069929</v>
      </c>
      <c r="W186" s="206">
        <f t="shared" si="241"/>
        <v>-3.6454692367422347E-5</v>
      </c>
      <c r="X186" s="195">
        <f t="shared" si="242"/>
        <v>2.1380283336913664E-4</v>
      </c>
      <c r="Y186" s="195">
        <f t="shared" si="243"/>
        <v>1.7396783504036666</v>
      </c>
      <c r="Z186" s="195">
        <f t="shared" si="244"/>
        <v>99.676227188411247</v>
      </c>
      <c r="AA186" s="195">
        <f t="shared" si="245"/>
        <v>260.32377281158875</v>
      </c>
      <c r="AB186" s="13">
        <v>100</v>
      </c>
      <c r="AC186" s="195">
        <v>13</v>
      </c>
      <c r="AD186" s="195">
        <f t="shared" si="230"/>
        <v>4</v>
      </c>
      <c r="AE186" s="201">
        <f t="shared" si="231"/>
        <v>160.32377281158875</v>
      </c>
      <c r="AF186" s="199">
        <f t="shared" si="210"/>
        <v>0.28842545680646953</v>
      </c>
      <c r="AG186" s="382"/>
      <c r="AH186" s="385"/>
      <c r="AI186" s="388"/>
      <c r="AJ186" s="195">
        <f t="shared" si="211"/>
        <v>0.56783057786142355</v>
      </c>
      <c r="AK186" s="195">
        <f t="shared" si="232"/>
        <v>-3.999999999999998E-2</v>
      </c>
      <c r="AL186" s="199">
        <f t="shared" si="212"/>
        <v>18.610006994007279</v>
      </c>
      <c r="AM186" s="199">
        <f t="shared" si="233"/>
        <v>-0.42269324101649125</v>
      </c>
      <c r="AN186" s="199">
        <f t="shared" si="213"/>
        <v>14.829626159705979</v>
      </c>
      <c r="AO186" s="199">
        <f t="shared" si="234"/>
        <v>7.6283596965527556</v>
      </c>
      <c r="AP186" s="199">
        <f t="shared" si="235"/>
        <v>0.2896446117177614</v>
      </c>
      <c r="AQ186" s="200">
        <f t="shared" si="214"/>
        <v>4.9789542967160622E-2</v>
      </c>
      <c r="AR186" s="195">
        <f t="shared" si="215"/>
        <v>454022246.6869998</v>
      </c>
      <c r="AS186" s="195">
        <f t="shared" si="236"/>
        <v>1.6923651960522588E-3</v>
      </c>
      <c r="AT186" s="199">
        <f t="shared" si="216"/>
        <v>1649.9485556492284</v>
      </c>
      <c r="AU186" s="195">
        <f t="shared" si="217"/>
        <v>61100.082556164307</v>
      </c>
      <c r="AV186" s="443"/>
      <c r="AW186" s="445"/>
      <c r="AX186" s="388"/>
      <c r="AY186" s="339"/>
      <c r="AZ186" s="339"/>
      <c r="BA186" s="331"/>
      <c r="BB186" s="402"/>
      <c r="BC186" s="385"/>
      <c r="BD186" s="445"/>
      <c r="BE186" s="445"/>
      <c r="BF186" s="445"/>
      <c r="BG186" s="445"/>
      <c r="BH186" s="447"/>
      <c r="BI186" s="385"/>
      <c r="BJ186" s="385"/>
      <c r="BK186" s="385"/>
      <c r="BL186" s="199">
        <f t="shared" si="218"/>
        <v>-0.23536401605358565</v>
      </c>
      <c r="BM186" s="200">
        <f t="shared" si="219"/>
        <v>118701.10823702953</v>
      </c>
      <c r="BN186" s="200">
        <f t="shared" si="220"/>
        <v>21187.243762757789</v>
      </c>
      <c r="BO186" s="200">
        <f t="shared" si="221"/>
        <v>268.82562694353118</v>
      </c>
      <c r="BP186" s="200">
        <f t="shared" si="237"/>
        <v>309.14947098506087</v>
      </c>
      <c r="BQ186" s="199">
        <f t="shared" si="238"/>
        <v>2358.3033646730437</v>
      </c>
      <c r="BR186" s="199">
        <f t="shared" si="224"/>
        <v>5.4525549628023295</v>
      </c>
      <c r="BS186" s="202">
        <f t="shared" si="225"/>
        <v>5683.7294168356739</v>
      </c>
      <c r="BT186" s="199">
        <f t="shared" si="226"/>
        <v>5799.7238947302794</v>
      </c>
      <c r="BU186" s="195">
        <f t="shared" si="227"/>
        <v>7397.6070085845395</v>
      </c>
      <c r="BV186" s="195">
        <f t="shared" si="228"/>
        <v>352.26700040878762</v>
      </c>
      <c r="BW186" s="199">
        <f t="shared" si="229"/>
        <v>6.6003566183849463E-2</v>
      </c>
      <c r="BX186" s="331"/>
      <c r="BY186" s="448">
        <f t="shared" ref="BY186" si="275">(SUM(BW186:BW190))*1000</f>
        <v>114.05660147411997</v>
      </c>
      <c r="BZ186" s="452">
        <v>100</v>
      </c>
      <c r="CA186" s="360">
        <f t="shared" ref="CA186" si="276">AVERAGE(AN186:AN190)</f>
        <v>10.592610450417272</v>
      </c>
    </row>
    <row r="187" spans="3:80" s="203" customFormat="1" ht="15.75" x14ac:dyDescent="0.3">
      <c r="C187" s="195">
        <v>32</v>
      </c>
      <c r="D187" s="379"/>
      <c r="E187" s="379"/>
      <c r="F187" s="196" t="s">
        <v>128</v>
      </c>
      <c r="G187" s="439"/>
      <c r="H187" s="197">
        <v>0.90833333333333599</v>
      </c>
      <c r="I187" s="207">
        <v>-8.5969460000000009</v>
      </c>
      <c r="J187" s="207">
        <v>115.681944</v>
      </c>
      <c r="K187" s="195">
        <f t="shared" si="258"/>
        <v>-0.15004501331615644</v>
      </c>
      <c r="L187" s="195">
        <f t="shared" si="258"/>
        <v>2.0190308079076993</v>
      </c>
      <c r="M187" s="195">
        <v>3443</v>
      </c>
      <c r="N187" s="198">
        <f t="shared" si="208"/>
        <v>0.51139529747408652</v>
      </c>
      <c r="O187" s="420">
        <f t="shared" ref="O187" si="277">SUM(N187:N191)</f>
        <v>2.3813057772493988</v>
      </c>
      <c r="P187" s="423">
        <v>1.83</v>
      </c>
      <c r="Q187" s="424">
        <f t="shared" ref="Q187" si="278">ABS((O187-P187)/O187)*100%</f>
        <v>0.23151406363537302</v>
      </c>
      <c r="R187" s="199">
        <f t="shared" si="239"/>
        <v>4.9999999999991829E-2</v>
      </c>
      <c r="S187" s="357">
        <f t="shared" ref="S187" si="279">+SUM(R187:R191)</f>
        <v>0.25000000000000711</v>
      </c>
      <c r="T187" s="199">
        <f t="shared" si="240"/>
        <v>10.227905949483402</v>
      </c>
      <c r="U187" s="420">
        <f t="shared" ref="U187" si="280">AVERAGE(T187:T191)</f>
        <v>9.5252231089976274</v>
      </c>
      <c r="V187" s="195">
        <f t="shared" si="209"/>
        <v>5.2612348204142618</v>
      </c>
      <c r="W187" s="206">
        <f t="shared" si="241"/>
        <v>-3.7125734519789279E-5</v>
      </c>
      <c r="X187" s="195">
        <f t="shared" si="242"/>
        <v>1.4556045961633401E-4</v>
      </c>
      <c r="Y187" s="195">
        <f t="shared" si="243"/>
        <v>1.8205257331868494</v>
      </c>
      <c r="Z187" s="195">
        <f t="shared" si="244"/>
        <v>104.30844100656626</v>
      </c>
      <c r="AA187" s="195">
        <f t="shared" si="245"/>
        <v>255.69155899343374</v>
      </c>
      <c r="AB187" s="13">
        <v>100</v>
      </c>
      <c r="AC187" s="195">
        <v>13</v>
      </c>
      <c r="AD187" s="195">
        <f t="shared" si="230"/>
        <v>4</v>
      </c>
      <c r="AE187" s="201">
        <f t="shared" si="231"/>
        <v>155.69155899343374</v>
      </c>
      <c r="AF187" s="199">
        <f t="shared" si="210"/>
        <v>0.19976618530501361</v>
      </c>
      <c r="AG187" s="382"/>
      <c r="AH187" s="385"/>
      <c r="AI187" s="388"/>
      <c r="AJ187" s="195">
        <f t="shared" si="211"/>
        <v>1.3979493803921721</v>
      </c>
      <c r="AK187" s="195">
        <f t="shared" si="232"/>
        <v>-3.999999999999998E-2</v>
      </c>
      <c r="AL187" s="199">
        <f t="shared" si="212"/>
        <v>18.610006994007279</v>
      </c>
      <c r="AM187" s="199">
        <f t="shared" si="233"/>
        <v>-1.0406339098546582</v>
      </c>
      <c r="AN187" s="199">
        <f t="shared" si="213"/>
        <v>10.334341007061768</v>
      </c>
      <c r="AO187" s="199">
        <f t="shared" si="234"/>
        <v>5.3159850140325728</v>
      </c>
      <c r="AP187" s="199">
        <f t="shared" si="235"/>
        <v>0.20184501996972065</v>
      </c>
      <c r="AQ187" s="200">
        <f t="shared" si="214"/>
        <v>4.948504187394577E-2</v>
      </c>
      <c r="AR187" s="195">
        <f t="shared" si="215"/>
        <v>316395077.76700437</v>
      </c>
      <c r="AS187" s="195">
        <f t="shared" si="236"/>
        <v>1.775022463570838E-3</v>
      </c>
      <c r="AT187" s="199">
        <f t="shared" si="216"/>
        <v>840.39864146667344</v>
      </c>
      <c r="AU187" s="195">
        <f t="shared" si="217"/>
        <v>31121.228718247698</v>
      </c>
      <c r="AV187" s="443"/>
      <c r="AW187" s="445"/>
      <c r="AX187" s="388"/>
      <c r="AY187" s="339"/>
      <c r="AZ187" s="339"/>
      <c r="BA187" s="331"/>
      <c r="BB187" s="402"/>
      <c r="BC187" s="385"/>
      <c r="BD187" s="445"/>
      <c r="BE187" s="445"/>
      <c r="BF187" s="445"/>
      <c r="BG187" s="445"/>
      <c r="BH187" s="447"/>
      <c r="BI187" s="385"/>
      <c r="BJ187" s="385"/>
      <c r="BK187" s="385"/>
      <c r="BL187" s="199">
        <f t="shared" si="218"/>
        <v>-6.6593611713008108E-2</v>
      </c>
      <c r="BM187" s="200">
        <f t="shared" si="219"/>
        <v>7428.3713044059004</v>
      </c>
      <c r="BN187" s="200">
        <f t="shared" si="220"/>
        <v>10289.153191273565</v>
      </c>
      <c r="BO187" s="200">
        <f t="shared" si="221"/>
        <v>83.39151798240357</v>
      </c>
      <c r="BP187" s="200">
        <f t="shared" si="237"/>
        <v>95.900245679764112</v>
      </c>
      <c r="BQ187" s="199">
        <f t="shared" si="238"/>
        <v>509.80426887566801</v>
      </c>
      <c r="BR187" s="199">
        <f t="shared" si="224"/>
        <v>3.7997291191636799</v>
      </c>
      <c r="BS187" s="202">
        <f t="shared" si="225"/>
        <v>1228.6754805350331</v>
      </c>
      <c r="BT187" s="199">
        <f t="shared" si="226"/>
        <v>1253.7504903418705</v>
      </c>
      <c r="BU187" s="195">
        <f t="shared" si="227"/>
        <v>1599.1715438034062</v>
      </c>
      <c r="BV187" s="195">
        <f t="shared" si="228"/>
        <v>76.151025895400295</v>
      </c>
      <c r="BW187" s="199">
        <f t="shared" si="229"/>
        <v>1.4181004688925141E-2</v>
      </c>
      <c r="BX187" s="331"/>
      <c r="BY187" s="449"/>
      <c r="BZ187" s="453"/>
      <c r="CA187" s="361"/>
    </row>
    <row r="188" spans="3:80" s="203" customFormat="1" ht="15.75" x14ac:dyDescent="0.3">
      <c r="C188" s="195">
        <v>33</v>
      </c>
      <c r="D188" s="379"/>
      <c r="E188" s="379"/>
      <c r="F188" s="196" t="s">
        <v>128</v>
      </c>
      <c r="G188" s="439"/>
      <c r="H188" s="197">
        <v>0.91041666666666898</v>
      </c>
      <c r="I188" s="207">
        <v>-8.6000910000000008</v>
      </c>
      <c r="J188" s="207">
        <v>115.690637</v>
      </c>
      <c r="K188" s="195">
        <f t="shared" si="258"/>
        <v>-0.15009990392113168</v>
      </c>
      <c r="L188" s="195">
        <f t="shared" si="258"/>
        <v>2.0191825293795751</v>
      </c>
      <c r="M188" s="195">
        <v>3443</v>
      </c>
      <c r="N188" s="198">
        <f t="shared" si="208"/>
        <v>0.54999515690635115</v>
      </c>
      <c r="O188" s="421"/>
      <c r="P188" s="421"/>
      <c r="Q188" s="425"/>
      <c r="R188" s="199">
        <f t="shared" si="239"/>
        <v>4.9999999999991829E-2</v>
      </c>
      <c r="S188" s="331"/>
      <c r="T188" s="199">
        <f t="shared" si="240"/>
        <v>10.99990313812882</v>
      </c>
      <c r="U188" s="421"/>
      <c r="V188" s="195">
        <f t="shared" si="209"/>
        <v>5.6583501742534645</v>
      </c>
      <c r="W188" s="206">
        <f t="shared" si="241"/>
        <v>-5.5521278113788515E-5</v>
      </c>
      <c r="X188" s="195">
        <f t="shared" si="242"/>
        <v>1.5172147187580975E-4</v>
      </c>
      <c r="Y188" s="195">
        <f t="shared" si="243"/>
        <v>1.921602297637115</v>
      </c>
      <c r="Z188" s="195">
        <f t="shared" si="244"/>
        <v>110.09970155724854</v>
      </c>
      <c r="AA188" s="195">
        <f t="shared" si="245"/>
        <v>249.90029844275148</v>
      </c>
      <c r="AB188" s="13">
        <v>100</v>
      </c>
      <c r="AC188" s="195">
        <v>13</v>
      </c>
      <c r="AD188" s="195">
        <f t="shared" si="230"/>
        <v>4</v>
      </c>
      <c r="AE188" s="201">
        <f t="shared" si="231"/>
        <v>149.90029844275148</v>
      </c>
      <c r="AF188" s="199">
        <f t="shared" ref="AF188:AF219" si="281">V188/((9.81*$D$3)^0.5)</f>
        <v>0.21484443633739422</v>
      </c>
      <c r="AG188" s="382"/>
      <c r="AH188" s="385"/>
      <c r="AI188" s="388"/>
      <c r="AJ188" s="195">
        <f t="shared" ref="AJ188:AJ219" si="282">IF(AND(F188="NORMAL",AND($D$6&gt;=0.55,$D$6&lt;0.6)),1.7-1.4*AF188-7.4*AF188^2,IF(AND(F188="NORMAL",AND($D$6&gt;=0.6,$D$6&lt;0.65)),2.2-2.5*AF188-9.7*AF188^2,IF(AND(F188="NORMAL",AND($D$6&gt;=0.65,$D$6&lt;0.7)),2.6-3.7*AF188-11.6*AF188^2,IF(AND(F188="NORMAL",AND($D$6&gt;=0.7,$D$6&lt;0.75)),3.1-5.3*AF188-12.4*AF188^2,IF(AND(F188="NORMAL OR LOADED",AND($D$6&gt;=0.75,$D$6&lt;0.8)),2.4-10.6*AF188-9.5*AF188^2,IF(AND(F188="NORMAL OR LOADED",AND($D$6&gt;=0.8,$D$6&lt;0.85)),2.6-13.1*AF188-15.1*AF188^2,IF(AND(F188="NORMAL OR LOADED",AND($D$6&gt;=0.85,$D$6&lt;0.9)),3.1-18.7*AF188+28*AF188^2,IF(AND(F188="BALLAST",AND($D$6&gt;=0.75,$D$6&lt;0.8)),2.6-12.5*AF188-13.5*AF188^2,IF(AND(F188="BALLAST",AND($D$6&gt;=0.8,$D$6&lt;0.85)),IF(AND(F188="BALLAST",AND($D$6&gt;=0.85,$D$6&lt;0.9)),3.4-20.9*AF188+31.8*AF188^2))))))))))</f>
        <v>1.2696412563801027</v>
      </c>
      <c r="AK188" s="195">
        <f t="shared" si="232"/>
        <v>0.33</v>
      </c>
      <c r="AL188" s="199">
        <f t="shared" ref="AL188:AL219" si="283">IF($T$21="ALL SHIP TYPE LOADED",(0.5*AD188+AD188^6.5)/(2.2*$G$5^(2/3)),IF($T$22="ALL SHIP TYPE BALLAST",(0.7*AD188+AD188^6.5)/(2.7*J50^(2/3)),IF($T$23="CONTAINER NORMAL",(0.7*AD188+AD188^6.5)/(2.2*$G$5^(2/3)))))</f>
        <v>18.610006994007279</v>
      </c>
      <c r="AM188" s="199">
        <f t="shared" si="233"/>
        <v>7.7972507781675873</v>
      </c>
      <c r="AN188" s="199">
        <f t="shared" ref="AN188:AN219" si="284">T188-((AM188)*0.01*T188)</f>
        <v>10.14221310509339</v>
      </c>
      <c r="AO188" s="199">
        <f t="shared" si="234"/>
        <v>5.2171544212600391</v>
      </c>
      <c r="AP188" s="199">
        <f t="shared" si="235"/>
        <v>0.19809247685322698</v>
      </c>
      <c r="AQ188" s="200">
        <f t="shared" ref="AQ188:AQ219" si="285">N188/AN188</f>
        <v>5.4228317942771796E-2</v>
      </c>
      <c r="AR188" s="195">
        <f t="shared" ref="AR188:AR219" si="286">(AO188*$D$3)/$U$3</f>
        <v>310512910.49161083</v>
      </c>
      <c r="AS188" s="195">
        <f t="shared" si="236"/>
        <v>1.7794819325354626E-3</v>
      </c>
      <c r="AT188" s="199">
        <f t="shared" ref="AT188:AT219" si="287">0.5*1024*(AO188^2)*$W$5*$W$6*AS188</f>
        <v>811.47465135507048</v>
      </c>
      <c r="AU188" s="195">
        <f t="shared" ref="AU188:AU219" si="288">0.5*1024*AS188*$U$10*(AO188)^2</f>
        <v>30050.129757239643</v>
      </c>
      <c r="AV188" s="443"/>
      <c r="AW188" s="445"/>
      <c r="AX188" s="388"/>
      <c r="AY188" s="339"/>
      <c r="AZ188" s="339"/>
      <c r="BA188" s="331"/>
      <c r="BB188" s="402"/>
      <c r="BC188" s="385"/>
      <c r="BD188" s="445"/>
      <c r="BE188" s="445"/>
      <c r="BF188" s="445"/>
      <c r="BG188" s="445"/>
      <c r="BH188" s="447"/>
      <c r="BI188" s="385"/>
      <c r="BJ188" s="385"/>
      <c r="BK188" s="385"/>
      <c r="BL188" s="199">
        <f t="shared" ref="BL188:BL219" si="289">$BI$156*($G$6^2)*EXP(-0.1*(AP188^-2))</f>
        <v>-6.0626649405642309E-2</v>
      </c>
      <c r="BM188" s="200">
        <f t="shared" ref="BM188:BM219" si="290">$BC$156*$BD$156*$BG$156*($D$3*$D$4*$AI$31*$AH$156)*1025*9.81*(EXP(($BK$156*(AP188^-0.9))+(BL188*COS($Y$10*(AP188^-2)))))</f>
        <v>6199.0147403786805</v>
      </c>
      <c r="BN188" s="200">
        <f t="shared" ref="BN188:BN219" si="291">0.5*1025*(AO188^2)*$AY$156*$W$3</f>
        <v>9910.1338513985356</v>
      </c>
      <c r="BO188" s="200">
        <f t="shared" ref="BO188:BO219" si="292">((AU188*$U$8)+AT188+BM188+BN188)/1000</f>
        <v>79.522841020798083</v>
      </c>
      <c r="BP188" s="200">
        <f t="shared" si="237"/>
        <v>91.451267173917799</v>
      </c>
      <c r="BQ188" s="199">
        <f t="shared" si="238"/>
        <v>477.11538286623835</v>
      </c>
      <c r="BR188" s="199">
        <f t="shared" ref="BR188:BR219" si="293">(1-$AJ$5)*AO188</f>
        <v>3.7290875578668139</v>
      </c>
      <c r="BS188" s="202">
        <f t="shared" ref="BS188:BS219" si="294">BQ188/$AJ$11</f>
        <v>1149.8922392444699</v>
      </c>
      <c r="BT188" s="199">
        <f t="shared" ref="BT188:BT219" si="295">BS188/$AO$5</f>
        <v>1173.3594278004796</v>
      </c>
      <c r="BU188" s="195">
        <f t="shared" ref="BU188:BU219" si="296">((BT188/$AO$6)/80%)</f>
        <v>1496.6319232148971</v>
      </c>
      <c r="BV188" s="195">
        <f t="shared" ref="BV188:BV219" si="297">(BU188/$AK$19)*100</f>
        <v>71.268186819757005</v>
      </c>
      <c r="BW188" s="199">
        <f t="shared" ref="BW188:BW219" si="298">((($AK$21*BU188*AQ188)/1000000))</f>
        <v>1.4543841854151583E-2</v>
      </c>
      <c r="BX188" s="331"/>
      <c r="BY188" s="449"/>
      <c r="BZ188" s="453"/>
      <c r="CA188" s="361"/>
    </row>
    <row r="189" spans="3:80" s="203" customFormat="1" ht="15.75" x14ac:dyDescent="0.3">
      <c r="C189" s="195">
        <v>34</v>
      </c>
      <c r="D189" s="379"/>
      <c r="E189" s="379"/>
      <c r="F189" s="196" t="s">
        <v>128</v>
      </c>
      <c r="G189" s="439"/>
      <c r="H189" s="197">
        <v>0.91250000000000298</v>
      </c>
      <c r="I189" s="207">
        <v>-8.6026430000000005</v>
      </c>
      <c r="J189" s="207">
        <v>115.697671</v>
      </c>
      <c r="K189" s="195">
        <f t="shared" si="258"/>
        <v>-0.15014444472364255</v>
      </c>
      <c r="L189" s="195">
        <f t="shared" si="258"/>
        <v>2.0193052958391604</v>
      </c>
      <c r="M189" s="195">
        <v>3443</v>
      </c>
      <c r="N189" s="198">
        <f t="shared" si="208"/>
        <v>0.44517826162839114</v>
      </c>
      <c r="O189" s="421"/>
      <c r="P189" s="421"/>
      <c r="Q189" s="425"/>
      <c r="R189" s="199">
        <f t="shared" si="239"/>
        <v>5.000000000001581E-2</v>
      </c>
      <c r="S189" s="331"/>
      <c r="T189" s="199">
        <f t="shared" si="240"/>
        <v>8.9035652325650076</v>
      </c>
      <c r="U189" s="421"/>
      <c r="V189" s="195">
        <f t="shared" si="209"/>
        <v>4.5799939556314397</v>
      </c>
      <c r="W189" s="206">
        <f t="shared" si="241"/>
        <v>-4.5052900736031912E-5</v>
      </c>
      <c r="X189" s="195">
        <f t="shared" si="242"/>
        <v>1.2276645958531063E-4</v>
      </c>
      <c r="Y189" s="195">
        <f t="shared" si="243"/>
        <v>1.9225177620985576</v>
      </c>
      <c r="Z189" s="195">
        <f t="shared" si="244"/>
        <v>110.15215380718341</v>
      </c>
      <c r="AA189" s="195">
        <f t="shared" si="245"/>
        <v>249.84784619281658</v>
      </c>
      <c r="AB189" s="13">
        <v>100</v>
      </c>
      <c r="AC189" s="195">
        <v>13</v>
      </c>
      <c r="AD189" s="195">
        <f t="shared" si="230"/>
        <v>4</v>
      </c>
      <c r="AE189" s="201">
        <f t="shared" si="231"/>
        <v>149.84784619281658</v>
      </c>
      <c r="AF189" s="199">
        <f t="shared" si="281"/>
        <v>0.17389984527709645</v>
      </c>
      <c r="AG189" s="382"/>
      <c r="AH189" s="385"/>
      <c r="AI189" s="388"/>
      <c r="AJ189" s="195">
        <f t="shared" si="282"/>
        <v>1.6057731607009256</v>
      </c>
      <c r="AK189" s="195">
        <f t="shared" si="232"/>
        <v>0.33</v>
      </c>
      <c r="AL189" s="199">
        <f t="shared" si="283"/>
        <v>18.610006994007279</v>
      </c>
      <c r="AM189" s="199">
        <f t="shared" si="233"/>
        <v>9.861538417973021</v>
      </c>
      <c r="AN189" s="199">
        <f t="shared" si="284"/>
        <v>8.0255367265863207</v>
      </c>
      <c r="AO189" s="199">
        <f t="shared" si="234"/>
        <v>4.1283360921560028</v>
      </c>
      <c r="AP189" s="199">
        <f t="shared" si="235"/>
        <v>0.15675064522629995</v>
      </c>
      <c r="AQ189" s="200">
        <f t="shared" si="285"/>
        <v>5.5470216733747184E-2</v>
      </c>
      <c r="AR189" s="195">
        <f t="shared" si="286"/>
        <v>245708973.12127486</v>
      </c>
      <c r="AS189" s="195">
        <f t="shared" si="236"/>
        <v>1.8365481557589634E-3</v>
      </c>
      <c r="AT189" s="199">
        <f t="shared" si="287"/>
        <v>524.40449466853386</v>
      </c>
      <c r="AU189" s="195">
        <f t="shared" si="288"/>
        <v>19419.489054592588</v>
      </c>
      <c r="AV189" s="443"/>
      <c r="AW189" s="445"/>
      <c r="AX189" s="388"/>
      <c r="AY189" s="339"/>
      <c r="AZ189" s="339"/>
      <c r="BA189" s="331"/>
      <c r="BB189" s="402"/>
      <c r="BC189" s="385"/>
      <c r="BD189" s="445"/>
      <c r="BE189" s="445"/>
      <c r="BF189" s="445"/>
      <c r="BG189" s="445"/>
      <c r="BH189" s="447"/>
      <c r="BI189" s="385"/>
      <c r="BJ189" s="385"/>
      <c r="BK189" s="385"/>
      <c r="BL189" s="199">
        <f t="shared" si="289"/>
        <v>-1.3239916871383768E-2</v>
      </c>
      <c r="BM189" s="200">
        <f t="shared" si="290"/>
        <v>525.01739605816499</v>
      </c>
      <c r="BN189" s="200">
        <f t="shared" si="291"/>
        <v>6205.2921066952276</v>
      </c>
      <c r="BO189" s="200">
        <f t="shared" si="292"/>
        <v>47.710548722518794</v>
      </c>
      <c r="BP189" s="200">
        <f t="shared" si="237"/>
        <v>54.867131030896616</v>
      </c>
      <c r="BQ189" s="199">
        <f t="shared" si="238"/>
        <v>226.50995730790308</v>
      </c>
      <c r="BR189" s="199">
        <f t="shared" si="293"/>
        <v>2.9508282701421926</v>
      </c>
      <c r="BS189" s="202">
        <f t="shared" si="294"/>
        <v>545.90996512257868</v>
      </c>
      <c r="BT189" s="199">
        <f t="shared" si="295"/>
        <v>557.05098481895789</v>
      </c>
      <c r="BU189" s="195">
        <f t="shared" si="296"/>
        <v>710.52421533030338</v>
      </c>
      <c r="BV189" s="195">
        <f t="shared" si="297"/>
        <v>33.834486444300161</v>
      </c>
      <c r="BW189" s="199">
        <f t="shared" si="298"/>
        <v>7.0627974536354061E-3</v>
      </c>
      <c r="BX189" s="331"/>
      <c r="BY189" s="449"/>
      <c r="BZ189" s="453"/>
      <c r="CA189" s="361"/>
    </row>
    <row r="190" spans="3:80" s="203" customFormat="1" ht="15.75" x14ac:dyDescent="0.3">
      <c r="C190" s="195">
        <v>35</v>
      </c>
      <c r="D190" s="379"/>
      <c r="E190" s="379"/>
      <c r="F190" s="196" t="s">
        <v>128</v>
      </c>
      <c r="G190" s="440"/>
      <c r="H190" s="197">
        <v>0.91458333333333597</v>
      </c>
      <c r="I190" s="207">
        <v>-8.6066029999999998</v>
      </c>
      <c r="J190" s="207">
        <v>115.705551</v>
      </c>
      <c r="K190" s="195">
        <f t="shared" si="258"/>
        <v>-0.15021355976202153</v>
      </c>
      <c r="L190" s="195">
        <f t="shared" si="258"/>
        <v>2.0194428277842174</v>
      </c>
      <c r="M190" s="195">
        <v>3443</v>
      </c>
      <c r="N190" s="198">
        <f t="shared" si="208"/>
        <v>0.52519596163486493</v>
      </c>
      <c r="O190" s="421"/>
      <c r="P190" s="421"/>
      <c r="Q190" s="425"/>
      <c r="R190" s="199">
        <f t="shared" si="239"/>
        <v>4.9999999999991829E-2</v>
      </c>
      <c r="S190" s="331"/>
      <c r="T190" s="199">
        <f t="shared" si="240"/>
        <v>10.503919232699015</v>
      </c>
      <c r="U190" s="421"/>
      <c r="V190" s="195">
        <f t="shared" si="209"/>
        <v>5.4032160533003735</v>
      </c>
      <c r="W190" s="206">
        <f t="shared" si="241"/>
        <v>-6.9910277848787299E-5</v>
      </c>
      <c r="X190" s="195">
        <f t="shared" si="242"/>
        <v>1.3753194505694566E-4</v>
      </c>
      <c r="Y190" s="195">
        <f t="shared" si="243"/>
        <v>2.0410779892369231</v>
      </c>
      <c r="Z190" s="195">
        <f t="shared" si="244"/>
        <v>116.94515444032416</v>
      </c>
      <c r="AA190" s="195">
        <f t="shared" si="245"/>
        <v>243.05484555967584</v>
      </c>
      <c r="AB190" s="13">
        <v>100</v>
      </c>
      <c r="AC190" s="195">
        <v>13</v>
      </c>
      <c r="AD190" s="195">
        <f t="shared" si="230"/>
        <v>4</v>
      </c>
      <c r="AE190" s="201">
        <f t="shared" si="231"/>
        <v>143.05484555967584</v>
      </c>
      <c r="AF190" s="199">
        <f t="shared" si="281"/>
        <v>0.20515713443515107</v>
      </c>
      <c r="AG190" s="382"/>
      <c r="AH190" s="385"/>
      <c r="AI190" s="388"/>
      <c r="AJ190" s="195">
        <f t="shared" si="282"/>
        <v>1.3526809847980863</v>
      </c>
      <c r="AK190" s="195">
        <f t="shared" si="232"/>
        <v>0.33</v>
      </c>
      <c r="AL190" s="199">
        <f t="shared" si="283"/>
        <v>18.610006994007279</v>
      </c>
      <c r="AM190" s="199">
        <f t="shared" si="233"/>
        <v>8.3072228539585034</v>
      </c>
      <c r="AN190" s="199">
        <f t="shared" si="284"/>
        <v>9.6313352536389001</v>
      </c>
      <c r="AO190" s="199">
        <f t="shared" si="234"/>
        <v>4.9543588544718498</v>
      </c>
      <c r="AP190" s="199">
        <f t="shared" si="235"/>
        <v>0.18811427407682782</v>
      </c>
      <c r="AQ190" s="200">
        <f t="shared" si="285"/>
        <v>5.4529922155542865E-2</v>
      </c>
      <c r="AR190" s="195">
        <f t="shared" si="286"/>
        <v>294871928.89153296</v>
      </c>
      <c r="AS190" s="195">
        <f t="shared" si="236"/>
        <v>1.7918510886631273E-3</v>
      </c>
      <c r="AT190" s="199">
        <f t="shared" si="287"/>
        <v>736.86991846257649</v>
      </c>
      <c r="AU190" s="195">
        <f t="shared" si="288"/>
        <v>27287.404020607013</v>
      </c>
      <c r="AV190" s="443"/>
      <c r="AW190" s="445"/>
      <c r="AX190" s="388"/>
      <c r="AY190" s="339"/>
      <c r="AZ190" s="339"/>
      <c r="BA190" s="331"/>
      <c r="BB190" s="402"/>
      <c r="BC190" s="385"/>
      <c r="BD190" s="445"/>
      <c r="BE190" s="445"/>
      <c r="BF190" s="445"/>
      <c r="BG190" s="445"/>
      <c r="BH190" s="447"/>
      <c r="BI190" s="385"/>
      <c r="BJ190" s="385"/>
      <c r="BK190" s="385"/>
      <c r="BL190" s="199">
        <f t="shared" si="289"/>
        <v>-4.5934458112643628E-2</v>
      </c>
      <c r="BM190" s="200">
        <f t="shared" si="290"/>
        <v>3710.9342088050462</v>
      </c>
      <c r="BN190" s="200">
        <f t="shared" si="291"/>
        <v>8936.9032808570773</v>
      </c>
      <c r="BO190" s="200">
        <f t="shared" si="292"/>
        <v>70.231450596434669</v>
      </c>
      <c r="BP190" s="200">
        <f t="shared" si="237"/>
        <v>80.766168185899872</v>
      </c>
      <c r="BQ190" s="199">
        <f t="shared" si="238"/>
        <v>400.14458049357563</v>
      </c>
      <c r="BR190" s="199">
        <f t="shared" si="293"/>
        <v>3.5412480577786201</v>
      </c>
      <c r="BS190" s="202">
        <f t="shared" si="294"/>
        <v>964.38548034468749</v>
      </c>
      <c r="BT190" s="199">
        <f t="shared" si="295"/>
        <v>984.06681667825251</v>
      </c>
      <c r="BU190" s="195">
        <f t="shared" si="296"/>
        <v>1255.1872661712405</v>
      </c>
      <c r="BV190" s="195">
        <f t="shared" si="297"/>
        <v>59.770822198630505</v>
      </c>
      <c r="BW190" s="199">
        <f t="shared" si="298"/>
        <v>1.2265391293558393E-2</v>
      </c>
      <c r="BX190" s="331"/>
      <c r="BY190" s="450"/>
      <c r="BZ190" s="454"/>
      <c r="CA190" s="362"/>
    </row>
    <row r="191" spans="3:80" s="203" customFormat="1" ht="15.75" x14ac:dyDescent="0.3">
      <c r="C191" s="195">
        <v>36</v>
      </c>
      <c r="D191" s="379"/>
      <c r="E191" s="379"/>
      <c r="F191" s="196" t="s">
        <v>128</v>
      </c>
      <c r="G191" s="438">
        <v>0.91666666666666696</v>
      </c>
      <c r="H191" s="197">
        <v>0.91666666666666996</v>
      </c>
      <c r="I191" s="207">
        <v>-8.6057810000000003</v>
      </c>
      <c r="J191" s="207">
        <v>115.711375</v>
      </c>
      <c r="K191" s="195">
        <f t="shared" si="258"/>
        <v>-0.15019921315557014</v>
      </c>
      <c r="L191" s="195">
        <f t="shared" si="258"/>
        <v>2.0195444757598535</v>
      </c>
      <c r="M191" s="195">
        <v>3443</v>
      </c>
      <c r="N191" s="198">
        <f t="shared" si="208"/>
        <v>0.34954109960570484</v>
      </c>
      <c r="O191" s="422"/>
      <c r="P191" s="422"/>
      <c r="Q191" s="426"/>
      <c r="R191" s="199">
        <f t="shared" si="239"/>
        <v>5.000000000001581E-2</v>
      </c>
      <c r="S191" s="358"/>
      <c r="T191" s="199">
        <f t="shared" si="240"/>
        <v>6.9908219921118864</v>
      </c>
      <c r="U191" s="422"/>
      <c r="V191" s="195">
        <f t="shared" si="209"/>
        <v>3.5960788327423541</v>
      </c>
      <c r="W191" s="206">
        <f t="shared" si="241"/>
        <v>1.4511739345941505E-5</v>
      </c>
      <c r="X191" s="195">
        <f t="shared" si="242"/>
        <v>1.0164797563616546E-4</v>
      </c>
      <c r="Y191" s="195">
        <f t="shared" si="243"/>
        <v>1.4289899001567536</v>
      </c>
      <c r="Z191" s="195">
        <f t="shared" si="244"/>
        <v>81.87509024580288</v>
      </c>
      <c r="AA191" s="195">
        <f t="shared" si="245"/>
        <v>278.12490975419712</v>
      </c>
      <c r="AB191" s="13">
        <v>100</v>
      </c>
      <c r="AC191" s="195">
        <v>13</v>
      </c>
      <c r="AD191" s="195">
        <f t="shared" si="230"/>
        <v>4</v>
      </c>
      <c r="AE191" s="201">
        <f t="shared" si="231"/>
        <v>178.12490975419712</v>
      </c>
      <c r="AF191" s="199">
        <f t="shared" si="281"/>
        <v>0.13654113055088507</v>
      </c>
      <c r="AG191" s="382"/>
      <c r="AH191" s="385"/>
      <c r="AI191" s="388"/>
      <c r="AJ191" s="195">
        <f t="shared" si="282"/>
        <v>1.8785334451092046</v>
      </c>
      <c r="AK191" s="195">
        <f t="shared" si="232"/>
        <v>-3.999999999999998E-2</v>
      </c>
      <c r="AL191" s="199">
        <f t="shared" si="283"/>
        <v>18.610006994007279</v>
      </c>
      <c r="AM191" s="199">
        <f t="shared" si="233"/>
        <v>-1.3983808220783547</v>
      </c>
      <c r="AN191" s="199">
        <f t="shared" si="284"/>
        <v>7.0885803061552153</v>
      </c>
      <c r="AO191" s="199">
        <f t="shared" si="234"/>
        <v>3.6463657094862425</v>
      </c>
      <c r="AP191" s="199">
        <f t="shared" si="235"/>
        <v>0.13845049553475763</v>
      </c>
      <c r="AQ191" s="200">
        <f t="shared" si="285"/>
        <v>4.9310452094644172E-2</v>
      </c>
      <c r="AR191" s="195">
        <f t="shared" si="286"/>
        <v>217023215.67394263</v>
      </c>
      <c r="AS191" s="195">
        <f t="shared" si="236"/>
        <v>1.8679340375265703E-3</v>
      </c>
      <c r="AT191" s="199">
        <f t="shared" si="287"/>
        <v>416.09833263237266</v>
      </c>
      <c r="AU191" s="195">
        <f t="shared" si="288"/>
        <v>15408.748586901542</v>
      </c>
      <c r="AV191" s="443"/>
      <c r="AW191" s="445"/>
      <c r="AX191" s="388"/>
      <c r="AY191" s="339"/>
      <c r="AZ191" s="339"/>
      <c r="BA191" s="331"/>
      <c r="BB191" s="402"/>
      <c r="BC191" s="385"/>
      <c r="BD191" s="445"/>
      <c r="BE191" s="445"/>
      <c r="BF191" s="445"/>
      <c r="BG191" s="445"/>
      <c r="BH191" s="447"/>
      <c r="BI191" s="385"/>
      <c r="BJ191" s="385"/>
      <c r="BK191" s="385"/>
      <c r="BL191" s="199">
        <f t="shared" si="289"/>
        <v>-4.2048228829346139E-3</v>
      </c>
      <c r="BM191" s="200">
        <f t="shared" si="290"/>
        <v>118.86147259905968</v>
      </c>
      <c r="BN191" s="200">
        <f t="shared" si="291"/>
        <v>4840.9721575037229</v>
      </c>
      <c r="BO191" s="200">
        <f t="shared" si="292"/>
        <v>37.476353575261292</v>
      </c>
      <c r="BP191" s="200">
        <f t="shared" si="237"/>
        <v>43.097806611550489</v>
      </c>
      <c r="BQ191" s="199">
        <f t="shared" si="238"/>
        <v>157.15036418242718</v>
      </c>
      <c r="BR191" s="199">
        <f t="shared" si="293"/>
        <v>2.6063282588045893</v>
      </c>
      <c r="BS191" s="202">
        <f t="shared" si="294"/>
        <v>378.74692507761159</v>
      </c>
      <c r="BT191" s="199">
        <f t="shared" si="295"/>
        <v>386.47645416082815</v>
      </c>
      <c r="BU191" s="195">
        <f t="shared" si="296"/>
        <v>492.95466091942365</v>
      </c>
      <c r="BV191" s="195">
        <f t="shared" si="297"/>
        <v>23.474031472353506</v>
      </c>
      <c r="BW191" s="199">
        <f t="shared" si="298"/>
        <v>4.3559608408241047E-3</v>
      </c>
      <c r="BX191" s="331"/>
      <c r="BY191" s="448">
        <f t="shared" ref="BY191" si="299">(SUM(BW191:BW195))*1000</f>
        <v>46.84934939171896</v>
      </c>
      <c r="BZ191" s="452">
        <v>45</v>
      </c>
      <c r="CA191" s="360">
        <f t="shared" ref="CA191" si="300">AVERAGE(AN191:AN195)</f>
        <v>8.5940701450335073</v>
      </c>
    </row>
    <row r="192" spans="3:80" s="203" customFormat="1" ht="15.75" x14ac:dyDescent="0.3">
      <c r="C192" s="195">
        <v>37</v>
      </c>
      <c r="D192" s="379"/>
      <c r="E192" s="379"/>
      <c r="F192" s="196" t="s">
        <v>128</v>
      </c>
      <c r="G192" s="439"/>
      <c r="H192" s="197">
        <v>0.91875000000000295</v>
      </c>
      <c r="I192" s="207">
        <v>-8.6135800000000007</v>
      </c>
      <c r="J192" s="207">
        <v>115.71773899999999</v>
      </c>
      <c r="K192" s="195">
        <f t="shared" si="258"/>
        <v>-0.15033533138393318</v>
      </c>
      <c r="L192" s="195">
        <f t="shared" si="258"/>
        <v>2.0196555485134504</v>
      </c>
      <c r="M192" s="195">
        <v>3443</v>
      </c>
      <c r="N192" s="198">
        <f t="shared" si="208"/>
        <v>0.6021692135390182</v>
      </c>
      <c r="O192" s="420">
        <f t="shared" ref="O192" si="301">SUM(N192:N196)</f>
        <v>2.2678631619260137</v>
      </c>
      <c r="P192" s="423">
        <v>3.31</v>
      </c>
      <c r="Q192" s="424">
        <f t="shared" ref="Q192" si="302">ABS((O192-P192)/O192)*100%</f>
        <v>0.45952368536598015</v>
      </c>
      <c r="R192" s="199">
        <f t="shared" si="239"/>
        <v>4.9999999999991829E-2</v>
      </c>
      <c r="S192" s="357">
        <f t="shared" ref="S192" si="303">+SUM(R192:R196)</f>
        <v>0.25000000000000977</v>
      </c>
      <c r="T192" s="199">
        <f t="shared" si="240"/>
        <v>12.043384270782331</v>
      </c>
      <c r="U192" s="420">
        <f t="shared" ref="U192" si="304">AVERAGE(T192:T196)</f>
        <v>9.0714526477039037</v>
      </c>
      <c r="V192" s="195">
        <f t="shared" si="209"/>
        <v>6.1951168688904312</v>
      </c>
      <c r="W192" s="206">
        <f t="shared" si="241"/>
        <v>-1.3768625789644528E-4</v>
      </c>
      <c r="X192" s="195">
        <f t="shared" si="242"/>
        <v>1.1107275359689694E-4</v>
      </c>
      <c r="Y192" s="195">
        <f t="shared" si="243"/>
        <v>2.4627741799311709</v>
      </c>
      <c r="Z192" s="195">
        <f t="shared" si="244"/>
        <v>141.10656640384849</v>
      </c>
      <c r="AA192" s="195">
        <f t="shared" si="245"/>
        <v>218.89343359615151</v>
      </c>
      <c r="AB192" s="13">
        <v>100</v>
      </c>
      <c r="AC192" s="195">
        <v>13</v>
      </c>
      <c r="AD192" s="195">
        <f t="shared" si="230"/>
        <v>4</v>
      </c>
      <c r="AE192" s="201">
        <f t="shared" si="231"/>
        <v>118.89343359615151</v>
      </c>
      <c r="AF192" s="199">
        <f t="shared" si="281"/>
        <v>0.2352251717819234</v>
      </c>
      <c r="AG192" s="382"/>
      <c r="AH192" s="385"/>
      <c r="AI192" s="388"/>
      <c r="AJ192" s="195">
        <f t="shared" si="282"/>
        <v>1.0878286397047932</v>
      </c>
      <c r="AK192" s="195">
        <f t="shared" si="232"/>
        <v>0.33</v>
      </c>
      <c r="AL192" s="199">
        <f t="shared" si="283"/>
        <v>18.610006994007279</v>
      </c>
      <c r="AM192" s="199">
        <f t="shared" si="233"/>
        <v>6.6806845357519169</v>
      </c>
      <c r="AN192" s="199">
        <f t="shared" si="284"/>
        <v>11.238803760222996</v>
      </c>
      <c r="AO192" s="199">
        <f t="shared" si="234"/>
        <v>5.7812406542587089</v>
      </c>
      <c r="AP192" s="199">
        <f t="shared" si="235"/>
        <v>0.21951052010649252</v>
      </c>
      <c r="AQ192" s="200">
        <f t="shared" si="285"/>
        <v>5.3579475750813371E-2</v>
      </c>
      <c r="AR192" s="195">
        <f t="shared" si="286"/>
        <v>344086012.57632208</v>
      </c>
      <c r="AS192" s="195">
        <f t="shared" si="236"/>
        <v>1.7552886262684555E-3</v>
      </c>
      <c r="AT192" s="199">
        <f t="shared" si="287"/>
        <v>982.8893445310357</v>
      </c>
      <c r="AU192" s="195">
        <f t="shared" si="288"/>
        <v>36397.874278443771</v>
      </c>
      <c r="AV192" s="443"/>
      <c r="AW192" s="445"/>
      <c r="AX192" s="388"/>
      <c r="AY192" s="339"/>
      <c r="AZ192" s="339"/>
      <c r="BA192" s="331"/>
      <c r="BB192" s="402"/>
      <c r="BC192" s="385"/>
      <c r="BD192" s="445"/>
      <c r="BE192" s="445"/>
      <c r="BF192" s="445"/>
      <c r="BG192" s="445"/>
      <c r="BH192" s="447"/>
      <c r="BI192" s="385"/>
      <c r="BJ192" s="385"/>
      <c r="BK192" s="385"/>
      <c r="BL192" s="199">
        <f t="shared" si="289"/>
        <v>-9.7297505006536542E-2</v>
      </c>
      <c r="BM192" s="200">
        <f t="shared" si="290"/>
        <v>16013.830478145384</v>
      </c>
      <c r="BN192" s="200">
        <f t="shared" si="291"/>
        <v>12168.981570900223</v>
      </c>
      <c r="BO192" s="200">
        <f t="shared" si="292"/>
        <v>104.99191813975501</v>
      </c>
      <c r="BP192" s="200">
        <f t="shared" si="237"/>
        <v>120.74070586071826</v>
      </c>
      <c r="BQ192" s="199">
        <f t="shared" si="238"/>
        <v>698.03107734587718</v>
      </c>
      <c r="BR192" s="199">
        <f t="shared" si="293"/>
        <v>4.1322818632658205</v>
      </c>
      <c r="BS192" s="202">
        <f t="shared" si="294"/>
        <v>1682.3195130904223</v>
      </c>
      <c r="BT192" s="199">
        <f t="shared" si="295"/>
        <v>1716.6525643779821</v>
      </c>
      <c r="BU192" s="195">
        <f t="shared" si="296"/>
        <v>2189.6078627270176</v>
      </c>
      <c r="BV192" s="195">
        <f t="shared" si="297"/>
        <v>104.26704108223895</v>
      </c>
      <c r="BW192" s="199">
        <f t="shared" si="298"/>
        <v>2.1023393016151238E-2</v>
      </c>
      <c r="BX192" s="331"/>
      <c r="BY192" s="449"/>
      <c r="BZ192" s="453"/>
      <c r="CA192" s="361"/>
    </row>
    <row r="193" spans="3:79" s="203" customFormat="1" ht="15.75" x14ac:dyDescent="0.3">
      <c r="C193" s="195">
        <v>38</v>
      </c>
      <c r="D193" s="379"/>
      <c r="E193" s="379"/>
      <c r="F193" s="196" t="s">
        <v>128</v>
      </c>
      <c r="G193" s="439"/>
      <c r="H193" s="197">
        <v>0.92083333333333695</v>
      </c>
      <c r="I193" s="207">
        <v>-8.616619</v>
      </c>
      <c r="J193" s="207">
        <v>115.723735</v>
      </c>
      <c r="K193" s="195">
        <f t="shared" si="258"/>
        <v>-0.15038837193990129</v>
      </c>
      <c r="L193" s="195">
        <f t="shared" si="258"/>
        <v>2.0197601984554003</v>
      </c>
      <c r="M193" s="195">
        <v>3443</v>
      </c>
      <c r="N193" s="198">
        <f t="shared" si="208"/>
        <v>0.40032437432724083</v>
      </c>
      <c r="O193" s="421"/>
      <c r="P193" s="421"/>
      <c r="Q193" s="425"/>
      <c r="R193" s="199">
        <f t="shared" si="239"/>
        <v>5.000000000001581E-2</v>
      </c>
      <c r="S193" s="331"/>
      <c r="T193" s="199">
        <f t="shared" si="240"/>
        <v>8.0064874865422855</v>
      </c>
      <c r="U193" s="421"/>
      <c r="V193" s="195">
        <f t="shared" si="209"/>
        <v>4.1185371630773515</v>
      </c>
      <c r="W193" s="206">
        <f t="shared" si="241"/>
        <v>-5.3652335378113411E-5</v>
      </c>
      <c r="X193" s="195">
        <f t="shared" si="242"/>
        <v>1.0464994194991917E-4</v>
      </c>
      <c r="Y193" s="195">
        <f t="shared" si="243"/>
        <v>2.0445394528575904</v>
      </c>
      <c r="Z193" s="195">
        <f t="shared" si="244"/>
        <v>117.14348169672647</v>
      </c>
      <c r="AA193" s="195">
        <f t="shared" si="245"/>
        <v>242.85651830327353</v>
      </c>
      <c r="AB193" s="13">
        <v>100</v>
      </c>
      <c r="AC193" s="195">
        <v>13</v>
      </c>
      <c r="AD193" s="195">
        <f t="shared" si="230"/>
        <v>4</v>
      </c>
      <c r="AE193" s="201">
        <f t="shared" si="231"/>
        <v>142.85651830327353</v>
      </c>
      <c r="AF193" s="199">
        <f t="shared" si="281"/>
        <v>0.1563785852919056</v>
      </c>
      <c r="AG193" s="382"/>
      <c r="AH193" s="385"/>
      <c r="AI193" s="388"/>
      <c r="AJ193" s="195">
        <f t="shared" si="282"/>
        <v>1.7377297959403351</v>
      </c>
      <c r="AK193" s="195">
        <f t="shared" si="232"/>
        <v>0.33</v>
      </c>
      <c r="AL193" s="199">
        <f t="shared" si="283"/>
        <v>18.610006994007279</v>
      </c>
      <c r="AM193" s="199">
        <f t="shared" si="233"/>
        <v>10.671924006527679</v>
      </c>
      <c r="AN193" s="199">
        <f t="shared" si="284"/>
        <v>7.1520412263863449</v>
      </c>
      <c r="AO193" s="199">
        <f t="shared" si="234"/>
        <v>3.6790100068531357</v>
      </c>
      <c r="AP193" s="199">
        <f t="shared" si="235"/>
        <v>0.13968998150707038</v>
      </c>
      <c r="AQ193" s="200">
        <f t="shared" si="285"/>
        <v>5.5973443336750667E-2</v>
      </c>
      <c r="AR193" s="195">
        <f t="shared" si="286"/>
        <v>218966128.41293329</v>
      </c>
      <c r="AS193" s="195">
        <f t="shared" si="236"/>
        <v>1.865654018507103E-3</v>
      </c>
      <c r="AT193" s="199">
        <f t="shared" si="287"/>
        <v>423.06494199401737</v>
      </c>
      <c r="AU193" s="195">
        <f t="shared" si="288"/>
        <v>15666.732634752991</v>
      </c>
      <c r="AV193" s="443"/>
      <c r="AW193" s="445"/>
      <c r="AX193" s="388"/>
      <c r="AY193" s="339"/>
      <c r="AZ193" s="339"/>
      <c r="BA193" s="331"/>
      <c r="BB193" s="402"/>
      <c r="BC193" s="385"/>
      <c r="BD193" s="445"/>
      <c r="BE193" s="445"/>
      <c r="BF193" s="445"/>
      <c r="BG193" s="445"/>
      <c r="BH193" s="447"/>
      <c r="BI193" s="385"/>
      <c r="BJ193" s="385"/>
      <c r="BK193" s="385"/>
      <c r="BL193" s="199">
        <f t="shared" si="289"/>
        <v>-4.6108004083456507E-3</v>
      </c>
      <c r="BM193" s="200">
        <f t="shared" si="290"/>
        <v>132.99928506056489</v>
      </c>
      <c r="BN193" s="200">
        <f t="shared" si="291"/>
        <v>4928.0383127972464</v>
      </c>
      <c r="BO193" s="200">
        <f t="shared" si="292"/>
        <v>38.121971866488728</v>
      </c>
      <c r="BP193" s="200">
        <f t="shared" si="237"/>
        <v>43.840267646462038</v>
      </c>
      <c r="BQ193" s="199">
        <f t="shared" si="238"/>
        <v>161.2887833744536</v>
      </c>
      <c r="BR193" s="199">
        <f t="shared" si="293"/>
        <v>2.6296615614666918</v>
      </c>
      <c r="BS193" s="202">
        <f t="shared" si="294"/>
        <v>388.7208984235636</v>
      </c>
      <c r="BT193" s="199">
        <f t="shared" si="295"/>
        <v>396.65397798322817</v>
      </c>
      <c r="BU193" s="195">
        <f t="shared" si="296"/>
        <v>505.93619640717878</v>
      </c>
      <c r="BV193" s="195">
        <f t="shared" si="297"/>
        <v>24.092199828913273</v>
      </c>
      <c r="BW193" s="199">
        <f t="shared" si="298"/>
        <v>5.0747631910722209E-3</v>
      </c>
      <c r="BX193" s="331"/>
      <c r="BY193" s="449"/>
      <c r="BZ193" s="453"/>
      <c r="CA193" s="361"/>
    </row>
    <row r="194" spans="3:79" s="203" customFormat="1" ht="15.75" x14ac:dyDescent="0.3">
      <c r="C194" s="195">
        <v>39</v>
      </c>
      <c r="D194" s="379"/>
      <c r="E194" s="379"/>
      <c r="F194" s="196" t="s">
        <v>128</v>
      </c>
      <c r="G194" s="439"/>
      <c r="H194" s="197">
        <v>0.92291666666667005</v>
      </c>
      <c r="I194" s="207">
        <v>-8.6171939999999996</v>
      </c>
      <c r="J194" s="207">
        <v>115.73122100000001</v>
      </c>
      <c r="K194" s="195">
        <f t="shared" si="258"/>
        <v>-0.15039840758310025</v>
      </c>
      <c r="L194" s="195">
        <f t="shared" si="258"/>
        <v>2.0198908538032043</v>
      </c>
      <c r="M194" s="195">
        <v>3443</v>
      </c>
      <c r="N194" s="198">
        <f t="shared" si="208"/>
        <v>0.44610872189625467</v>
      </c>
      <c r="O194" s="421"/>
      <c r="P194" s="421"/>
      <c r="Q194" s="425"/>
      <c r="R194" s="199">
        <f t="shared" si="239"/>
        <v>4.9999999999994493E-2</v>
      </c>
      <c r="S194" s="331"/>
      <c r="T194" s="199">
        <f t="shared" si="240"/>
        <v>8.9221744379260759</v>
      </c>
      <c r="U194" s="421"/>
      <c r="V194" s="195">
        <f t="shared" si="209"/>
        <v>4.5895665308691731</v>
      </c>
      <c r="W194" s="206">
        <f t="shared" si="241"/>
        <v>-1.0151444901199555E-5</v>
      </c>
      <c r="X194" s="195">
        <f t="shared" si="242"/>
        <v>1.3065534780398735E-4</v>
      </c>
      <c r="Y194" s="195">
        <f t="shared" si="243"/>
        <v>1.6483369065241706</v>
      </c>
      <c r="Z194" s="195">
        <f t="shared" si="244"/>
        <v>94.442747959485075</v>
      </c>
      <c r="AA194" s="195">
        <f t="shared" si="245"/>
        <v>265.55725204051492</v>
      </c>
      <c r="AB194" s="13">
        <v>100</v>
      </c>
      <c r="AC194" s="195">
        <v>13</v>
      </c>
      <c r="AD194" s="195">
        <f t="shared" si="230"/>
        <v>4</v>
      </c>
      <c r="AE194" s="201">
        <f t="shared" si="231"/>
        <v>165.55725204051492</v>
      </c>
      <c r="AF194" s="199">
        <f t="shared" si="281"/>
        <v>0.17426331068095324</v>
      </c>
      <c r="AG194" s="382"/>
      <c r="AH194" s="385"/>
      <c r="AI194" s="388"/>
      <c r="AJ194" s="195">
        <f t="shared" si="282"/>
        <v>1.6029604136664304</v>
      </c>
      <c r="AK194" s="195">
        <f t="shared" si="232"/>
        <v>-3.999999999999998E-2</v>
      </c>
      <c r="AL194" s="199">
        <f t="shared" si="283"/>
        <v>18.610006994007279</v>
      </c>
      <c r="AM194" s="199">
        <f t="shared" si="233"/>
        <v>-1.1932441803779623</v>
      </c>
      <c r="AN194" s="199">
        <f t="shared" si="284"/>
        <v>9.0286377651697993</v>
      </c>
      <c r="AO194" s="199">
        <f t="shared" si="234"/>
        <v>4.6443312664033449</v>
      </c>
      <c r="AP194" s="199">
        <f t="shared" si="235"/>
        <v>0.17634269749418771</v>
      </c>
      <c r="AQ194" s="200">
        <f t="shared" si="285"/>
        <v>4.9410413120928302E-2</v>
      </c>
      <c r="AR194" s="195">
        <f t="shared" si="286"/>
        <v>276419807.11580926</v>
      </c>
      <c r="AS194" s="195">
        <f t="shared" si="236"/>
        <v>1.8074983750048154E-3</v>
      </c>
      <c r="AT194" s="199">
        <f t="shared" si="287"/>
        <v>653.18813289403317</v>
      </c>
      <c r="AU194" s="195">
        <f t="shared" si="288"/>
        <v>24188.541338386374</v>
      </c>
      <c r="AV194" s="443"/>
      <c r="AW194" s="445"/>
      <c r="AX194" s="388"/>
      <c r="AY194" s="339"/>
      <c r="AZ194" s="339"/>
      <c r="BA194" s="331"/>
      <c r="BB194" s="402"/>
      <c r="BC194" s="385"/>
      <c r="BD194" s="445"/>
      <c r="BE194" s="445"/>
      <c r="BF194" s="445"/>
      <c r="BG194" s="445"/>
      <c r="BH194" s="447"/>
      <c r="BI194" s="385"/>
      <c r="BJ194" s="385"/>
      <c r="BK194" s="385"/>
      <c r="BL194" s="199">
        <f t="shared" si="289"/>
        <v>-3.1104210925759119E-2</v>
      </c>
      <c r="BM194" s="200">
        <f t="shared" si="290"/>
        <v>1902.2919958940142</v>
      </c>
      <c r="BN194" s="200">
        <f t="shared" si="291"/>
        <v>7853.414421103399</v>
      </c>
      <c r="BO194" s="200">
        <f t="shared" si="292"/>
        <v>60.79990266941288</v>
      </c>
      <c r="BP194" s="200">
        <f t="shared" si="237"/>
        <v>69.919888069824808</v>
      </c>
      <c r="BQ194" s="199">
        <f t="shared" si="238"/>
        <v>324.73112230610957</v>
      </c>
      <c r="BR194" s="199">
        <f t="shared" si="293"/>
        <v>3.3196483258346126</v>
      </c>
      <c r="BS194" s="202">
        <f t="shared" si="294"/>
        <v>782.63206509446866</v>
      </c>
      <c r="BT194" s="199">
        <f t="shared" si="295"/>
        <v>798.60414805558025</v>
      </c>
      <c r="BU194" s="195">
        <f t="shared" si="296"/>
        <v>1018.6277398668116</v>
      </c>
      <c r="BV194" s="195">
        <f t="shared" si="297"/>
        <v>48.506082850800553</v>
      </c>
      <c r="BW194" s="199">
        <f t="shared" si="298"/>
        <v>9.0192824858315902E-3</v>
      </c>
      <c r="BX194" s="331"/>
      <c r="BY194" s="449"/>
      <c r="BZ194" s="453"/>
      <c r="CA194" s="361"/>
    </row>
    <row r="195" spans="3:79" s="203" customFormat="1" ht="15.75" x14ac:dyDescent="0.3">
      <c r="C195" s="195">
        <v>40</v>
      </c>
      <c r="D195" s="379"/>
      <c r="E195" s="379"/>
      <c r="F195" s="196" t="s">
        <v>128</v>
      </c>
      <c r="G195" s="440"/>
      <c r="H195" s="197">
        <v>0.92500000000000304</v>
      </c>
      <c r="I195" s="207">
        <v>-8.6175090000000001</v>
      </c>
      <c r="J195" s="207">
        <v>115.738247</v>
      </c>
      <c r="K195" s="195">
        <f t="shared" si="258"/>
        <v>-0.15040390537024403</v>
      </c>
      <c r="L195" s="195">
        <f t="shared" si="258"/>
        <v>2.0200134806364494</v>
      </c>
      <c r="M195" s="195">
        <v>3443</v>
      </c>
      <c r="N195" s="198">
        <f t="shared" si="208"/>
        <v>0.41786689326995125</v>
      </c>
      <c r="O195" s="421"/>
      <c r="P195" s="421"/>
      <c r="Q195" s="425"/>
      <c r="R195" s="199">
        <f t="shared" si="239"/>
        <v>4.9999999999991829E-2</v>
      </c>
      <c r="S195" s="331"/>
      <c r="T195" s="199">
        <f t="shared" si="240"/>
        <v>8.3573378654003907</v>
      </c>
      <c r="U195" s="421"/>
      <c r="V195" s="195">
        <f t="shared" si="209"/>
        <v>4.2990145979619605</v>
      </c>
      <c r="W195" s="206">
        <f t="shared" si="241"/>
        <v>-5.5612329178356845E-6</v>
      </c>
      <c r="X195" s="195">
        <f t="shared" si="242"/>
        <v>1.2262683324504309E-4</v>
      </c>
      <c r="Y195" s="195">
        <f t="shared" si="243"/>
        <v>1.6161161387077141</v>
      </c>
      <c r="Z195" s="195">
        <f t="shared" si="244"/>
        <v>92.59663395093115</v>
      </c>
      <c r="AA195" s="195">
        <f t="shared" si="245"/>
        <v>267.40336604906884</v>
      </c>
      <c r="AB195" s="13">
        <v>100</v>
      </c>
      <c r="AC195" s="195">
        <v>13</v>
      </c>
      <c r="AD195" s="195">
        <f t="shared" si="230"/>
        <v>4</v>
      </c>
      <c r="AE195" s="201">
        <f t="shared" si="231"/>
        <v>167.40336604906884</v>
      </c>
      <c r="AF195" s="199">
        <f t="shared" si="281"/>
        <v>0.16323121398672091</v>
      </c>
      <c r="AG195" s="382"/>
      <c r="AH195" s="385"/>
      <c r="AI195" s="388"/>
      <c r="AJ195" s="195">
        <f t="shared" si="282"/>
        <v>1.6869691293020201</v>
      </c>
      <c r="AK195" s="195">
        <f t="shared" si="232"/>
        <v>-3.999999999999998E-2</v>
      </c>
      <c r="AL195" s="199">
        <f t="shared" si="283"/>
        <v>18.610006994007279</v>
      </c>
      <c r="AM195" s="199">
        <f t="shared" si="233"/>
        <v>-1.2557802917993981</v>
      </c>
      <c r="AN195" s="199">
        <f t="shared" si="284"/>
        <v>8.462287667233177</v>
      </c>
      <c r="AO195" s="199">
        <f t="shared" si="234"/>
        <v>4.3530007760247464</v>
      </c>
      <c r="AP195" s="199">
        <f t="shared" si="235"/>
        <v>0.16528103940203109</v>
      </c>
      <c r="AQ195" s="200">
        <f t="shared" si="285"/>
        <v>4.9379896985536617E-2</v>
      </c>
      <c r="AR195" s="195">
        <f t="shared" si="286"/>
        <v>259080493.15688702</v>
      </c>
      <c r="AS195" s="195">
        <f t="shared" si="236"/>
        <v>1.8233914201142413E-3</v>
      </c>
      <c r="AT195" s="199">
        <f t="shared" si="287"/>
        <v>578.85713158340548</v>
      </c>
      <c r="AU195" s="195">
        <f t="shared" si="288"/>
        <v>21435.95229492092</v>
      </c>
      <c r="AV195" s="443"/>
      <c r="AW195" s="445"/>
      <c r="AX195" s="388"/>
      <c r="AY195" s="339"/>
      <c r="AZ195" s="339"/>
      <c r="BA195" s="331"/>
      <c r="BB195" s="402"/>
      <c r="BC195" s="385"/>
      <c r="BD195" s="445"/>
      <c r="BE195" s="445"/>
      <c r="BF195" s="445"/>
      <c r="BG195" s="445"/>
      <c r="BH195" s="447"/>
      <c r="BI195" s="385"/>
      <c r="BJ195" s="385"/>
      <c r="BK195" s="385"/>
      <c r="BL195" s="199">
        <f t="shared" si="289"/>
        <v>-1.9935453304413646E-2</v>
      </c>
      <c r="BM195" s="200">
        <f t="shared" si="290"/>
        <v>947.96502150481842</v>
      </c>
      <c r="BN195" s="200">
        <f t="shared" si="291"/>
        <v>6899.0553068386598</v>
      </c>
      <c r="BO195" s="200">
        <f t="shared" si="292"/>
        <v>53.082528352257761</v>
      </c>
      <c r="BP195" s="200">
        <f t="shared" si="237"/>
        <v>61.044907605096427</v>
      </c>
      <c r="BQ195" s="199">
        <f t="shared" si="238"/>
        <v>265.72853017734371</v>
      </c>
      <c r="BR195" s="199">
        <f t="shared" si="293"/>
        <v>3.1114127975797898</v>
      </c>
      <c r="BS195" s="202">
        <f t="shared" si="294"/>
        <v>640.43035619841351</v>
      </c>
      <c r="BT195" s="199">
        <f t="shared" si="295"/>
        <v>653.50036346776892</v>
      </c>
      <c r="BU195" s="195">
        <f t="shared" si="296"/>
        <v>833.54638197419501</v>
      </c>
      <c r="BV195" s="195">
        <f t="shared" si="297"/>
        <v>39.692684855914052</v>
      </c>
      <c r="BW195" s="199">
        <f t="shared" si="298"/>
        <v>7.3759498578398076E-3</v>
      </c>
      <c r="BX195" s="331"/>
      <c r="BY195" s="450"/>
      <c r="BZ195" s="454"/>
      <c r="CA195" s="362"/>
    </row>
    <row r="196" spans="3:79" ht="15.75" x14ac:dyDescent="0.3">
      <c r="C196" s="22">
        <v>41</v>
      </c>
      <c r="D196" s="379"/>
      <c r="E196" s="379"/>
      <c r="F196" s="19" t="s">
        <v>128</v>
      </c>
      <c r="G196" s="255">
        <v>0.92708333333333404</v>
      </c>
      <c r="H196" s="54">
        <v>0.92708333333333703</v>
      </c>
      <c r="I196" s="13">
        <v>-8.6189540000000004</v>
      </c>
      <c r="J196" s="13">
        <v>115.744843</v>
      </c>
      <c r="K196" s="13">
        <f t="shared" si="258"/>
        <v>-0.15042912537793535</v>
      </c>
      <c r="L196" s="13">
        <f t="shared" si="258"/>
        <v>2.0201286025539114</v>
      </c>
      <c r="M196" s="13">
        <v>3443</v>
      </c>
      <c r="N196" s="71">
        <f t="shared" si="208"/>
        <v>0.40139395889354862</v>
      </c>
      <c r="O196" s="422"/>
      <c r="P196" s="422"/>
      <c r="Q196" s="426"/>
      <c r="R196" s="23">
        <f t="shared" si="239"/>
        <v>5.000000000001581E-2</v>
      </c>
      <c r="S196" s="358"/>
      <c r="T196" s="23">
        <f t="shared" si="240"/>
        <v>8.0278791778684333</v>
      </c>
      <c r="U196" s="422"/>
      <c r="V196" s="22">
        <f t="shared" si="209"/>
        <v>4.129541049095522</v>
      </c>
      <c r="W196" s="130">
        <f t="shared" si="241"/>
        <v>-2.5511112293386073E-5</v>
      </c>
      <c r="X196" s="13">
        <f t="shared" si="242"/>
        <v>1.1512191746199107E-4</v>
      </c>
      <c r="Y196" s="13">
        <f t="shared" si="243"/>
        <v>1.7888730431862028</v>
      </c>
      <c r="Z196" s="13">
        <f t="shared" si="244"/>
        <v>102.49487545929327</v>
      </c>
      <c r="AA196" s="13">
        <f t="shared" si="245"/>
        <v>257.50512454070673</v>
      </c>
      <c r="AB196" s="13">
        <v>100</v>
      </c>
      <c r="AC196" s="13">
        <v>13</v>
      </c>
      <c r="AD196" s="13">
        <f t="shared" si="230"/>
        <v>4</v>
      </c>
      <c r="AE196" s="16">
        <f t="shared" si="231"/>
        <v>157.50512454070673</v>
      </c>
      <c r="AF196" s="23">
        <f t="shared" si="281"/>
        <v>0.15679639677693033</v>
      </c>
      <c r="AG196" s="382"/>
      <c r="AH196" s="385"/>
      <c r="AI196" s="388"/>
      <c r="AJ196" s="22">
        <f t="shared" si="282"/>
        <v>1.7346660554355064</v>
      </c>
      <c r="AK196" s="22">
        <f t="shared" si="232"/>
        <v>-3.999999999999998E-2</v>
      </c>
      <c r="AL196" s="23">
        <f t="shared" si="283"/>
        <v>18.610006994007279</v>
      </c>
      <c r="AM196" s="23">
        <f t="shared" si="233"/>
        <v>-1.291285896956871</v>
      </c>
      <c r="AN196" s="23">
        <f t="shared" si="284"/>
        <v>8.1315420495169857</v>
      </c>
      <c r="AO196" s="23">
        <f t="shared" si="234"/>
        <v>4.1828652302715374</v>
      </c>
      <c r="AP196" s="23">
        <f t="shared" si="235"/>
        <v>0.15882108653544735</v>
      </c>
      <c r="AQ196" s="24">
        <f t="shared" si="285"/>
        <v>4.936258786454796E-2</v>
      </c>
      <c r="AR196" s="22">
        <f t="shared" si="286"/>
        <v>248954420.73805526</v>
      </c>
      <c r="AS196" s="22">
        <f t="shared" si="236"/>
        <v>1.8332769521564607E-3</v>
      </c>
      <c r="AT196" s="23">
        <f t="shared" si="287"/>
        <v>537.39028979466025</v>
      </c>
      <c r="AU196" s="22">
        <f t="shared" si="288"/>
        <v>19900.372626111923</v>
      </c>
      <c r="AV196" s="443"/>
      <c r="AW196" s="445"/>
      <c r="AX196" s="388"/>
      <c r="AY196" s="339"/>
      <c r="AZ196" s="339"/>
      <c r="BA196" s="331"/>
      <c r="BB196" s="402"/>
      <c r="BC196" s="385"/>
      <c r="BD196" s="445"/>
      <c r="BE196" s="445"/>
      <c r="BF196" s="445"/>
      <c r="BG196" s="445"/>
      <c r="BH196" s="447"/>
      <c r="BI196" s="385"/>
      <c r="BJ196" s="385"/>
      <c r="BK196" s="385"/>
      <c r="BL196" s="23">
        <f t="shared" si="289"/>
        <v>-1.471190457971929E-2</v>
      </c>
      <c r="BM196" s="24">
        <f t="shared" si="290"/>
        <v>608.94801686299513</v>
      </c>
      <c r="BN196" s="24">
        <f t="shared" si="291"/>
        <v>6370.299944314911</v>
      </c>
      <c r="BO196" s="24">
        <f t="shared" si="292"/>
        <v>48.97427823658424</v>
      </c>
      <c r="BP196" s="24">
        <f t="shared" si="237"/>
        <v>56.320419972071875</v>
      </c>
      <c r="BQ196" s="23">
        <f t="shared" si="238"/>
        <v>235.58072645547011</v>
      </c>
      <c r="BR196" s="23">
        <f t="shared" si="293"/>
        <v>2.9898042930981568</v>
      </c>
      <c r="BS196" s="6">
        <f t="shared" si="294"/>
        <v>567.77135844866586</v>
      </c>
      <c r="BT196" s="23">
        <f t="shared" si="295"/>
        <v>579.35852902925092</v>
      </c>
      <c r="BU196" s="22">
        <f t="shared" si="296"/>
        <v>738.97771559853436</v>
      </c>
      <c r="BV196" s="22">
        <f t="shared" si="297"/>
        <v>35.189415028501635</v>
      </c>
      <c r="BW196" s="23">
        <f t="shared" si="298"/>
        <v>6.5368311529786652E-3</v>
      </c>
      <c r="BX196" s="331"/>
      <c r="BY196" s="360">
        <f t="shared" ref="BY196" si="305">(SUM(BW196:BW200))*1000</f>
        <v>47.604687238272021</v>
      </c>
      <c r="BZ196" s="365">
        <v>50</v>
      </c>
      <c r="CA196" s="360">
        <f t="shared" ref="CA196" si="306">AVERAGE(AN196:AN200)</f>
        <v>8.978284328990199</v>
      </c>
    </row>
    <row r="197" spans="3:79" ht="15.75" x14ac:dyDescent="0.3">
      <c r="C197" s="22">
        <v>42</v>
      </c>
      <c r="D197" s="379"/>
      <c r="E197" s="379"/>
      <c r="F197" s="19" t="s">
        <v>128</v>
      </c>
      <c r="G197" s="256"/>
      <c r="H197" s="54">
        <v>0.92916666666667003</v>
      </c>
      <c r="I197" s="13">
        <v>-8.6177290000000006</v>
      </c>
      <c r="J197" s="13">
        <v>115.752472</v>
      </c>
      <c r="K197" s="13">
        <f t="shared" si="258"/>
        <v>-0.15040774509459842</v>
      </c>
      <c r="L197" s="13">
        <f t="shared" si="258"/>
        <v>2.0202617537225458</v>
      </c>
      <c r="M197" s="13">
        <v>3443</v>
      </c>
      <c r="N197" s="71">
        <f t="shared" si="208"/>
        <v>0.4592015983379012</v>
      </c>
      <c r="O197" s="420">
        <f t="shared" ref="O197" si="307">SUM(N197:N201)</f>
        <v>2.2224374804690439</v>
      </c>
      <c r="P197" s="423">
        <v>2.23</v>
      </c>
      <c r="Q197" s="424">
        <f t="shared" ref="Q197" si="308">ABS((O197-P197)/O197)*100%</f>
        <v>3.4028041721830744E-3</v>
      </c>
      <c r="R197" s="23">
        <f t="shared" si="239"/>
        <v>4.9999999999991829E-2</v>
      </c>
      <c r="S197" s="357">
        <f t="shared" ref="S197" si="309">+SUM(R197:R201)</f>
        <v>0.25000000000000711</v>
      </c>
      <c r="T197" s="23">
        <f t="shared" si="240"/>
        <v>9.1840319667595249</v>
      </c>
      <c r="U197" s="420">
        <f t="shared" ref="U197" si="310">AVERAGE(T197:T201)</f>
        <v>8.8897499218760547</v>
      </c>
      <c r="V197" s="22">
        <f t="shared" si="209"/>
        <v>4.7242660437010997</v>
      </c>
      <c r="W197" s="130">
        <f t="shared" si="241"/>
        <v>2.1627073841868473E-5</v>
      </c>
      <c r="X197" s="13">
        <f t="shared" si="242"/>
        <v>1.3315116863443777E-4</v>
      </c>
      <c r="Y197" s="13">
        <f t="shared" si="243"/>
        <v>1.4097775281708707</v>
      </c>
      <c r="Z197" s="13">
        <f t="shared" si="244"/>
        <v>80.774302416576404</v>
      </c>
      <c r="AA197" s="13">
        <f t="shared" si="245"/>
        <v>279.2256975834236</v>
      </c>
      <c r="AB197" s="13">
        <v>100</v>
      </c>
      <c r="AC197" s="13">
        <v>13</v>
      </c>
      <c r="AD197" s="13">
        <f t="shared" si="230"/>
        <v>4</v>
      </c>
      <c r="AE197" s="16">
        <f t="shared" si="231"/>
        <v>179.2256975834236</v>
      </c>
      <c r="AF197" s="23">
        <f t="shared" si="281"/>
        <v>0.17937777691547097</v>
      </c>
      <c r="AG197" s="382"/>
      <c r="AH197" s="385"/>
      <c r="AI197" s="388"/>
      <c r="AJ197" s="22">
        <f t="shared" si="282"/>
        <v>1.5630561379395744</v>
      </c>
      <c r="AK197" s="22">
        <f t="shared" si="232"/>
        <v>-3.999999999999998E-2</v>
      </c>
      <c r="AL197" s="23">
        <f t="shared" si="283"/>
        <v>18.610006994007279</v>
      </c>
      <c r="AM197" s="23">
        <f t="shared" si="233"/>
        <v>-1.163539426363259</v>
      </c>
      <c r="AN197" s="23">
        <f t="shared" si="284"/>
        <v>9.2908917996225764</v>
      </c>
      <c r="AO197" s="23">
        <f t="shared" si="234"/>
        <v>4.7792347417258529</v>
      </c>
      <c r="AP197" s="23">
        <f t="shared" si="235"/>
        <v>0.18146490807201637</v>
      </c>
      <c r="AQ197" s="24">
        <f t="shared" si="285"/>
        <v>4.9424921551293424E-2</v>
      </c>
      <c r="AR197" s="22">
        <f t="shared" si="286"/>
        <v>284448948.55489057</v>
      </c>
      <c r="AS197" s="22">
        <f t="shared" si="236"/>
        <v>1.8005399346488367E-3</v>
      </c>
      <c r="AT197" s="23">
        <f t="shared" si="287"/>
        <v>689.02261242362397</v>
      </c>
      <c r="AU197" s="22">
        <f t="shared" si="288"/>
        <v>25515.546141123181</v>
      </c>
      <c r="AV197" s="443"/>
      <c r="AW197" s="445"/>
      <c r="AX197" s="388"/>
      <c r="AY197" s="339"/>
      <c r="AZ197" s="339"/>
      <c r="BA197" s="331"/>
      <c r="BB197" s="402"/>
      <c r="BC197" s="385"/>
      <c r="BD197" s="445"/>
      <c r="BE197" s="445"/>
      <c r="BF197" s="445"/>
      <c r="BG197" s="445"/>
      <c r="BH197" s="447"/>
      <c r="BI197" s="385"/>
      <c r="BJ197" s="385"/>
      <c r="BK197" s="385"/>
      <c r="BL197" s="23">
        <f t="shared" si="289"/>
        <v>-3.7200571619363527E-2</v>
      </c>
      <c r="BM197" s="24">
        <f t="shared" si="290"/>
        <v>2566.4383263062196</v>
      </c>
      <c r="BN197" s="24">
        <f t="shared" si="291"/>
        <v>8316.2753815912729</v>
      </c>
      <c r="BO197" s="24">
        <f t="shared" si="292"/>
        <v>64.727239778932514</v>
      </c>
      <c r="BP197" s="24">
        <f t="shared" si="237"/>
        <v>74.436325745772393</v>
      </c>
      <c r="BQ197" s="23">
        <f t="shared" si="238"/>
        <v>355.74867405061798</v>
      </c>
      <c r="BR197" s="23">
        <f t="shared" si="293"/>
        <v>3.4160738541433293</v>
      </c>
      <c r="BS197" s="6">
        <f t="shared" si="294"/>
        <v>857.3872360912784</v>
      </c>
      <c r="BT197" s="23">
        <f t="shared" si="295"/>
        <v>874.88493478701878</v>
      </c>
      <c r="BU197" s="22">
        <f t="shared" si="296"/>
        <v>1115.9246617181361</v>
      </c>
      <c r="BV197" s="22">
        <f t="shared" si="297"/>
        <v>53.139269605625529</v>
      </c>
      <c r="BW197" s="23">
        <f t="shared" si="298"/>
        <v>9.8836844041729991E-3</v>
      </c>
      <c r="BX197" s="331"/>
      <c r="BY197" s="361"/>
      <c r="BZ197" s="366"/>
      <c r="CA197" s="361"/>
    </row>
    <row r="198" spans="3:79" ht="15.75" x14ac:dyDescent="0.3">
      <c r="C198" s="22">
        <v>43</v>
      </c>
      <c r="D198" s="379"/>
      <c r="E198" s="379"/>
      <c r="F198" s="19" t="s">
        <v>128</v>
      </c>
      <c r="G198" s="256"/>
      <c r="H198" s="54">
        <v>0.93125000000000402</v>
      </c>
      <c r="I198" s="13">
        <v>-8.6171520000000008</v>
      </c>
      <c r="J198" s="13">
        <v>115.75884600000001</v>
      </c>
      <c r="K198" s="13">
        <f t="shared" si="258"/>
        <v>-0.15039767454481442</v>
      </c>
      <c r="L198" s="13">
        <f t="shared" si="258"/>
        <v>2.0203730010090681</v>
      </c>
      <c r="M198" s="13">
        <v>3443</v>
      </c>
      <c r="N198" s="71">
        <f t="shared" si="208"/>
        <v>0.38028434661077615</v>
      </c>
      <c r="O198" s="421"/>
      <c r="P198" s="421"/>
      <c r="Q198" s="425"/>
      <c r="R198" s="23">
        <f t="shared" si="239"/>
        <v>5.000000000001581E-2</v>
      </c>
      <c r="S198" s="331"/>
      <c r="T198" s="23">
        <f t="shared" si="240"/>
        <v>7.6056869322131178</v>
      </c>
      <c r="U198" s="421"/>
      <c r="V198" s="22">
        <f t="shared" si="209"/>
        <v>3.9123653579304274</v>
      </c>
      <c r="W198" s="130">
        <f t="shared" si="241"/>
        <v>1.0186768739952692E-5</v>
      </c>
      <c r="X198" s="13">
        <f t="shared" si="242"/>
        <v>1.1124728652234239E-4</v>
      </c>
      <c r="Y198" s="13">
        <f t="shared" si="243"/>
        <v>1.479482282065248</v>
      </c>
      <c r="Z198" s="13">
        <f t="shared" si="244"/>
        <v>84.768090626722326</v>
      </c>
      <c r="AA198" s="13">
        <f t="shared" si="245"/>
        <v>275.23190937327769</v>
      </c>
      <c r="AB198" s="13">
        <v>100</v>
      </c>
      <c r="AC198" s="13">
        <v>13</v>
      </c>
      <c r="AD198" s="13">
        <f t="shared" si="230"/>
        <v>4</v>
      </c>
      <c r="AE198" s="16">
        <f t="shared" si="231"/>
        <v>175.23190937327769</v>
      </c>
      <c r="AF198" s="23">
        <f t="shared" si="281"/>
        <v>0.14855035552503754</v>
      </c>
      <c r="AG198" s="382"/>
      <c r="AH198" s="385"/>
      <c r="AI198" s="388"/>
      <c r="AJ198" s="22">
        <f t="shared" si="282"/>
        <v>1.7943840702886265</v>
      </c>
      <c r="AK198" s="22">
        <f t="shared" si="232"/>
        <v>-3.999999999999998E-2</v>
      </c>
      <c r="AL198" s="23">
        <f t="shared" si="283"/>
        <v>18.610006994007279</v>
      </c>
      <c r="AM198" s="23">
        <f t="shared" si="233"/>
        <v>-1.3357400039202627</v>
      </c>
      <c r="AN198" s="23">
        <f t="shared" si="284"/>
        <v>7.7072791351396246</v>
      </c>
      <c r="AO198" s="23">
        <f t="shared" si="234"/>
        <v>3.9646243871158227</v>
      </c>
      <c r="AP198" s="23">
        <f t="shared" si="235"/>
        <v>0.15053460204975125</v>
      </c>
      <c r="AQ198" s="24">
        <f t="shared" si="285"/>
        <v>4.9340933414096066E-2</v>
      </c>
      <c r="AR198" s="22">
        <f t="shared" si="286"/>
        <v>235965232.77760819</v>
      </c>
      <c r="AS198" s="22">
        <f t="shared" si="236"/>
        <v>1.8466906084313223E-3</v>
      </c>
      <c r="AT198" s="23">
        <f t="shared" si="287"/>
        <v>486.30891241490406</v>
      </c>
      <c r="AU198" s="22">
        <f t="shared" si="288"/>
        <v>18008.752209039219</v>
      </c>
      <c r="AV198" s="443"/>
      <c r="AW198" s="445"/>
      <c r="AX198" s="388"/>
      <c r="AY198" s="339"/>
      <c r="AZ198" s="339"/>
      <c r="BA198" s="331"/>
      <c r="BB198" s="402"/>
      <c r="BC198" s="385"/>
      <c r="BD198" s="445"/>
      <c r="BE198" s="445"/>
      <c r="BF198" s="445"/>
      <c r="BG198" s="445"/>
      <c r="BH198" s="447"/>
      <c r="BI198" s="385"/>
      <c r="BJ198" s="385"/>
      <c r="BK198" s="385"/>
      <c r="BL198" s="23">
        <f t="shared" si="289"/>
        <v>-9.3950295337457742E-3</v>
      </c>
      <c r="BM198" s="24">
        <f t="shared" si="290"/>
        <v>329.23078329509696</v>
      </c>
      <c r="BN198" s="24">
        <f t="shared" si="291"/>
        <v>5722.9010044465931</v>
      </c>
      <c r="BO198" s="24">
        <f t="shared" si="292"/>
        <v>44.055344513947418</v>
      </c>
      <c r="BP198" s="24">
        <f t="shared" si="237"/>
        <v>50.663646191039533</v>
      </c>
      <c r="BQ198" s="23">
        <f t="shared" si="238"/>
        <v>200.862327229203</v>
      </c>
      <c r="BR198" s="23">
        <f t="shared" si="293"/>
        <v>2.8338113614889404</v>
      </c>
      <c r="BS198" s="6">
        <f t="shared" si="294"/>
        <v>484.09680243363124</v>
      </c>
      <c r="BT198" s="23">
        <f t="shared" si="295"/>
        <v>493.97632901390944</v>
      </c>
      <c r="BU198" s="22">
        <f t="shared" si="296"/>
        <v>630.07184823202726</v>
      </c>
      <c r="BV198" s="22">
        <f t="shared" si="297"/>
        <v>30.003421344382254</v>
      </c>
      <c r="BW198" s="23">
        <f t="shared" si="298"/>
        <v>5.571029293260552E-3</v>
      </c>
      <c r="BX198" s="331"/>
      <c r="BY198" s="361"/>
      <c r="BZ198" s="366"/>
      <c r="CA198" s="361"/>
    </row>
    <row r="199" spans="3:79" ht="15.75" x14ac:dyDescent="0.3">
      <c r="C199" s="22">
        <v>44</v>
      </c>
      <c r="D199" s="379"/>
      <c r="E199" s="379"/>
      <c r="F199" s="19" t="s">
        <v>128</v>
      </c>
      <c r="G199" s="256"/>
      <c r="H199" s="54">
        <v>0.93333333333333701</v>
      </c>
      <c r="I199" s="13">
        <v>-8.6179489999999994</v>
      </c>
      <c r="J199" s="13">
        <v>115.76785</v>
      </c>
      <c r="K199" s="13">
        <f t="shared" si="258"/>
        <v>-0.15041158481895278</v>
      </c>
      <c r="L199" s="13">
        <f t="shared" si="258"/>
        <v>2.0205301504549174</v>
      </c>
      <c r="M199" s="13">
        <v>3443</v>
      </c>
      <c r="N199" s="71">
        <f t="shared" si="208"/>
        <v>0.53709677996371863</v>
      </c>
      <c r="O199" s="421"/>
      <c r="P199" s="421"/>
      <c r="Q199" s="425"/>
      <c r="R199" s="23">
        <f t="shared" si="239"/>
        <v>4.9999999999991829E-2</v>
      </c>
      <c r="S199" s="331"/>
      <c r="T199" s="23">
        <f t="shared" si="240"/>
        <v>10.741935599276129</v>
      </c>
      <c r="U199" s="421"/>
      <c r="V199" s="22">
        <f>T199*0.5144</f>
        <v>5.5256516722676405</v>
      </c>
      <c r="W199" s="130">
        <f t="shared" si="241"/>
        <v>-1.407080946370155E-5</v>
      </c>
      <c r="X199" s="13">
        <f t="shared" si="242"/>
        <v>1.5714944584921398E-4</v>
      </c>
      <c r="Y199" s="13">
        <f t="shared" si="243"/>
        <v>1.6600959567672797</v>
      </c>
      <c r="Z199" s="13">
        <f t="shared" si="244"/>
        <v>95.116491909497498</v>
      </c>
      <c r="AA199" s="13">
        <f t="shared" si="245"/>
        <v>264.88350809050252</v>
      </c>
      <c r="AB199" s="13">
        <v>100</v>
      </c>
      <c r="AC199" s="13">
        <v>13</v>
      </c>
      <c r="AD199" s="13">
        <f t="shared" si="230"/>
        <v>4</v>
      </c>
      <c r="AE199" s="16">
        <f t="shared" si="231"/>
        <v>164.88350809050252</v>
      </c>
      <c r="AF199" s="23">
        <f t="shared" si="281"/>
        <v>0.20980594738142883</v>
      </c>
      <c r="AG199" s="382"/>
      <c r="AH199" s="385"/>
      <c r="AI199" s="388"/>
      <c r="AJ199" s="22">
        <f t="shared" si="282"/>
        <v>1.3131029822319344</v>
      </c>
      <c r="AK199" s="22">
        <f t="shared" si="232"/>
        <v>-3.999999999999998E-2</v>
      </c>
      <c r="AL199" s="23">
        <f t="shared" si="283"/>
        <v>18.610006994007279</v>
      </c>
      <c r="AM199" s="23">
        <f t="shared" si="233"/>
        <v>-0.9774742273275242</v>
      </c>
      <c r="AN199" s="23">
        <f t="shared" si="284"/>
        <v>10.846935251275173</v>
      </c>
      <c r="AO199" s="23">
        <f t="shared" si="234"/>
        <v>5.579663493255949</v>
      </c>
      <c r="AP199" s="23">
        <f t="shared" si="235"/>
        <v>0.21185674644448266</v>
      </c>
      <c r="AQ199" s="24">
        <f t="shared" si="285"/>
        <v>4.9515993921008902E-2</v>
      </c>
      <c r="AR199" s="22">
        <f t="shared" si="286"/>
        <v>332088608.26401389</v>
      </c>
      <c r="AS199" s="22">
        <f t="shared" si="236"/>
        <v>1.7635957114205346E-3</v>
      </c>
      <c r="AT199" s="23">
        <f t="shared" si="287"/>
        <v>919.87547775679889</v>
      </c>
      <c r="AU199" s="22">
        <f t="shared" si="288"/>
        <v>34064.375789108119</v>
      </c>
      <c r="AV199" s="443"/>
      <c r="AW199" s="445"/>
      <c r="AX199" s="388"/>
      <c r="AY199" s="339"/>
      <c r="AZ199" s="339"/>
      <c r="BA199" s="331"/>
      <c r="BB199" s="402"/>
      <c r="BC199" s="385"/>
      <c r="BD199" s="445"/>
      <c r="BE199" s="445"/>
      <c r="BF199" s="445"/>
      <c r="BG199" s="445"/>
      <c r="BH199" s="447"/>
      <c r="BI199" s="385"/>
      <c r="BJ199" s="385"/>
      <c r="BK199" s="385"/>
      <c r="BL199" s="23">
        <f t="shared" si="289"/>
        <v>-8.3522207029307197E-2</v>
      </c>
      <c r="BM199" s="24">
        <f t="shared" si="290"/>
        <v>11670.763194458514</v>
      </c>
      <c r="BN199" s="24">
        <f t="shared" si="291"/>
        <v>11335.172995454652</v>
      </c>
      <c r="BO199" s="24">
        <f t="shared" si="292"/>
        <v>94.890745557721843</v>
      </c>
      <c r="BP199" s="24">
        <f t="shared" si="237"/>
        <v>109.12435739138012</v>
      </c>
      <c r="BQ199" s="23">
        <f t="shared" si="238"/>
        <v>608.87719316169864</v>
      </c>
      <c r="BR199" s="23">
        <f t="shared" si="293"/>
        <v>3.9881997023118885</v>
      </c>
      <c r="BS199" s="6">
        <f t="shared" si="294"/>
        <v>1467.4503992378757</v>
      </c>
      <c r="BT199" s="23">
        <f t="shared" si="295"/>
        <v>1497.3983665692608</v>
      </c>
      <c r="BU199" s="22">
        <f t="shared" si="296"/>
        <v>1909.9468961342611</v>
      </c>
      <c r="BV199" s="22">
        <f t="shared" si="297"/>
        <v>90.949852196869571</v>
      </c>
      <c r="BW199" s="23">
        <f t="shared" si="298"/>
        <v>1.6947467066599352E-2</v>
      </c>
      <c r="BX199" s="331"/>
      <c r="BY199" s="361"/>
      <c r="BZ199" s="366"/>
      <c r="CA199" s="361"/>
    </row>
    <row r="200" spans="3:79" ht="15.75" x14ac:dyDescent="0.3">
      <c r="C200" s="22">
        <v>45</v>
      </c>
      <c r="D200" s="379"/>
      <c r="E200" s="379"/>
      <c r="F200" s="19" t="s">
        <v>128</v>
      </c>
      <c r="G200" s="257"/>
      <c r="H200" s="54">
        <v>0.935416666666671</v>
      </c>
      <c r="I200" s="13">
        <v>-8.6186699999999998</v>
      </c>
      <c r="J200" s="13">
        <v>115.775227</v>
      </c>
      <c r="K200" s="13">
        <f t="shared" si="258"/>
        <v>-0.15042416864285968</v>
      </c>
      <c r="L200" s="13">
        <f t="shared" si="258"/>
        <v>2.0206589033938371</v>
      </c>
      <c r="M200" s="13">
        <v>3443</v>
      </c>
      <c r="N200" s="71">
        <f t="shared" si="208"/>
        <v>0.44042714625546686</v>
      </c>
      <c r="O200" s="421"/>
      <c r="P200" s="421"/>
      <c r="Q200" s="425"/>
      <c r="R200" s="23">
        <f t="shared" si="239"/>
        <v>5.000000000001581E-2</v>
      </c>
      <c r="S200" s="331"/>
      <c r="T200" s="23">
        <f t="shared" si="240"/>
        <v>8.8085429251065523</v>
      </c>
      <c r="U200" s="421"/>
      <c r="V200" s="22">
        <f t="shared" si="209"/>
        <v>4.5311144806748098</v>
      </c>
      <c r="W200" s="130">
        <f t="shared" si="241"/>
        <v>-1.2729076663433193E-5</v>
      </c>
      <c r="X200" s="13">
        <f t="shared" si="242"/>
        <v>1.2875293891978501E-4</v>
      </c>
      <c r="Y200" s="13">
        <f t="shared" si="243"/>
        <v>1.669340455425987</v>
      </c>
      <c r="Z200" s="13">
        <f t="shared" si="244"/>
        <v>95.646162666355778</v>
      </c>
      <c r="AA200" s="13">
        <f t="shared" si="245"/>
        <v>264.35383733364421</v>
      </c>
      <c r="AB200" s="13">
        <v>100</v>
      </c>
      <c r="AC200" s="13">
        <v>13</v>
      </c>
      <c r="AD200" s="13">
        <f t="shared" si="230"/>
        <v>4</v>
      </c>
      <c r="AE200" s="16">
        <f t="shared" si="231"/>
        <v>164.35383733364421</v>
      </c>
      <c r="AF200" s="23">
        <f t="shared" si="281"/>
        <v>0.17204391856310328</v>
      </c>
      <c r="AG200" s="382"/>
      <c r="AH200" s="385"/>
      <c r="AI200" s="388"/>
      <c r="AJ200" s="22">
        <f t="shared" si="282"/>
        <v>1.6200878263077645</v>
      </c>
      <c r="AK200" s="22">
        <f t="shared" si="232"/>
        <v>-3.999999999999998E-2</v>
      </c>
      <c r="AL200" s="23">
        <f t="shared" si="283"/>
        <v>18.610006994007279</v>
      </c>
      <c r="AM200" s="23">
        <f t="shared" si="233"/>
        <v>-1.2059938311397413</v>
      </c>
      <c r="AN200" s="23">
        <f t="shared" si="284"/>
        <v>8.9147734093966342</v>
      </c>
      <c r="AO200" s="23">
        <f t="shared" si="234"/>
        <v>4.5857594417936287</v>
      </c>
      <c r="AP200" s="23">
        <f t="shared" si="235"/>
        <v>0.17411875760782541</v>
      </c>
      <c r="AQ200" s="24">
        <f t="shared" si="285"/>
        <v>4.9404188533971459E-2</v>
      </c>
      <c r="AR200" s="22">
        <f t="shared" si="286"/>
        <v>272933748.1909951</v>
      </c>
      <c r="AS200" s="22">
        <f t="shared" si="236"/>
        <v>1.8105956292855099E-3</v>
      </c>
      <c r="AT200" s="23">
        <f t="shared" si="287"/>
        <v>637.90792505012394</v>
      </c>
      <c r="AU200" s="22">
        <f t="shared" si="288"/>
        <v>23622.692204762421</v>
      </c>
      <c r="AV200" s="443"/>
      <c r="AW200" s="445"/>
      <c r="AX200" s="388"/>
      <c r="AY200" s="339"/>
      <c r="AZ200" s="339"/>
      <c r="BA200" s="331"/>
      <c r="BB200" s="402"/>
      <c r="BC200" s="385"/>
      <c r="BD200" s="445"/>
      <c r="BE200" s="445"/>
      <c r="BF200" s="445"/>
      <c r="BG200" s="445"/>
      <c r="BH200" s="447"/>
      <c r="BI200" s="385"/>
      <c r="BJ200" s="385"/>
      <c r="BK200" s="385"/>
      <c r="BL200" s="23">
        <f t="shared" si="289"/>
        <v>-2.8636193985672822E-2</v>
      </c>
      <c r="BM200" s="24">
        <f t="shared" si="290"/>
        <v>1663.0955602036447</v>
      </c>
      <c r="BN200" s="24">
        <f t="shared" si="291"/>
        <v>7656.5773656604151</v>
      </c>
      <c r="BO200" s="24">
        <f t="shared" si="292"/>
        <v>59.169778396950612</v>
      </c>
      <c r="BP200" s="24">
        <f t="shared" si="237"/>
        <v>68.045245156493209</v>
      </c>
      <c r="BQ200" s="23">
        <f t="shared" si="238"/>
        <v>312.03912544555089</v>
      </c>
      <c r="BR200" s="23">
        <f t="shared" si="293"/>
        <v>3.277782694734336</v>
      </c>
      <c r="BS200" s="6">
        <f t="shared" si="294"/>
        <v>752.04317776328151</v>
      </c>
      <c r="BT200" s="23">
        <f t="shared" si="295"/>
        <v>767.39099771763415</v>
      </c>
      <c r="BU200" s="22">
        <f t="shared" si="296"/>
        <v>978.81504810922718</v>
      </c>
      <c r="BV200" s="22">
        <f t="shared" si="297"/>
        <v>46.61024038615367</v>
      </c>
      <c r="BW200" s="23">
        <f t="shared" si="298"/>
        <v>8.6656753212604465E-3</v>
      </c>
      <c r="BX200" s="331"/>
      <c r="BY200" s="362"/>
      <c r="BZ200" s="451"/>
      <c r="CA200" s="362"/>
    </row>
    <row r="201" spans="3:79" ht="15.75" x14ac:dyDescent="0.3">
      <c r="C201" s="22">
        <v>46</v>
      </c>
      <c r="D201" s="379"/>
      <c r="E201" s="379"/>
      <c r="F201" s="19" t="s">
        <v>128</v>
      </c>
      <c r="G201" s="255">
        <v>0.937500000000001</v>
      </c>
      <c r="H201" s="54">
        <v>0.937500000000004</v>
      </c>
      <c r="I201" s="13">
        <v>-8.6191300000000002</v>
      </c>
      <c r="J201" s="13">
        <v>115.78203499999999</v>
      </c>
      <c r="K201" s="13">
        <f t="shared" si="258"/>
        <v>-0.15043219715741887</v>
      </c>
      <c r="L201" s="13">
        <f t="shared" si="258"/>
        <v>2.0207777254093129</v>
      </c>
      <c r="M201" s="13">
        <v>3443</v>
      </c>
      <c r="N201" s="71">
        <f t="shared" si="208"/>
        <v>0.4054276093011811</v>
      </c>
      <c r="O201" s="422"/>
      <c r="P201" s="422"/>
      <c r="Q201" s="426"/>
      <c r="R201" s="23">
        <f t="shared" si="239"/>
        <v>4.9999999999991829E-2</v>
      </c>
      <c r="S201" s="358"/>
      <c r="T201" s="23">
        <f t="shared" si="240"/>
        <v>8.1085521860249479</v>
      </c>
      <c r="U201" s="422"/>
      <c r="V201" s="22">
        <f t="shared" si="209"/>
        <v>4.171039244491233</v>
      </c>
      <c r="W201" s="130">
        <f t="shared" si="241"/>
        <v>-8.1211989752009014E-6</v>
      </c>
      <c r="X201" s="13">
        <f t="shared" si="242"/>
        <v>1.1882201547575022E-4</v>
      </c>
      <c r="Y201" s="13">
        <f t="shared" si="243"/>
        <v>1.639037792791616</v>
      </c>
      <c r="Z201" s="13">
        <f t="shared" si="244"/>
        <v>93.909947989397537</v>
      </c>
      <c r="AA201" s="13">
        <f t="shared" si="245"/>
        <v>266.09005201060245</v>
      </c>
      <c r="AB201" s="13">
        <v>100</v>
      </c>
      <c r="AC201" s="13">
        <v>13</v>
      </c>
      <c r="AD201" s="13">
        <f t="shared" si="230"/>
        <v>4</v>
      </c>
      <c r="AE201" s="16">
        <f t="shared" si="231"/>
        <v>166.09005201060245</v>
      </c>
      <c r="AF201" s="23">
        <f t="shared" si="281"/>
        <v>0.15837206037572604</v>
      </c>
      <c r="AG201" s="382"/>
      <c r="AH201" s="385"/>
      <c r="AI201" s="388"/>
      <c r="AJ201" s="22">
        <f t="shared" si="282"/>
        <v>1.7230755463210432</v>
      </c>
      <c r="AK201" s="22">
        <f t="shared" si="232"/>
        <v>-3.999999999999998E-2</v>
      </c>
      <c r="AL201" s="23">
        <f t="shared" si="283"/>
        <v>18.610006994007279</v>
      </c>
      <c r="AM201" s="23">
        <f t="shared" si="233"/>
        <v>-1.2826579187295002</v>
      </c>
      <c r="AN201" s="23">
        <f t="shared" si="284"/>
        <v>8.2125571727333107</v>
      </c>
      <c r="AO201" s="23">
        <f t="shared" si="234"/>
        <v>4.2245394096540148</v>
      </c>
      <c r="AP201" s="23">
        <f t="shared" si="235"/>
        <v>0.16040343214919034</v>
      </c>
      <c r="AQ201" s="24">
        <f t="shared" si="285"/>
        <v>4.9366792921363166E-2</v>
      </c>
      <c r="AR201" s="22">
        <f t="shared" si="286"/>
        <v>251434771.07609972</v>
      </c>
      <c r="AS201" s="22">
        <f t="shared" si="236"/>
        <v>1.830811332338969E-3</v>
      </c>
      <c r="AT201" s="23">
        <f t="shared" si="287"/>
        <v>547.41452393300563</v>
      </c>
      <c r="AU201" s="22">
        <f t="shared" si="288"/>
        <v>20271.585129264309</v>
      </c>
      <c r="AV201" s="443"/>
      <c r="AW201" s="445"/>
      <c r="AX201" s="388"/>
      <c r="AY201" s="339"/>
      <c r="AZ201" s="339"/>
      <c r="BA201" s="331"/>
      <c r="BB201" s="402"/>
      <c r="BC201" s="385"/>
      <c r="BD201" s="445"/>
      <c r="BE201" s="445"/>
      <c r="BF201" s="445"/>
      <c r="BG201" s="445"/>
      <c r="BH201" s="447"/>
      <c r="BI201" s="385"/>
      <c r="BJ201" s="385"/>
      <c r="BK201" s="385"/>
      <c r="BL201" s="23">
        <f t="shared" si="289"/>
        <v>-1.5902689428425449E-2</v>
      </c>
      <c r="BM201" s="24">
        <f t="shared" si="290"/>
        <v>680.53239841791481</v>
      </c>
      <c r="BN201" s="24">
        <f t="shared" si="291"/>
        <v>6497.8677673266566</v>
      </c>
      <c r="BO201" s="24">
        <f t="shared" si="292"/>
        <v>49.956786642634228</v>
      </c>
      <c r="BP201" s="24">
        <f t="shared" si="237"/>
        <v>57.450304639029362</v>
      </c>
      <c r="BQ201" s="23">
        <f t="shared" si="238"/>
        <v>242.70107604420841</v>
      </c>
      <c r="BR201" s="23">
        <f t="shared" si="293"/>
        <v>3.0195919227658199</v>
      </c>
      <c r="BS201" s="6">
        <f t="shared" si="294"/>
        <v>584.9320600877769</v>
      </c>
      <c r="BT201" s="23">
        <f t="shared" si="295"/>
        <v>596.86944906916017</v>
      </c>
      <c r="BU201" s="22">
        <f t="shared" si="296"/>
        <v>761.31307279229611</v>
      </c>
      <c r="BV201" s="22">
        <f t="shared" si="297"/>
        <v>36.253003466299816</v>
      </c>
      <c r="BW201" s="23">
        <f t="shared" si="298"/>
        <v>6.7349783984652226E-3</v>
      </c>
      <c r="BX201" s="331"/>
      <c r="BY201" s="360">
        <f t="shared" ref="BY201" si="311">(SUM(BW201:BW205))*1000</f>
        <v>47.669073345268657</v>
      </c>
      <c r="BZ201" s="365">
        <v>50</v>
      </c>
      <c r="CA201" s="360">
        <f t="shared" ref="CA201" si="312">AVERAGE(AN201:AN205)</f>
        <v>8.9004087832773529</v>
      </c>
    </row>
    <row r="202" spans="3:79" ht="15.75" x14ac:dyDescent="0.3">
      <c r="C202" s="22">
        <v>47</v>
      </c>
      <c r="D202" s="379"/>
      <c r="E202" s="379"/>
      <c r="F202" s="19" t="s">
        <v>128</v>
      </c>
      <c r="G202" s="256"/>
      <c r="H202" s="54">
        <v>0.93958333333333799</v>
      </c>
      <c r="I202" s="13">
        <v>-8.6190130000000007</v>
      </c>
      <c r="J202" s="13">
        <v>115.78848499999999</v>
      </c>
      <c r="K202" s="13">
        <f t="shared" si="258"/>
        <v>-0.15043015512219404</v>
      </c>
      <c r="L202" s="13">
        <f t="shared" si="258"/>
        <v>2.0208902991460662</v>
      </c>
      <c r="M202" s="13">
        <v>3443</v>
      </c>
      <c r="N202" s="71">
        <f t="shared" si="208"/>
        <v>0.38327862255082273</v>
      </c>
      <c r="O202" s="420">
        <f t="shared" ref="O202" si="313">SUM(N202:N206)</f>
        <v>2.143605443109756</v>
      </c>
      <c r="P202" s="423">
        <v>2.11</v>
      </c>
      <c r="Q202" s="424">
        <f t="shared" ref="Q202" si="314">ABS((O202-P202)/O202)*100%</f>
        <v>1.5677065580223689E-2</v>
      </c>
      <c r="R202" s="23">
        <f t="shared" si="239"/>
        <v>5.000000000001581E-2</v>
      </c>
      <c r="S202" s="357">
        <f t="shared" ref="S202" si="315">+SUM(R202:R206)</f>
        <v>0.25000000000000711</v>
      </c>
      <c r="T202" s="23">
        <f t="shared" si="240"/>
        <v>7.6655724510140306</v>
      </c>
      <c r="U202" s="420">
        <f t="shared" ref="U202" si="316">AVERAGE(T202:T206)</f>
        <v>8.5744217724389138</v>
      </c>
      <c r="V202" s="22">
        <f t="shared" si="209"/>
        <v>3.9431704688016169</v>
      </c>
      <c r="W202" s="130">
        <f t="shared" si="241"/>
        <v>2.0656102468788419E-6</v>
      </c>
      <c r="X202" s="13">
        <f t="shared" si="242"/>
        <v>1.1257373675332971E-4</v>
      </c>
      <c r="Y202" s="13">
        <f t="shared" si="243"/>
        <v>1.5524494322714035</v>
      </c>
      <c r="Z202" s="13">
        <f t="shared" si="244"/>
        <v>88.948800376632164</v>
      </c>
      <c r="AA202" s="13">
        <f t="shared" si="245"/>
        <v>271.05119962336784</v>
      </c>
      <c r="AB202" s="13">
        <v>100</v>
      </c>
      <c r="AC202" s="13">
        <v>13</v>
      </c>
      <c r="AD202" s="13">
        <f t="shared" si="230"/>
        <v>4</v>
      </c>
      <c r="AE202" s="16">
        <f t="shared" si="231"/>
        <v>171.05119962336784</v>
      </c>
      <c r="AF202" s="23">
        <f t="shared" si="281"/>
        <v>0.14972000860015935</v>
      </c>
      <c r="AG202" s="382"/>
      <c r="AH202" s="385"/>
      <c r="AI202" s="388"/>
      <c r="AJ202" s="22">
        <f t="shared" si="282"/>
        <v>1.7860094288667214</v>
      </c>
      <c r="AK202" s="22">
        <f t="shared" si="232"/>
        <v>-3.999999999999998E-2</v>
      </c>
      <c r="AL202" s="23">
        <f t="shared" si="283"/>
        <v>18.610006994007279</v>
      </c>
      <c r="AM202" s="23">
        <f t="shared" si="233"/>
        <v>-1.3295059185029046</v>
      </c>
      <c r="AN202" s="23">
        <f t="shared" si="284"/>
        <v>7.7674866904373907</v>
      </c>
      <c r="AO202" s="23">
        <f t="shared" si="234"/>
        <v>3.9955951535609935</v>
      </c>
      <c r="AP202" s="23">
        <f t="shared" si="235"/>
        <v>0.15171054497568157</v>
      </c>
      <c r="AQ202" s="24">
        <f t="shared" si="285"/>
        <v>4.9343969011582577E-2</v>
      </c>
      <c r="AR202" s="22">
        <f t="shared" si="286"/>
        <v>237808540.84413907</v>
      </c>
      <c r="AS202" s="22">
        <f t="shared" si="236"/>
        <v>1.8447336182924479E-3</v>
      </c>
      <c r="AT202" s="23">
        <f t="shared" si="287"/>
        <v>493.41302520729766</v>
      </c>
      <c r="AU202" s="22">
        <f t="shared" si="288"/>
        <v>18271.828216237973</v>
      </c>
      <c r="AV202" s="443"/>
      <c r="AW202" s="445"/>
      <c r="AX202" s="388"/>
      <c r="AY202" s="339"/>
      <c r="AZ202" s="339"/>
      <c r="BA202" s="331"/>
      <c r="BB202" s="402"/>
      <c r="BC202" s="385"/>
      <c r="BD202" s="445"/>
      <c r="BE202" s="445"/>
      <c r="BF202" s="445"/>
      <c r="BG202" s="445"/>
      <c r="BH202" s="447"/>
      <c r="BI202" s="385"/>
      <c r="BJ202" s="385"/>
      <c r="BK202" s="385"/>
      <c r="BL202" s="23">
        <f t="shared" si="289"/>
        <v>-1.0057583558031146E-2</v>
      </c>
      <c r="BM202" s="24">
        <f t="shared" si="290"/>
        <v>360.56625753286727</v>
      </c>
      <c r="BN202" s="24">
        <f t="shared" si="291"/>
        <v>5812.6623049298678</v>
      </c>
      <c r="BO202" s="24">
        <f t="shared" si="292"/>
        <v>44.731600988168182</v>
      </c>
      <c r="BP202" s="24">
        <f t="shared" si="237"/>
        <v>51.441341136393412</v>
      </c>
      <c r="BQ202" s="23">
        <f t="shared" si="238"/>
        <v>205.53877333725129</v>
      </c>
      <c r="BR202" s="23">
        <f t="shared" si="293"/>
        <v>2.8559484673675111</v>
      </c>
      <c r="BS202" s="6">
        <f t="shared" si="294"/>
        <v>495.36747045230908</v>
      </c>
      <c r="BT202" s="23">
        <f t="shared" si="295"/>
        <v>505.47701066562149</v>
      </c>
      <c r="BU202" s="22">
        <f t="shared" si="296"/>
        <v>644.74108503268042</v>
      </c>
      <c r="BV202" s="22">
        <f t="shared" si="297"/>
        <v>30.701956430127641</v>
      </c>
      <c r="BW202" s="23">
        <f t="shared" si="298"/>
        <v>5.7010838743661299E-3</v>
      </c>
      <c r="BX202" s="331"/>
      <c r="BY202" s="361"/>
      <c r="BZ202" s="366"/>
      <c r="CA202" s="361"/>
    </row>
    <row r="203" spans="3:79" ht="15.75" x14ac:dyDescent="0.3">
      <c r="C203" s="22">
        <v>48</v>
      </c>
      <c r="D203" s="379"/>
      <c r="E203" s="379"/>
      <c r="F203" s="19" t="s">
        <v>128</v>
      </c>
      <c r="G203" s="256"/>
      <c r="H203" s="54">
        <v>0.94166666666667098</v>
      </c>
      <c r="I203" s="13">
        <v>-8.6191659999999999</v>
      </c>
      <c r="J203" s="13">
        <v>115.797826</v>
      </c>
      <c r="K203" s="13">
        <f t="shared" si="258"/>
        <v>-0.15043282547594958</v>
      </c>
      <c r="L203" s="13">
        <f t="shared" si="258"/>
        <v>2.0210533303514953</v>
      </c>
      <c r="M203" s="13">
        <v>3443</v>
      </c>
      <c r="N203" s="71">
        <f t="shared" si="208"/>
        <v>0.55505336693739615</v>
      </c>
      <c r="O203" s="421"/>
      <c r="P203" s="421"/>
      <c r="Q203" s="425"/>
      <c r="R203" s="23">
        <f t="shared" si="239"/>
        <v>4.9999999999991829E-2</v>
      </c>
      <c r="S203" s="331"/>
      <c r="T203" s="23">
        <f t="shared" si="240"/>
        <v>11.101067338749738</v>
      </c>
      <c r="U203" s="421"/>
      <c r="V203" s="22">
        <f t="shared" si="209"/>
        <v>5.7103890390528651</v>
      </c>
      <c r="W203" s="130">
        <f t="shared" si="241"/>
        <v>-2.7011827594660743E-6</v>
      </c>
      <c r="X203" s="13">
        <f t="shared" si="242"/>
        <v>1.6303120542904281E-4</v>
      </c>
      <c r="Y203" s="13">
        <f t="shared" si="243"/>
        <v>1.5873633123674904</v>
      </c>
      <c r="Z203" s="13">
        <f t="shared" si="244"/>
        <v>90.949218352563747</v>
      </c>
      <c r="AA203" s="13">
        <f t="shared" si="245"/>
        <v>269.05078164743622</v>
      </c>
      <c r="AB203" s="13">
        <v>100</v>
      </c>
      <c r="AC203" s="13">
        <v>13</v>
      </c>
      <c r="AD203" s="13">
        <f t="shared" si="230"/>
        <v>4</v>
      </c>
      <c r="AE203" s="16">
        <f t="shared" si="231"/>
        <v>169.05078164743622</v>
      </c>
      <c r="AF203" s="23">
        <f t="shared" si="281"/>
        <v>0.21682032334176121</v>
      </c>
      <c r="AG203" s="382"/>
      <c r="AH203" s="385"/>
      <c r="AI203" s="388"/>
      <c r="AJ203" s="22">
        <f t="shared" si="282"/>
        <v>1.2524365933127832</v>
      </c>
      <c r="AK203" s="22">
        <f t="shared" si="232"/>
        <v>-3.999999999999998E-2</v>
      </c>
      <c r="AL203" s="23">
        <f t="shared" si="283"/>
        <v>18.610006994007279</v>
      </c>
      <c r="AM203" s="23">
        <f t="shared" si="233"/>
        <v>-0.9323141504440613</v>
      </c>
      <c r="AN203" s="23">
        <f t="shared" si="284"/>
        <v>11.204564160399226</v>
      </c>
      <c r="AO203" s="23">
        <f t="shared" si="234"/>
        <v>5.7636278041093618</v>
      </c>
      <c r="AP203" s="23">
        <f t="shared" si="235"/>
        <v>0.21884176989731502</v>
      </c>
      <c r="AQ203" s="24">
        <f t="shared" si="285"/>
        <v>4.9538148828594794E-2</v>
      </c>
      <c r="AR203" s="22">
        <f t="shared" si="286"/>
        <v>343037736.6541757</v>
      </c>
      <c r="AS203" s="22">
        <f t="shared" si="236"/>
        <v>1.7560005107794163E-3</v>
      </c>
      <c r="AT203" s="23">
        <f t="shared" si="287"/>
        <v>977.30582108421106</v>
      </c>
      <c r="AU203" s="22">
        <f t="shared" si="288"/>
        <v>36191.107987223848</v>
      </c>
      <c r="AV203" s="443"/>
      <c r="AW203" s="445"/>
      <c r="AX203" s="388"/>
      <c r="AY203" s="339"/>
      <c r="AZ203" s="339"/>
      <c r="BA203" s="331"/>
      <c r="BB203" s="402"/>
      <c r="BC203" s="385"/>
      <c r="BD203" s="445"/>
      <c r="BE203" s="445"/>
      <c r="BF203" s="445"/>
      <c r="BG203" s="445"/>
      <c r="BH203" s="447"/>
      <c r="BI203" s="385"/>
      <c r="BJ203" s="385"/>
      <c r="BK203" s="385"/>
      <c r="BL203" s="23">
        <f t="shared" si="289"/>
        <v>-9.6069324397314748E-2</v>
      </c>
      <c r="BM203" s="24">
        <f t="shared" si="290"/>
        <v>15592.234493653579</v>
      </c>
      <c r="BN203" s="24">
        <f t="shared" si="291"/>
        <v>12094.947647301378</v>
      </c>
      <c r="BO203" s="24">
        <f t="shared" si="292"/>
        <v>104.05995687129975</v>
      </c>
      <c r="BP203" s="24">
        <f t="shared" si="237"/>
        <v>119.66895040199471</v>
      </c>
      <c r="BQ203" s="23">
        <f t="shared" si="238"/>
        <v>689.72728982552087</v>
      </c>
      <c r="BR203" s="23">
        <f t="shared" si="293"/>
        <v>4.1196926517824775</v>
      </c>
      <c r="BS203" s="6">
        <f t="shared" si="294"/>
        <v>1662.3066164853474</v>
      </c>
      <c r="BT203" s="23">
        <f t="shared" si="295"/>
        <v>1696.231241311579</v>
      </c>
      <c r="BU203" s="22">
        <f t="shared" si="296"/>
        <v>2163.5602567749729</v>
      </c>
      <c r="BV203" s="22">
        <f t="shared" si="297"/>
        <v>103.02667889404633</v>
      </c>
      <c r="BW203" s="23">
        <f t="shared" si="298"/>
        <v>1.9206435583955444E-2</v>
      </c>
      <c r="BX203" s="331"/>
      <c r="BY203" s="361"/>
      <c r="BZ203" s="366"/>
      <c r="CA203" s="361"/>
    </row>
    <row r="204" spans="3:79" ht="15.75" x14ac:dyDescent="0.3">
      <c r="C204" s="22">
        <v>49</v>
      </c>
      <c r="D204" s="379"/>
      <c r="E204" s="379"/>
      <c r="F204" s="19" t="s">
        <v>128</v>
      </c>
      <c r="G204" s="256"/>
      <c r="H204" s="54">
        <v>0.94375000000000397</v>
      </c>
      <c r="I204" s="13">
        <v>-8.6183990000000001</v>
      </c>
      <c r="J204" s="13">
        <v>115.80538900000001</v>
      </c>
      <c r="K204" s="13">
        <f t="shared" si="258"/>
        <v>-0.15041943880058678</v>
      </c>
      <c r="L204" s="13">
        <f t="shared" si="258"/>
        <v>2.0211853296028237</v>
      </c>
      <c r="M204" s="13">
        <v>3443</v>
      </c>
      <c r="N204" s="71">
        <f t="shared" si="208"/>
        <v>0.45169882263643885</v>
      </c>
      <c r="O204" s="421"/>
      <c r="P204" s="421"/>
      <c r="Q204" s="425"/>
      <c r="R204" s="23">
        <f t="shared" si="239"/>
        <v>4.9999999999991829E-2</v>
      </c>
      <c r="S204" s="331"/>
      <c r="T204" s="23">
        <f t="shared" si="240"/>
        <v>9.0339764527302542</v>
      </c>
      <c r="U204" s="421"/>
      <c r="V204" s="22">
        <f t="shared" si="209"/>
        <v>4.6470774872844425</v>
      </c>
      <c r="W204" s="130">
        <f t="shared" si="241"/>
        <v>1.3541212319699739E-5</v>
      </c>
      <c r="X204" s="13">
        <f t="shared" si="242"/>
        <v>1.3199925132845181E-4</v>
      </c>
      <c r="Y204" s="13">
        <f t="shared" si="243"/>
        <v>1.4685684106332551</v>
      </c>
      <c r="Z204" s="13">
        <f t="shared" si="244"/>
        <v>84.142771855520721</v>
      </c>
      <c r="AA204" s="13">
        <f t="shared" si="245"/>
        <v>275.85722814447928</v>
      </c>
      <c r="AB204" s="13">
        <v>100</v>
      </c>
      <c r="AC204" s="13">
        <v>13</v>
      </c>
      <c r="AD204" s="13">
        <f t="shared" si="230"/>
        <v>4</v>
      </c>
      <c r="AE204" s="16">
        <f t="shared" si="231"/>
        <v>175.85722814447928</v>
      </c>
      <c r="AF204" s="23">
        <f t="shared" si="281"/>
        <v>0.17644696998689097</v>
      </c>
      <c r="AG204" s="382"/>
      <c r="AH204" s="385"/>
      <c r="AI204" s="388"/>
      <c r="AJ204" s="22">
        <f t="shared" si="282"/>
        <v>1.585997225724868</v>
      </c>
      <c r="AK204" s="22">
        <f t="shared" si="232"/>
        <v>-3.999999999999998E-2</v>
      </c>
      <c r="AL204" s="23">
        <f t="shared" si="283"/>
        <v>18.610006994007279</v>
      </c>
      <c r="AM204" s="23">
        <f t="shared" si="233"/>
        <v>-1.1806167785286368</v>
      </c>
      <c r="AN204" s="23">
        <f t="shared" si="284"/>
        <v>9.1406330944995133</v>
      </c>
      <c r="AO204" s="23">
        <f t="shared" si="234"/>
        <v>4.7019416638105493</v>
      </c>
      <c r="AP204" s="23">
        <f t="shared" si="235"/>
        <v>0.17853013251976158</v>
      </c>
      <c r="AQ204" s="24">
        <f t="shared" si="285"/>
        <v>4.9416579570210964E-2</v>
      </c>
      <c r="AR204" s="22">
        <f t="shared" si="286"/>
        <v>279848644.12714863</v>
      </c>
      <c r="AS204" s="22">
        <f t="shared" si="236"/>
        <v>1.8044974353716864E-3</v>
      </c>
      <c r="AT204" s="23">
        <f t="shared" si="287"/>
        <v>668.38198304850857</v>
      </c>
      <c r="AU204" s="22">
        <f t="shared" si="288"/>
        <v>24751.192516573654</v>
      </c>
      <c r="AV204" s="443"/>
      <c r="AW204" s="445"/>
      <c r="AX204" s="388"/>
      <c r="AY204" s="339"/>
      <c r="AZ204" s="339"/>
      <c r="BA204" s="331"/>
      <c r="BB204" s="402"/>
      <c r="BC204" s="385"/>
      <c r="BD204" s="445"/>
      <c r="BE204" s="445"/>
      <c r="BF204" s="445"/>
      <c r="BG204" s="445"/>
      <c r="BH204" s="447"/>
      <c r="BI204" s="385"/>
      <c r="BJ204" s="385"/>
      <c r="BK204" s="385"/>
      <c r="BL204" s="23">
        <f t="shared" si="289"/>
        <v>-3.3638212850124957E-2</v>
      </c>
      <c r="BM204" s="24">
        <f t="shared" si="290"/>
        <v>2165.4518134662103</v>
      </c>
      <c r="BN204" s="24">
        <f t="shared" si="291"/>
        <v>8049.4574787914698</v>
      </c>
      <c r="BO204" s="24">
        <f t="shared" si="292"/>
        <v>62.446447797323422</v>
      </c>
      <c r="BP204" s="24">
        <f t="shared" si="237"/>
        <v>71.81341496692194</v>
      </c>
      <c r="BQ204" s="23">
        <f t="shared" si="238"/>
        <v>337.66248785348637</v>
      </c>
      <c r="BR204" s="23">
        <f t="shared" si="293"/>
        <v>3.3608267535421601</v>
      </c>
      <c r="BS204" s="6">
        <f t="shared" si="294"/>
        <v>813.79785311922979</v>
      </c>
      <c r="BT204" s="23">
        <f t="shared" si="295"/>
        <v>830.40597257064269</v>
      </c>
      <c r="BU204" s="22">
        <f t="shared" si="296"/>
        <v>1059.1912915441872</v>
      </c>
      <c r="BV204" s="22">
        <f t="shared" si="297"/>
        <v>50.437680549723197</v>
      </c>
      <c r="BW204" s="23">
        <f t="shared" si="298"/>
        <v>9.379616644369277E-3</v>
      </c>
      <c r="BX204" s="331"/>
      <c r="BY204" s="361"/>
      <c r="BZ204" s="366"/>
      <c r="CA204" s="361"/>
    </row>
    <row r="205" spans="3:79" ht="15.75" x14ac:dyDescent="0.3">
      <c r="C205" s="22">
        <v>50</v>
      </c>
      <c r="D205" s="379"/>
      <c r="E205" s="379"/>
      <c r="F205" s="19" t="s">
        <v>128</v>
      </c>
      <c r="G205" s="257"/>
      <c r="H205" s="54">
        <v>0.94583333333333797</v>
      </c>
      <c r="I205" s="13">
        <v>-8.6163589999999992</v>
      </c>
      <c r="J205" s="13">
        <v>115.811862</v>
      </c>
      <c r="K205" s="13">
        <f t="shared" si="258"/>
        <v>-0.15038383408384609</v>
      </c>
      <c r="L205" s="13">
        <f t="shared" si="258"/>
        <v>2.0212983047653053</v>
      </c>
      <c r="M205" s="13">
        <v>3443</v>
      </c>
      <c r="N205" s="71">
        <f t="shared" si="208"/>
        <v>0.40364733316371648</v>
      </c>
      <c r="O205" s="421"/>
      <c r="P205" s="421"/>
      <c r="Q205" s="425"/>
      <c r="R205" s="23">
        <f t="shared" si="239"/>
        <v>5.000000000001581E-2</v>
      </c>
      <c r="S205" s="331"/>
      <c r="T205" s="23">
        <f t="shared" si="240"/>
        <v>8.072946663271777</v>
      </c>
      <c r="U205" s="421"/>
      <c r="V205" s="22">
        <f t="shared" si="209"/>
        <v>4.1527237635870016</v>
      </c>
      <c r="W205" s="130">
        <f t="shared" si="241"/>
        <v>3.60156062943118E-5</v>
      </c>
      <c r="X205" s="13">
        <f t="shared" si="242"/>
        <v>1.1297516248154338E-4</v>
      </c>
      <c r="Y205" s="13">
        <f t="shared" si="243"/>
        <v>1.2621893298318991</v>
      </c>
      <c r="Z205" s="13">
        <f t="shared" si="244"/>
        <v>72.318121545813639</v>
      </c>
      <c r="AA205" s="13">
        <f t="shared" si="245"/>
        <v>287.68187845418635</v>
      </c>
      <c r="AB205" s="13">
        <v>100</v>
      </c>
      <c r="AC205" s="13">
        <v>13</v>
      </c>
      <c r="AD205" s="13">
        <f t="shared" si="230"/>
        <v>4</v>
      </c>
      <c r="AE205" s="16">
        <f t="shared" si="231"/>
        <v>172.31812154581365</v>
      </c>
      <c r="AF205" s="23">
        <f t="shared" si="281"/>
        <v>0.15767663166418697</v>
      </c>
      <c r="AG205" s="382"/>
      <c r="AH205" s="385"/>
      <c r="AI205" s="388"/>
      <c r="AJ205" s="22">
        <f t="shared" si="282"/>
        <v>1.7281981888361293</v>
      </c>
      <c r="AK205" s="22">
        <f t="shared" si="232"/>
        <v>-3.999999999999998E-2</v>
      </c>
      <c r="AL205" s="23">
        <f t="shared" si="283"/>
        <v>18.610006994007279</v>
      </c>
      <c r="AM205" s="23">
        <f t="shared" si="233"/>
        <v>-1.2864712152508426</v>
      </c>
      <c r="AN205" s="23">
        <f t="shared" si="284"/>
        <v>8.1768027983173219</v>
      </c>
      <c r="AO205" s="23">
        <f t="shared" si="234"/>
        <v>4.2061473594544303</v>
      </c>
      <c r="AP205" s="23">
        <f t="shared" si="235"/>
        <v>0.15970509614372386</v>
      </c>
      <c r="AQ205" s="24">
        <f t="shared" si="285"/>
        <v>4.9364934329440079E-2</v>
      </c>
      <c r="AR205" s="22">
        <f t="shared" si="286"/>
        <v>250340118.97722596</v>
      </c>
      <c r="AS205" s="22">
        <f t="shared" si="236"/>
        <v>1.8318958580036714E-3</v>
      </c>
      <c r="AT205" s="23">
        <f t="shared" si="287"/>
        <v>542.97988410147741</v>
      </c>
      <c r="AU205" s="22">
        <f t="shared" si="288"/>
        <v>20107.363730430086</v>
      </c>
      <c r="AV205" s="443"/>
      <c r="AW205" s="445"/>
      <c r="AX205" s="388"/>
      <c r="AY205" s="339"/>
      <c r="AZ205" s="339"/>
      <c r="BA205" s="331"/>
      <c r="BB205" s="402"/>
      <c r="BC205" s="385"/>
      <c r="BD205" s="445"/>
      <c r="BE205" s="445"/>
      <c r="BF205" s="445"/>
      <c r="BG205" s="445"/>
      <c r="BH205" s="447"/>
      <c r="BI205" s="385"/>
      <c r="BJ205" s="385"/>
      <c r="BK205" s="385"/>
      <c r="BL205" s="23">
        <f t="shared" si="289"/>
        <v>-1.5370101316937954E-2</v>
      </c>
      <c r="BM205" s="24">
        <f t="shared" si="290"/>
        <v>648.10562429478443</v>
      </c>
      <c r="BN205" s="24">
        <f t="shared" si="291"/>
        <v>6441.4124003279958</v>
      </c>
      <c r="BO205" s="24">
        <f t="shared" si="292"/>
        <v>49.521354075272505</v>
      </c>
      <c r="BP205" s="24">
        <f t="shared" si="237"/>
        <v>56.949557186563382</v>
      </c>
      <c r="BQ205" s="23">
        <f t="shared" si="238"/>
        <v>239.53822958236265</v>
      </c>
      <c r="BR205" s="23">
        <f t="shared" si="293"/>
        <v>3.0064457591630247</v>
      </c>
      <c r="BS205" s="6">
        <f t="shared" si="294"/>
        <v>577.30930733025809</v>
      </c>
      <c r="BT205" s="23">
        <f t="shared" si="295"/>
        <v>589.09112992883479</v>
      </c>
      <c r="BU205" s="22">
        <f t="shared" si="296"/>
        <v>751.39174735820757</v>
      </c>
      <c r="BV205" s="22">
        <f t="shared" si="297"/>
        <v>35.780559398009885</v>
      </c>
      <c r="BW205" s="23">
        <f t="shared" si="298"/>
        <v>6.6469588441125885E-3</v>
      </c>
      <c r="BX205" s="331"/>
      <c r="BY205" s="362"/>
      <c r="BZ205" s="451"/>
      <c r="CA205" s="362"/>
    </row>
    <row r="206" spans="3:79" ht="15.75" x14ac:dyDescent="0.3">
      <c r="C206" s="22">
        <v>51</v>
      </c>
      <c r="D206" s="379"/>
      <c r="E206" s="379"/>
      <c r="F206" s="19" t="s">
        <v>128</v>
      </c>
      <c r="G206" s="255">
        <v>0.94791666666666696</v>
      </c>
      <c r="H206" s="54">
        <v>0.94791666666667096</v>
      </c>
      <c r="I206" s="13">
        <v>-8.6147939999999998</v>
      </c>
      <c r="J206" s="13">
        <v>115.81753500000001</v>
      </c>
      <c r="K206" s="13">
        <f t="shared" si="258"/>
        <v>-0.15035651968105238</v>
      </c>
      <c r="L206" s="13">
        <f t="shared" si="258"/>
        <v>2.0213973172937711</v>
      </c>
      <c r="M206" s="13">
        <v>3443</v>
      </c>
      <c r="N206" s="71">
        <f t="shared" si="208"/>
        <v>0.34992729782138149</v>
      </c>
      <c r="O206" s="422"/>
      <c r="P206" s="422"/>
      <c r="Q206" s="426"/>
      <c r="R206" s="23">
        <f t="shared" si="239"/>
        <v>4.9999999999991829E-2</v>
      </c>
      <c r="S206" s="358"/>
      <c r="T206" s="23">
        <f t="shared" si="240"/>
        <v>6.9985459564287735</v>
      </c>
      <c r="U206" s="422"/>
      <c r="V206" s="22">
        <f t="shared" si="209"/>
        <v>3.6000520399869607</v>
      </c>
      <c r="W206" s="130">
        <f t="shared" si="241"/>
        <v>2.7629487113979306E-5</v>
      </c>
      <c r="X206" s="13">
        <f t="shared" si="242"/>
        <v>9.9012528465891592E-5</v>
      </c>
      <c r="Y206" s="13">
        <f t="shared" si="243"/>
        <v>1.2986683909439285</v>
      </c>
      <c r="Z206" s="13">
        <f t="shared" si="244"/>
        <v>74.408217788132717</v>
      </c>
      <c r="AA206" s="13">
        <f t="shared" si="245"/>
        <v>285.59178221186727</v>
      </c>
      <c r="AB206" s="13">
        <v>100</v>
      </c>
      <c r="AC206" s="13">
        <v>13</v>
      </c>
      <c r="AD206" s="13">
        <f t="shared" si="230"/>
        <v>4</v>
      </c>
      <c r="AE206" s="16">
        <f t="shared" si="231"/>
        <v>174.40821778813273</v>
      </c>
      <c r="AF206" s="23">
        <f t="shared" si="281"/>
        <v>0.13669199103930152</v>
      </c>
      <c r="AG206" s="382"/>
      <c r="AH206" s="385"/>
      <c r="AI206" s="388"/>
      <c r="AJ206" s="22">
        <f t="shared" si="282"/>
        <v>1.8774971083488379</v>
      </c>
      <c r="AK206" s="22">
        <f t="shared" si="232"/>
        <v>-3.999999999999998E-2</v>
      </c>
      <c r="AL206" s="23">
        <f t="shared" si="283"/>
        <v>18.610006994007279</v>
      </c>
      <c r="AM206" s="23">
        <f t="shared" si="233"/>
        <v>-1.397609372704012</v>
      </c>
      <c r="AN206" s="23">
        <f t="shared" si="284"/>
        <v>7.0963582906688201</v>
      </c>
      <c r="AO206" s="23">
        <f t="shared" si="234"/>
        <v>3.650366704720041</v>
      </c>
      <c r="AP206" s="23">
        <f t="shared" si="235"/>
        <v>0.13860241111780255</v>
      </c>
      <c r="AQ206" s="24">
        <f t="shared" si="285"/>
        <v>4.9310827256497138E-2</v>
      </c>
      <c r="AR206" s="22">
        <f t="shared" si="286"/>
        <v>217261345.61501685</v>
      </c>
      <c r="AS206" s="22">
        <f t="shared" si="236"/>
        <v>1.8676532701331894E-3</v>
      </c>
      <c r="AT206" s="23">
        <f t="shared" si="287"/>
        <v>416.94928538942071</v>
      </c>
      <c r="AU206" s="22">
        <f t="shared" si="288"/>
        <v>15440.260650431652</v>
      </c>
      <c r="AV206" s="443"/>
      <c r="AW206" s="445"/>
      <c r="AX206" s="388"/>
      <c r="AY206" s="339"/>
      <c r="AZ206" s="339"/>
      <c r="BA206" s="331"/>
      <c r="BB206" s="402"/>
      <c r="BC206" s="385"/>
      <c r="BD206" s="445"/>
      <c r="BE206" s="445"/>
      <c r="BF206" s="445"/>
      <c r="BG206" s="445"/>
      <c r="BH206" s="447"/>
      <c r="BI206" s="385"/>
      <c r="BJ206" s="385"/>
      <c r="BK206" s="385"/>
      <c r="BL206" s="23">
        <f t="shared" si="289"/>
        <v>-4.2531584071006509E-3</v>
      </c>
      <c r="BM206" s="24">
        <f t="shared" si="290"/>
        <v>120.52291438365583</v>
      </c>
      <c r="BN206" s="24">
        <f t="shared" si="291"/>
        <v>4851.6015536115583</v>
      </c>
      <c r="BO206" s="24">
        <f t="shared" si="292"/>
        <v>37.555143171084069</v>
      </c>
      <c r="BP206" s="24">
        <f t="shared" si="237"/>
        <v>43.188414646746679</v>
      </c>
      <c r="BQ206" s="23">
        <f t="shared" si="238"/>
        <v>157.65355085612742</v>
      </c>
      <c r="BR206" s="23">
        <f t="shared" si="293"/>
        <v>2.6091880671101753</v>
      </c>
      <c r="BS206" s="6">
        <f t="shared" si="294"/>
        <v>379.95965154118352</v>
      </c>
      <c r="BT206" s="23">
        <f t="shared" si="295"/>
        <v>387.71393014406482</v>
      </c>
      <c r="BU206" s="22">
        <f t="shared" si="296"/>
        <v>494.53307416334798</v>
      </c>
      <c r="BV206" s="22">
        <f t="shared" si="297"/>
        <v>23.549194007778475</v>
      </c>
      <c r="BW206" s="23">
        <f t="shared" si="298"/>
        <v>4.369941630690646E-3</v>
      </c>
      <c r="BX206" s="358"/>
      <c r="BY206" s="360">
        <f t="shared" ref="BY206" si="317">(SUM(BW206:BW210))*1000</f>
        <v>72.72635725001048</v>
      </c>
      <c r="BZ206" s="365">
        <v>70</v>
      </c>
      <c r="CA206" s="360">
        <f t="shared" ref="CA206" si="318">AVERAGE(AN206:AN210)</f>
        <v>10.03625441087784</v>
      </c>
    </row>
    <row r="207" spans="3:79" ht="15.75" x14ac:dyDescent="0.3">
      <c r="C207" s="22">
        <v>52</v>
      </c>
      <c r="D207" s="379"/>
      <c r="E207" s="379"/>
      <c r="F207" s="19" t="s">
        <v>128</v>
      </c>
      <c r="G207" s="256"/>
      <c r="H207" s="54">
        <v>0.95000000000000495</v>
      </c>
      <c r="I207" s="13">
        <v>-8.6128699999999991</v>
      </c>
      <c r="J207" s="13">
        <v>115.825456</v>
      </c>
      <c r="K207" s="13">
        <f t="shared" si="258"/>
        <v>-0.15032293954624398</v>
      </c>
      <c r="L207" s="13">
        <f t="shared" si="258"/>
        <v>2.0215355648238211</v>
      </c>
      <c r="M207" s="13">
        <v>3443</v>
      </c>
      <c r="N207" s="71">
        <f t="shared" si="208"/>
        <v>0.48461091671472228</v>
      </c>
      <c r="O207" s="420">
        <f t="shared" ref="O207" si="319">SUM(N207:N211)</f>
        <v>2.5998650970863144</v>
      </c>
      <c r="P207" s="423">
        <v>2.62</v>
      </c>
      <c r="Q207" s="424">
        <f t="shared" ref="Q207" si="320">ABS((O207-P207)/O207)*100%</f>
        <v>7.7445952623661158E-3</v>
      </c>
      <c r="R207" s="23">
        <f t="shared" si="239"/>
        <v>5.000000000001581E-2</v>
      </c>
      <c r="S207" s="357">
        <f t="shared" ref="S207" si="321">+SUM(R207:R211)</f>
        <v>0.25000000000003375</v>
      </c>
      <c r="T207" s="23">
        <f t="shared" si="240"/>
        <v>9.6922183342913808</v>
      </c>
      <c r="U207" s="420">
        <f t="shared" ref="U207" si="322">AVERAGE(T207:T211)</f>
        <v>10.399460388343956</v>
      </c>
      <c r="V207" s="22">
        <f t="shared" si="209"/>
        <v>4.985677111159486</v>
      </c>
      <c r="W207" s="130">
        <f t="shared" si="241"/>
        <v>3.396733973306855E-5</v>
      </c>
      <c r="X207" s="13">
        <f t="shared" si="242"/>
        <v>1.3824753004998414E-4</v>
      </c>
      <c r="Y207" s="13">
        <f t="shared" si="243"/>
        <v>1.3298693339621441</v>
      </c>
      <c r="Z207" s="13">
        <f t="shared" si="244"/>
        <v>76.195900139904651</v>
      </c>
      <c r="AA207" s="13">
        <f t="shared" si="245"/>
        <v>283.80409986009533</v>
      </c>
      <c r="AB207" s="13">
        <v>100</v>
      </c>
      <c r="AC207" s="13">
        <v>13</v>
      </c>
      <c r="AD207" s="13">
        <f t="shared" si="230"/>
        <v>4</v>
      </c>
      <c r="AE207" s="16">
        <f t="shared" si="231"/>
        <v>176.19590013990467</v>
      </c>
      <c r="AF207" s="23">
        <f t="shared" si="281"/>
        <v>0.18930341101567286</v>
      </c>
      <c r="AG207" s="382"/>
      <c r="AH207" s="385"/>
      <c r="AI207" s="388"/>
      <c r="AJ207" s="22">
        <f t="shared" si="282"/>
        <v>1.4838823147448528</v>
      </c>
      <c r="AK207" s="22">
        <f t="shared" si="232"/>
        <v>-3.999999999999998E-2</v>
      </c>
      <c r="AL207" s="23">
        <f t="shared" si="283"/>
        <v>18.610006994007279</v>
      </c>
      <c r="AM207" s="23">
        <f t="shared" si="233"/>
        <v>-1.1046024102274161</v>
      </c>
      <c r="AN207" s="23">
        <f t="shared" si="284"/>
        <v>9.7992788116164675</v>
      </c>
      <c r="AO207" s="23">
        <f t="shared" si="234"/>
        <v>5.040749020695511</v>
      </c>
      <c r="AP207" s="23">
        <f t="shared" si="235"/>
        <v>0.19139446105639474</v>
      </c>
      <c r="AQ207" s="24">
        <f t="shared" si="285"/>
        <v>4.945373287473407E-2</v>
      </c>
      <c r="AR207" s="22">
        <f t="shared" si="286"/>
        <v>300013670.88073868</v>
      </c>
      <c r="AS207" s="22">
        <f t="shared" si="236"/>
        <v>1.7876996489523049E-3</v>
      </c>
      <c r="AT207" s="23">
        <f t="shared" si="287"/>
        <v>761.02460059841235</v>
      </c>
      <c r="AU207" s="22">
        <f t="shared" si="288"/>
        <v>28181.888316838147</v>
      </c>
      <c r="AV207" s="443"/>
      <c r="AW207" s="445"/>
      <c r="AX207" s="388"/>
      <c r="AY207" s="339"/>
      <c r="AZ207" s="339"/>
      <c r="BA207" s="331"/>
      <c r="BB207" s="402"/>
      <c r="BC207" s="385"/>
      <c r="BD207" s="445"/>
      <c r="BE207" s="445"/>
      <c r="BF207" s="445"/>
      <c r="BG207" s="445"/>
      <c r="BH207" s="447"/>
      <c r="BI207" s="385"/>
      <c r="BJ207" s="385"/>
      <c r="BK207" s="385"/>
      <c r="BL207" s="23">
        <f t="shared" si="289"/>
        <v>-5.0564413423351155E-2</v>
      </c>
      <c r="BM207" s="24">
        <f t="shared" si="290"/>
        <v>4415.8082800417151</v>
      </c>
      <c r="BN207" s="24">
        <f t="shared" si="291"/>
        <v>9251.28981263282</v>
      </c>
      <c r="BO207" s="24">
        <f t="shared" si="292"/>
        <v>73.138308773967537</v>
      </c>
      <c r="BP207" s="24">
        <f t="shared" si="237"/>
        <v>84.109055090062668</v>
      </c>
      <c r="BQ207" s="23">
        <f t="shared" si="238"/>
        <v>423.97263707685818</v>
      </c>
      <c r="BR207" s="23">
        <f t="shared" si="293"/>
        <v>3.6029975227118229</v>
      </c>
      <c r="BS207" s="6">
        <f t="shared" si="294"/>
        <v>1021.8133024718906</v>
      </c>
      <c r="BT207" s="23">
        <f t="shared" si="295"/>
        <v>1042.6666351753986</v>
      </c>
      <c r="BU207" s="22">
        <f t="shared" si="296"/>
        <v>1329.9319326216817</v>
      </c>
      <c r="BV207" s="22">
        <f t="shared" si="297"/>
        <v>63.33009202960389</v>
      </c>
      <c r="BW207" s="23">
        <f t="shared" si="298"/>
        <v>1.1786001657911303E-2</v>
      </c>
      <c r="BX207" s="87"/>
      <c r="BY207" s="361"/>
      <c r="BZ207" s="366"/>
      <c r="CA207" s="361"/>
    </row>
    <row r="208" spans="3:79" ht="15.75" x14ac:dyDescent="0.3">
      <c r="C208" s="22">
        <v>53</v>
      </c>
      <c r="D208" s="379"/>
      <c r="E208" s="379"/>
      <c r="F208" s="19" t="s">
        <v>128</v>
      </c>
      <c r="G208" s="256"/>
      <c r="H208" s="54">
        <v>0.95208333333333806</v>
      </c>
      <c r="I208" s="13">
        <v>-8.6104190000000003</v>
      </c>
      <c r="J208" s="13">
        <v>115.83370600000001</v>
      </c>
      <c r="K208" s="13">
        <f t="shared" si="258"/>
        <v>-0.15028016152627763</v>
      </c>
      <c r="L208" s="13">
        <f t="shared" si="258"/>
        <v>2.0216795544871111</v>
      </c>
      <c r="M208" s="13">
        <v>3443</v>
      </c>
      <c r="N208" s="71">
        <f t="shared" si="208"/>
        <v>0.51181706760467938</v>
      </c>
      <c r="O208" s="421"/>
      <c r="P208" s="421"/>
      <c r="Q208" s="425"/>
      <c r="R208" s="23">
        <f t="shared" si="239"/>
        <v>4.9999999999994493E-2</v>
      </c>
      <c r="S208" s="331"/>
      <c r="T208" s="23">
        <f t="shared" si="240"/>
        <v>10.236341352094716</v>
      </c>
      <c r="U208" s="421"/>
      <c r="V208" s="22">
        <f t="shared" si="209"/>
        <v>5.2655739915175213</v>
      </c>
      <c r="W208" s="130">
        <f t="shared" si="241"/>
        <v>4.3271032050654305E-5</v>
      </c>
      <c r="X208" s="13">
        <f t="shared" si="242"/>
        <v>1.4398966328998952E-4</v>
      </c>
      <c r="Y208" s="13">
        <f t="shared" si="243"/>
        <v>1.2788672599167645</v>
      </c>
      <c r="Z208" s="13">
        <f t="shared" si="244"/>
        <v>73.273696550690687</v>
      </c>
      <c r="AA208" s="13">
        <f t="shared" si="245"/>
        <v>286.72630344930928</v>
      </c>
      <c r="AB208" s="13">
        <v>100</v>
      </c>
      <c r="AC208" s="13">
        <v>13</v>
      </c>
      <c r="AD208" s="13">
        <f t="shared" si="230"/>
        <v>4</v>
      </c>
      <c r="AE208" s="16">
        <f t="shared" si="231"/>
        <v>173.27369655069072</v>
      </c>
      <c r="AF208" s="23">
        <f t="shared" si="281"/>
        <v>0.19993094123936583</v>
      </c>
      <c r="AG208" s="382"/>
      <c r="AH208" s="385"/>
      <c r="AI208" s="388"/>
      <c r="AJ208" s="22">
        <f t="shared" si="282"/>
        <v>1.3965758947419848</v>
      </c>
      <c r="AK208" s="22">
        <f t="shared" si="232"/>
        <v>-3.999999999999998E-2</v>
      </c>
      <c r="AL208" s="23">
        <f t="shared" si="283"/>
        <v>18.610006994007279</v>
      </c>
      <c r="AM208" s="23">
        <f t="shared" si="233"/>
        <v>-1.039611486752412</v>
      </c>
      <c r="AN208" s="23">
        <f t="shared" si="284"/>
        <v>10.342759532614279</v>
      </c>
      <c r="AO208" s="23">
        <f t="shared" si="234"/>
        <v>5.3203155035767846</v>
      </c>
      <c r="AP208" s="23">
        <f t="shared" si="235"/>
        <v>0.20200944627006251</v>
      </c>
      <c r="AQ208" s="24">
        <f t="shared" si="285"/>
        <v>4.948554261469041E-2</v>
      </c>
      <c r="AR208" s="22">
        <f t="shared" si="286"/>
        <v>316652818.44394255</v>
      </c>
      <c r="AS208" s="22">
        <f t="shared" si="236"/>
        <v>1.7748293421578664E-3</v>
      </c>
      <c r="AT208" s="23">
        <f t="shared" si="287"/>
        <v>841.67682058024036</v>
      </c>
      <c r="AU208" s="22">
        <f t="shared" si="288"/>
        <v>31168.561617866362</v>
      </c>
      <c r="AV208" s="443"/>
      <c r="AW208" s="445"/>
      <c r="AX208" s="388"/>
      <c r="AY208" s="339"/>
      <c r="AZ208" s="339"/>
      <c r="BA208" s="331"/>
      <c r="BB208" s="402"/>
      <c r="BC208" s="385"/>
      <c r="BD208" s="445"/>
      <c r="BE208" s="445"/>
      <c r="BF208" s="445"/>
      <c r="BG208" s="445"/>
      <c r="BH208" s="447"/>
      <c r="BI208" s="385"/>
      <c r="BJ208" s="385"/>
      <c r="BK208" s="385"/>
      <c r="BL208" s="23">
        <f t="shared" si="289"/>
        <v>-6.6860123795617898E-2</v>
      </c>
      <c r="BM208" s="24">
        <f t="shared" si="290"/>
        <v>7486.3909092576559</v>
      </c>
      <c r="BN208" s="24">
        <f t="shared" si="291"/>
        <v>10305.923448774332</v>
      </c>
      <c r="BO208" s="24">
        <f t="shared" si="292"/>
        <v>83.566192735851075</v>
      </c>
      <c r="BP208" s="24">
        <f t="shared" si="237"/>
        <v>96.101121646228734</v>
      </c>
      <c r="BQ208" s="23">
        <f t="shared" si="238"/>
        <v>511.28828740554928</v>
      </c>
      <c r="BR208" s="23">
        <f t="shared" si="293"/>
        <v>3.8028244415127723</v>
      </c>
      <c r="BS208" s="6">
        <f t="shared" si="294"/>
        <v>1232.2521025675362</v>
      </c>
      <c r="BT208" s="23">
        <f t="shared" si="295"/>
        <v>1257.4001046607514</v>
      </c>
      <c r="BU208" s="22">
        <f t="shared" si="296"/>
        <v>1603.8266641081011</v>
      </c>
      <c r="BV208" s="22">
        <f t="shared" si="297"/>
        <v>76.372698290861962</v>
      </c>
      <c r="BW208" s="23">
        <f t="shared" si="298"/>
        <v>1.4222428905807036E-2</v>
      </c>
      <c r="BX208" s="87"/>
      <c r="BY208" s="361"/>
      <c r="BZ208" s="366"/>
      <c r="CA208" s="361"/>
    </row>
    <row r="209" spans="3:79" ht="15.75" x14ac:dyDescent="0.3">
      <c r="C209" s="22">
        <v>54</v>
      </c>
      <c r="D209" s="379"/>
      <c r="E209" s="379"/>
      <c r="F209" s="19" t="s">
        <v>128</v>
      </c>
      <c r="G209" s="256"/>
      <c r="H209" s="54">
        <v>0.95416666666667205</v>
      </c>
      <c r="I209" s="13">
        <v>-8.6085879999999992</v>
      </c>
      <c r="J209" s="13">
        <v>115.84288100000001</v>
      </c>
      <c r="K209" s="13">
        <f t="shared" si="258"/>
        <v>-0.1502482045476736</v>
      </c>
      <c r="L209" s="13">
        <f t="shared" si="258"/>
        <v>2.0218396884459815</v>
      </c>
      <c r="M209" s="13">
        <v>3443</v>
      </c>
      <c r="N209" s="71">
        <f t="shared" si="208"/>
        <v>0.55612155117172657</v>
      </c>
      <c r="O209" s="421"/>
      <c r="P209" s="421"/>
      <c r="Q209" s="425"/>
      <c r="R209" s="23">
        <f t="shared" si="239"/>
        <v>5.000000000001581E-2</v>
      </c>
      <c r="S209" s="331"/>
      <c r="T209" s="23">
        <f t="shared" si="240"/>
        <v>11.122431023431014</v>
      </c>
      <c r="U209" s="421"/>
      <c r="V209" s="22">
        <f t="shared" si="209"/>
        <v>5.7213785184529131</v>
      </c>
      <c r="W209" s="130">
        <f t="shared" si="241"/>
        <v>3.2325095456466604E-5</v>
      </c>
      <c r="X209" s="13">
        <f t="shared" si="242"/>
        <v>1.6013395887037873E-4</v>
      </c>
      <c r="Y209" s="13">
        <f t="shared" si="243"/>
        <v>1.3716102195644295</v>
      </c>
      <c r="Z209" s="13">
        <f t="shared" si="244"/>
        <v>78.587476718053992</v>
      </c>
      <c r="AA209" s="13">
        <f t="shared" si="245"/>
        <v>281.41252328194599</v>
      </c>
      <c r="AB209" s="13">
        <v>100</v>
      </c>
      <c r="AC209" s="13">
        <v>13</v>
      </c>
      <c r="AD209" s="13">
        <f t="shared" si="230"/>
        <v>4</v>
      </c>
      <c r="AE209" s="16">
        <f t="shared" si="231"/>
        <v>178.58747671805401</v>
      </c>
      <c r="AF209" s="23">
        <f t="shared" si="281"/>
        <v>0.21723758781543903</v>
      </c>
      <c r="AG209" s="382"/>
      <c r="AH209" s="385"/>
      <c r="AI209" s="388"/>
      <c r="AJ209" s="22">
        <f t="shared" si="282"/>
        <v>1.2487917581883767</v>
      </c>
      <c r="AK209" s="22">
        <f t="shared" si="232"/>
        <v>-3.999999999999998E-2</v>
      </c>
      <c r="AL209" s="23">
        <f t="shared" si="283"/>
        <v>18.610006994007279</v>
      </c>
      <c r="AM209" s="23">
        <f t="shared" si="233"/>
        <v>-0.92960093415777301</v>
      </c>
      <c r="AN209" s="23">
        <f t="shared" si="284"/>
        <v>11.225825246125883</v>
      </c>
      <c r="AO209" s="23">
        <f t="shared" si="234"/>
        <v>5.7745645066071534</v>
      </c>
      <c r="AP209" s="23">
        <f t="shared" si="235"/>
        <v>0.21925703046111317</v>
      </c>
      <c r="AQ209" s="24">
        <f t="shared" si="285"/>
        <v>4.9539480526266728E-2</v>
      </c>
      <c r="AR209" s="22">
        <f t="shared" si="286"/>
        <v>343688663.7783435</v>
      </c>
      <c r="AS209" s="22">
        <f t="shared" si="236"/>
        <v>1.7555581594652407E-3</v>
      </c>
      <c r="AT209" s="23">
        <f t="shared" si="287"/>
        <v>980.77116302517879</v>
      </c>
      <c r="AU209" s="22">
        <f t="shared" si="288"/>
        <v>36319.434823811273</v>
      </c>
      <c r="AV209" s="443"/>
      <c r="AW209" s="445"/>
      <c r="AX209" s="388"/>
      <c r="AY209" s="339"/>
      <c r="AZ209" s="339"/>
      <c r="BA209" s="331"/>
      <c r="BB209" s="402"/>
      <c r="BC209" s="385"/>
      <c r="BD209" s="445"/>
      <c r="BE209" s="445"/>
      <c r="BF209" s="445"/>
      <c r="BG209" s="445"/>
      <c r="BH209" s="447"/>
      <c r="BI209" s="385"/>
      <c r="BJ209" s="385"/>
      <c r="BK209" s="385"/>
      <c r="BL209" s="23">
        <f t="shared" si="289"/>
        <v>-9.68314507482846E-2</v>
      </c>
      <c r="BM209" s="24">
        <f t="shared" si="290"/>
        <v>15853.036772034964</v>
      </c>
      <c r="BN209" s="24">
        <f t="shared" si="291"/>
        <v>12140.89244134723</v>
      </c>
      <c r="BO209" s="24">
        <f t="shared" si="292"/>
        <v>104.63750738489291</v>
      </c>
      <c r="BP209" s="24">
        <f t="shared" si="237"/>
        <v>120.33313349262684</v>
      </c>
      <c r="BQ209" s="23">
        <f t="shared" si="238"/>
        <v>694.87144163534344</v>
      </c>
      <c r="BR209" s="23">
        <f t="shared" si="293"/>
        <v>4.1275099249385887</v>
      </c>
      <c r="BS209" s="6">
        <f t="shared" si="294"/>
        <v>1674.7044985407845</v>
      </c>
      <c r="BT209" s="23">
        <f t="shared" si="295"/>
        <v>1708.8821413681474</v>
      </c>
      <c r="BU209" s="22">
        <f t="shared" si="296"/>
        <v>2179.6966088879431</v>
      </c>
      <c r="BV209" s="22">
        <f t="shared" si="297"/>
        <v>103.79507661371157</v>
      </c>
      <c r="BW209" s="23">
        <f t="shared" si="298"/>
        <v>1.9350201957483958E-2</v>
      </c>
      <c r="BX209" s="87"/>
      <c r="BY209" s="361"/>
      <c r="BZ209" s="366"/>
      <c r="CA209" s="361"/>
    </row>
    <row r="210" spans="3:79" ht="15.75" x14ac:dyDescent="0.3">
      <c r="C210" s="22">
        <v>55</v>
      </c>
      <c r="D210" s="379"/>
      <c r="E210" s="379"/>
      <c r="F210" s="19" t="s">
        <v>128</v>
      </c>
      <c r="G210" s="257"/>
      <c r="H210" s="54">
        <v>0.95625000000000504</v>
      </c>
      <c r="I210" s="13">
        <v>-8.6069829999999996</v>
      </c>
      <c r="J210" s="13">
        <v>115.852521</v>
      </c>
      <c r="K210" s="13">
        <f t="shared" si="258"/>
        <v>-0.1502201920131791</v>
      </c>
      <c r="L210" s="13">
        <f t="shared" si="258"/>
        <v>2.0220079381858733</v>
      </c>
      <c r="M210" s="13">
        <v>3443</v>
      </c>
      <c r="N210" s="71">
        <f t="shared" si="208"/>
        <v>0.58082246264214099</v>
      </c>
      <c r="O210" s="421"/>
      <c r="P210" s="421"/>
      <c r="Q210" s="425"/>
      <c r="R210" s="23">
        <f t="shared" si="239"/>
        <v>4.9999999999991829E-2</v>
      </c>
      <c r="S210" s="331"/>
      <c r="T210" s="23">
        <f t="shared" si="240"/>
        <v>11.616449252844719</v>
      </c>
      <c r="U210" s="421"/>
      <c r="V210" s="22">
        <f t="shared" si="209"/>
        <v>5.9755014956633232</v>
      </c>
      <c r="W210" s="130">
        <f t="shared" si="241"/>
        <v>2.8335085433205458E-5</v>
      </c>
      <c r="X210" s="13">
        <f t="shared" si="242"/>
        <v>1.6824973989182368E-4</v>
      </c>
      <c r="Y210" s="13">
        <f t="shared" si="243"/>
        <v>1.4039510660882863</v>
      </c>
      <c r="Z210" s="13">
        <f t="shared" si="244"/>
        <v>80.440470729751326</v>
      </c>
      <c r="AA210" s="13">
        <f t="shared" si="245"/>
        <v>279.55952927024867</v>
      </c>
      <c r="AB210" s="13">
        <v>100</v>
      </c>
      <c r="AC210" s="13">
        <v>13</v>
      </c>
      <c r="AD210" s="13">
        <f t="shared" si="230"/>
        <v>4</v>
      </c>
      <c r="AE210" s="16">
        <f t="shared" si="231"/>
        <v>179.55952927024867</v>
      </c>
      <c r="AF210" s="23">
        <f t="shared" si="281"/>
        <v>0.22688649714727521</v>
      </c>
      <c r="AG210" s="382"/>
      <c r="AH210" s="385"/>
      <c r="AI210" s="388"/>
      <c r="AJ210" s="22">
        <f t="shared" si="282"/>
        <v>1.1633811625370596</v>
      </c>
      <c r="AK210" s="22">
        <f t="shared" si="232"/>
        <v>-3.999999999999998E-2</v>
      </c>
      <c r="AL210" s="23">
        <f t="shared" si="283"/>
        <v>18.610006994007279</v>
      </c>
      <c r="AM210" s="23">
        <f t="shared" si="233"/>
        <v>-0.86602126286043946</v>
      </c>
      <c r="AN210" s="23">
        <f t="shared" si="284"/>
        <v>11.717050173363747</v>
      </c>
      <c r="AO210" s="23">
        <f t="shared" si="234"/>
        <v>6.0272506091783109</v>
      </c>
      <c r="AP210" s="23">
        <f t="shared" si="235"/>
        <v>0.22885138245512984</v>
      </c>
      <c r="AQ210" s="24">
        <f t="shared" si="285"/>
        <v>4.9570707136043411E-2</v>
      </c>
      <c r="AR210" s="22">
        <f t="shared" si="286"/>
        <v>358727953.55485767</v>
      </c>
      <c r="AS210" s="22">
        <f t="shared" si="236"/>
        <v>1.7456090390149377E-3</v>
      </c>
      <c r="AT210" s="23">
        <f t="shared" si="287"/>
        <v>1062.427915344058</v>
      </c>
      <c r="AU210" s="22">
        <f t="shared" si="288"/>
        <v>39343.307471760956</v>
      </c>
      <c r="AV210" s="443"/>
      <c r="AW210" s="445"/>
      <c r="AX210" s="388"/>
      <c r="AY210" s="339"/>
      <c r="AZ210" s="339"/>
      <c r="BA210" s="331"/>
      <c r="BB210" s="402"/>
      <c r="BC210" s="385"/>
      <c r="BD210" s="445"/>
      <c r="BE210" s="445"/>
      <c r="BF210" s="445"/>
      <c r="BG210" s="445"/>
      <c r="BH210" s="447"/>
      <c r="BI210" s="385"/>
      <c r="BJ210" s="385"/>
      <c r="BK210" s="385"/>
      <c r="BL210" s="23">
        <f t="shared" si="289"/>
        <v>-0.11486198090157115</v>
      </c>
      <c r="BM210" s="24">
        <f t="shared" si="290"/>
        <v>22821.822226094417</v>
      </c>
      <c r="BN210" s="24">
        <f t="shared" si="291"/>
        <v>13226.673599789598</v>
      </c>
      <c r="BO210" s="24">
        <f t="shared" si="292"/>
        <v>119.07324211848791</v>
      </c>
      <c r="BP210" s="24">
        <f t="shared" si="237"/>
        <v>136.93422843626109</v>
      </c>
      <c r="BQ210" s="23">
        <f t="shared" si="238"/>
        <v>825.33691175981664</v>
      </c>
      <c r="BR210" s="23">
        <f t="shared" si="293"/>
        <v>4.3081234404795721</v>
      </c>
      <c r="BS210" s="6">
        <f t="shared" si="294"/>
        <v>1989.1383587199944</v>
      </c>
      <c r="BT210" s="23">
        <f t="shared" si="295"/>
        <v>2029.7330191020351</v>
      </c>
      <c r="BU210" s="22">
        <f t="shared" si="296"/>
        <v>2588.9451774260651</v>
      </c>
      <c r="BV210" s="22">
        <f t="shared" si="297"/>
        <v>123.28310368695547</v>
      </c>
      <c r="BW210" s="23">
        <f t="shared" si="298"/>
        <v>2.2997783098117529E-2</v>
      </c>
      <c r="BX210" s="87"/>
      <c r="BY210" s="362"/>
      <c r="BZ210" s="451"/>
      <c r="CA210" s="362"/>
    </row>
    <row r="211" spans="3:79" ht="15.75" x14ac:dyDescent="0.3">
      <c r="C211" s="22">
        <v>56</v>
      </c>
      <c r="D211" s="379"/>
      <c r="E211" s="379"/>
      <c r="F211" s="19" t="s">
        <v>128</v>
      </c>
      <c r="G211" s="255">
        <v>0.95833333333333404</v>
      </c>
      <c r="H211" s="54">
        <v>0.95833333333333903</v>
      </c>
      <c r="I211" s="13">
        <v>-8.6049889999999998</v>
      </c>
      <c r="J211" s="13">
        <v>115.86010899999999</v>
      </c>
      <c r="K211" s="13">
        <f t="shared" si="258"/>
        <v>-0.15018539014789434</v>
      </c>
      <c r="L211" s="13">
        <f t="shared" si="258"/>
        <v>2.0221403737695147</v>
      </c>
      <c r="M211" s="13">
        <v>3443</v>
      </c>
      <c r="N211" s="71">
        <f t="shared" si="208"/>
        <v>0.46649309895304508</v>
      </c>
      <c r="O211" s="422"/>
      <c r="P211" s="422"/>
      <c r="Q211" s="426"/>
      <c r="R211" s="23">
        <f t="shared" si="239"/>
        <v>5.000000000001581E-2</v>
      </c>
      <c r="S211" s="358"/>
      <c r="T211" s="23">
        <f t="shared" si="240"/>
        <v>9.3298619790579522</v>
      </c>
      <c r="U211" s="422"/>
      <c r="V211" s="22">
        <f t="shared" si="209"/>
        <v>4.7992810020274099</v>
      </c>
      <c r="W211" s="130">
        <f t="shared" si="241"/>
        <v>3.5202423876990466E-5</v>
      </c>
      <c r="X211" s="13">
        <f t="shared" si="242"/>
        <v>1.3243558364139929E-4</v>
      </c>
      <c r="Y211" s="13">
        <f t="shared" si="243"/>
        <v>1.3109958629379199</v>
      </c>
      <c r="Z211" s="13">
        <f t="shared" si="244"/>
        <v>75.114529905454148</v>
      </c>
      <c r="AA211" s="13">
        <f t="shared" si="245"/>
        <v>284.88547009454584</v>
      </c>
      <c r="AB211" s="13">
        <v>100</v>
      </c>
      <c r="AC211" s="13">
        <v>13</v>
      </c>
      <c r="AD211" s="13">
        <f t="shared" si="230"/>
        <v>4</v>
      </c>
      <c r="AE211" s="16">
        <f t="shared" si="231"/>
        <v>175.11452990545416</v>
      </c>
      <c r="AF211" s="23">
        <f t="shared" si="281"/>
        <v>0.18222605352299209</v>
      </c>
      <c r="AG211" s="382"/>
      <c r="AH211" s="385"/>
      <c r="AI211" s="388"/>
      <c r="AJ211" s="22">
        <f t="shared" si="282"/>
        <v>1.5405701208071827</v>
      </c>
      <c r="AK211" s="22">
        <f t="shared" si="232"/>
        <v>-3.999999999999998E-2</v>
      </c>
      <c r="AL211" s="23">
        <f t="shared" si="283"/>
        <v>18.610006994007279</v>
      </c>
      <c r="AM211" s="23">
        <f t="shared" si="233"/>
        <v>-1.1468008289192118</v>
      </c>
      <c r="AN211" s="23">
        <f t="shared" si="284"/>
        <v>9.4368569135708071</v>
      </c>
      <c r="AO211" s="23">
        <f t="shared" si="234"/>
        <v>4.854319196340823</v>
      </c>
      <c r="AP211" s="23">
        <f t="shared" si="235"/>
        <v>0.18431582341530056</v>
      </c>
      <c r="AQ211" s="24">
        <f t="shared" si="285"/>
        <v>4.9433100790391135E-2</v>
      </c>
      <c r="AR211" s="22">
        <f t="shared" si="286"/>
        <v>288917800.85494161</v>
      </c>
      <c r="AS211" s="22">
        <f t="shared" si="236"/>
        <v>1.7967684948157227E-3</v>
      </c>
      <c r="AT211" s="23">
        <f t="shared" si="287"/>
        <v>709.35359828353455</v>
      </c>
      <c r="AU211" s="22">
        <f t="shared" si="288"/>
        <v>26268.433199471459</v>
      </c>
      <c r="AV211" s="443"/>
      <c r="AW211" s="445"/>
      <c r="AX211" s="388"/>
      <c r="AY211" s="339"/>
      <c r="AZ211" s="339"/>
      <c r="BA211" s="331"/>
      <c r="BB211" s="402"/>
      <c r="BC211" s="385"/>
      <c r="BD211" s="445"/>
      <c r="BE211" s="445"/>
      <c r="BF211" s="445"/>
      <c r="BG211" s="445"/>
      <c r="BH211" s="447"/>
      <c r="BI211" s="385"/>
      <c r="BJ211" s="385"/>
      <c r="BK211" s="385"/>
      <c r="BL211" s="23">
        <f t="shared" si="289"/>
        <v>-4.0835059535676309E-2</v>
      </c>
      <c r="BM211" s="24">
        <f t="shared" si="290"/>
        <v>3014.1891381726887</v>
      </c>
      <c r="BN211" s="24">
        <f t="shared" si="291"/>
        <v>8579.6347070935608</v>
      </c>
      <c r="BO211" s="24">
        <f t="shared" si="292"/>
        <v>67.027140005980868</v>
      </c>
      <c r="BP211" s="24">
        <f t="shared" si="237"/>
        <v>77.081211006877993</v>
      </c>
      <c r="BQ211" s="23">
        <f t="shared" si="238"/>
        <v>374.17680226788536</v>
      </c>
      <c r="BR211" s="23">
        <f t="shared" si="293"/>
        <v>3.4697422877156439</v>
      </c>
      <c r="BS211" s="6">
        <f t="shared" si="294"/>
        <v>901.80073098540265</v>
      </c>
      <c r="BT211" s="23">
        <f t="shared" si="295"/>
        <v>920.20482753612521</v>
      </c>
      <c r="BU211" s="22">
        <f t="shared" si="296"/>
        <v>1173.7306473675067</v>
      </c>
      <c r="BV211" s="22">
        <f t="shared" si="297"/>
        <v>55.891935588928888</v>
      </c>
      <c r="BW211" s="23">
        <f t="shared" si="298"/>
        <v>1.0397389254262347E-2</v>
      </c>
      <c r="BY211" s="360">
        <f t="shared" ref="BY211" si="323">(SUM(BW211:BW215))*1000</f>
        <v>47.552245592986964</v>
      </c>
      <c r="BZ211" s="365">
        <v>50</v>
      </c>
      <c r="CA211" s="360">
        <f t="shared" ref="CA211" si="324">AVERAGE(AN211:AN215)</f>
        <v>8.8127654464543941</v>
      </c>
    </row>
    <row r="212" spans="3:79" ht="15.75" x14ac:dyDescent="0.3">
      <c r="C212" s="22">
        <v>57</v>
      </c>
      <c r="D212" s="379"/>
      <c r="E212" s="379"/>
      <c r="F212" s="19" t="s">
        <v>128</v>
      </c>
      <c r="G212" s="256"/>
      <c r="H212" s="54">
        <v>0.96041666666667203</v>
      </c>
      <c r="I212" s="13">
        <v>-8.6030099999999994</v>
      </c>
      <c r="J212" s="13">
        <v>115.86548999999999</v>
      </c>
      <c r="K212" s="13">
        <f t="shared" si="258"/>
        <v>-0.15015085008199736</v>
      </c>
      <c r="L212" s="13">
        <f t="shared" si="258"/>
        <v>2.0222342899365646</v>
      </c>
      <c r="M212" s="13">
        <v>3443</v>
      </c>
      <c r="N212" s="71">
        <f t="shared" si="208"/>
        <v>0.34111517147773057</v>
      </c>
      <c r="O212" s="420">
        <f t="shared" ref="O212" si="325">SUM(N212:N216)</f>
        <v>2.2590180080885172</v>
      </c>
      <c r="P212" s="423">
        <v>2.27</v>
      </c>
      <c r="Q212" s="424">
        <f t="shared" ref="Q212" si="326">ABS((O212-P212)/O212)*100%</f>
        <v>4.8614007821811663E-3</v>
      </c>
      <c r="R212" s="23">
        <f t="shared" si="239"/>
        <v>4.9999999999991829E-2</v>
      </c>
      <c r="S212" s="357">
        <f t="shared" ref="S212" si="327">+SUM(R212:R216)</f>
        <v>0.25000000000000711</v>
      </c>
      <c r="T212" s="23">
        <f t="shared" si="240"/>
        <v>6.8223034295557268</v>
      </c>
      <c r="U212" s="420">
        <f t="shared" ref="U212" si="328">AVERAGE(T212:T216)</f>
        <v>9.0360720323538253</v>
      </c>
      <c r="V212" s="22">
        <f t="shared" si="209"/>
        <v>3.5093928841634656</v>
      </c>
      <c r="W212" s="130">
        <f t="shared" si="241"/>
        <v>3.4937426970257857E-5</v>
      </c>
      <c r="X212" s="13">
        <f t="shared" si="242"/>
        <v>9.3916167049901134E-5</v>
      </c>
      <c r="Y212" s="13">
        <f t="shared" si="243"/>
        <v>1.2146526520685659</v>
      </c>
      <c r="Z212" s="13">
        <f t="shared" si="244"/>
        <v>69.594470537901245</v>
      </c>
      <c r="AA212" s="13">
        <f t="shared" si="245"/>
        <v>290.40552946209874</v>
      </c>
      <c r="AB212" s="13">
        <v>100</v>
      </c>
      <c r="AC212" s="13">
        <v>13</v>
      </c>
      <c r="AD212" s="13">
        <f t="shared" si="230"/>
        <v>4</v>
      </c>
      <c r="AE212" s="16">
        <f t="shared" si="231"/>
        <v>169.59447053790126</v>
      </c>
      <c r="AF212" s="23">
        <f t="shared" si="281"/>
        <v>0.13324971287837231</v>
      </c>
      <c r="AG212" s="382"/>
      <c r="AH212" s="385"/>
      <c r="AI212" s="388"/>
      <c r="AJ212" s="22">
        <f t="shared" si="282"/>
        <v>1.9010124249568661</v>
      </c>
      <c r="AK212" s="22">
        <f t="shared" si="232"/>
        <v>-3.999999999999998E-2</v>
      </c>
      <c r="AL212" s="23">
        <f t="shared" si="283"/>
        <v>18.610006994007279</v>
      </c>
      <c r="AM212" s="23">
        <f t="shared" si="233"/>
        <v>-1.4151141809656798</v>
      </c>
      <c r="AN212" s="23">
        <f t="shared" si="284"/>
        <v>6.918846812855878</v>
      </c>
      <c r="AO212" s="23">
        <f t="shared" si="234"/>
        <v>3.5590548005330636</v>
      </c>
      <c r="AP212" s="23">
        <f t="shared" si="235"/>
        <v>0.1351353484614102</v>
      </c>
      <c r="AQ212" s="24">
        <f t="shared" si="285"/>
        <v>4.9302315935642049E-2</v>
      </c>
      <c r="AR212" s="22">
        <f t="shared" si="286"/>
        <v>211826673.21657524</v>
      </c>
      <c r="AS212" s="22">
        <f t="shared" si="236"/>
        <v>1.87415517169344E-3</v>
      </c>
      <c r="AT212" s="23">
        <f t="shared" si="287"/>
        <v>397.7304925428366</v>
      </c>
      <c r="AU212" s="22">
        <f t="shared" si="288"/>
        <v>14728.559776161634</v>
      </c>
      <c r="AV212" s="443"/>
      <c r="AW212" s="445"/>
      <c r="AX212" s="388"/>
      <c r="AY212" s="339"/>
      <c r="AZ212" s="339"/>
      <c r="BA212" s="331"/>
      <c r="BB212" s="402"/>
      <c r="BC212" s="385"/>
      <c r="BD212" s="445"/>
      <c r="BE212" s="445"/>
      <c r="BF212" s="445"/>
      <c r="BG212" s="445"/>
      <c r="BH212" s="447"/>
      <c r="BI212" s="385"/>
      <c r="BJ212" s="385"/>
      <c r="BK212" s="385"/>
      <c r="BL212" s="23">
        <f t="shared" si="289"/>
        <v>-3.2450506208414665E-3</v>
      </c>
      <c r="BM212" s="24">
        <f t="shared" si="290"/>
        <v>87.124416364425812</v>
      </c>
      <c r="BN212" s="24">
        <f t="shared" si="291"/>
        <v>4611.9170510162558</v>
      </c>
      <c r="BO212" s="24">
        <f t="shared" si="292"/>
        <v>35.780183782346761</v>
      </c>
      <c r="BP212" s="24">
        <f t="shared" si="237"/>
        <v>41.147211349698772</v>
      </c>
      <c r="BQ212" s="23">
        <f t="shared" si="238"/>
        <v>146.44518008269398</v>
      </c>
      <c r="BR212" s="23">
        <f t="shared" si="293"/>
        <v>2.543920670691699</v>
      </c>
      <c r="BS212" s="6">
        <f t="shared" si="294"/>
        <v>352.94644041912886</v>
      </c>
      <c r="BT212" s="23">
        <f t="shared" si="295"/>
        <v>360.14942899911108</v>
      </c>
      <c r="BU212" s="22">
        <f t="shared" si="296"/>
        <v>459.37427168253964</v>
      </c>
      <c r="BV212" s="22">
        <f t="shared" si="297"/>
        <v>21.874965318216173</v>
      </c>
      <c r="BW212" s="23">
        <f t="shared" si="298"/>
        <v>4.0585602131554873E-3</v>
      </c>
      <c r="BY212" s="361"/>
      <c r="BZ212" s="366"/>
      <c r="CA212" s="361"/>
    </row>
    <row r="213" spans="3:79" ht="15.75" x14ac:dyDescent="0.3">
      <c r="C213" s="22">
        <v>58</v>
      </c>
      <c r="D213" s="379"/>
      <c r="E213" s="379"/>
      <c r="F213" s="19" t="s">
        <v>128</v>
      </c>
      <c r="G213" s="256"/>
      <c r="H213" s="54">
        <v>0.96250000000000602</v>
      </c>
      <c r="I213" s="13">
        <v>-8.602074</v>
      </c>
      <c r="J213" s="13">
        <v>115.871531</v>
      </c>
      <c r="K213" s="13">
        <f t="shared" si="258"/>
        <v>-0.15013451380019871</v>
      </c>
      <c r="L213" s="13">
        <f t="shared" si="258"/>
        <v>2.0223397252766779</v>
      </c>
      <c r="M213" s="13">
        <v>3443</v>
      </c>
      <c r="N213" s="71">
        <f t="shared" si="208"/>
        <v>0.36331012799368079</v>
      </c>
      <c r="O213" s="421"/>
      <c r="P213" s="421"/>
      <c r="Q213" s="425"/>
      <c r="R213" s="23">
        <f t="shared" si="239"/>
        <v>5.000000000001581E-2</v>
      </c>
      <c r="S213" s="331"/>
      <c r="T213" s="23">
        <f t="shared" si="240"/>
        <v>7.266202559871318</v>
      </c>
      <c r="U213" s="421"/>
      <c r="V213" s="22">
        <f t="shared" si="209"/>
        <v>3.737734596797806</v>
      </c>
      <c r="W213" s="130">
        <f t="shared" si="241"/>
        <v>1.6524156195078609E-5</v>
      </c>
      <c r="X213" s="13">
        <f t="shared" si="242"/>
        <v>1.0543534011331346E-4</v>
      </c>
      <c r="Y213" s="13">
        <f t="shared" si="243"/>
        <v>1.4153377669329188</v>
      </c>
      <c r="Z213" s="13">
        <f t="shared" si="244"/>
        <v>81.09288063072681</v>
      </c>
      <c r="AA213" s="13">
        <f t="shared" si="245"/>
        <v>278.90711936927318</v>
      </c>
      <c r="AB213" s="13">
        <v>100</v>
      </c>
      <c r="AC213" s="13">
        <v>13</v>
      </c>
      <c r="AD213" s="13">
        <f t="shared" si="230"/>
        <v>4</v>
      </c>
      <c r="AE213" s="16">
        <f t="shared" si="231"/>
        <v>178.90711936927318</v>
      </c>
      <c r="AF213" s="23">
        <f t="shared" si="281"/>
        <v>0.14191972180897239</v>
      </c>
      <c r="AG213" s="382"/>
      <c r="AH213" s="385"/>
      <c r="AI213" s="388"/>
      <c r="AJ213" s="22">
        <f t="shared" si="282"/>
        <v>1.8412590230221033</v>
      </c>
      <c r="AK213" s="22">
        <f t="shared" si="232"/>
        <v>-3.999999999999998E-2</v>
      </c>
      <c r="AL213" s="23">
        <f t="shared" si="283"/>
        <v>18.610006994007279</v>
      </c>
      <c r="AM213" s="23">
        <f t="shared" si="233"/>
        <v>-1.3706337318488133</v>
      </c>
      <c r="AN213" s="23">
        <f t="shared" si="284"/>
        <v>7.3657955831813764</v>
      </c>
      <c r="AO213" s="23">
        <f t="shared" si="234"/>
        <v>3.7889652479884997</v>
      </c>
      <c r="AP213" s="23">
        <f t="shared" si="235"/>
        <v>0.14386492138823215</v>
      </c>
      <c r="AQ213" s="24">
        <f t="shared" si="285"/>
        <v>4.9323949312853825E-2</v>
      </c>
      <c r="AR213" s="22">
        <f t="shared" si="286"/>
        <v>225510408.9137398</v>
      </c>
      <c r="AS213" s="22">
        <f t="shared" si="236"/>
        <v>1.8581500283591781E-3</v>
      </c>
      <c r="AT213" s="23">
        <f t="shared" si="287"/>
        <v>446.92640327752252</v>
      </c>
      <c r="AU213" s="22">
        <f t="shared" si="288"/>
        <v>16550.358520748694</v>
      </c>
      <c r="AV213" s="443"/>
      <c r="AW213" s="445"/>
      <c r="AX213" s="388"/>
      <c r="AY213" s="339"/>
      <c r="AZ213" s="339"/>
      <c r="BA213" s="331"/>
      <c r="BB213" s="402"/>
      <c r="BC213" s="385"/>
      <c r="BD213" s="445"/>
      <c r="BE213" s="445"/>
      <c r="BF213" s="445"/>
      <c r="BG213" s="445"/>
      <c r="BH213" s="447"/>
      <c r="BI213" s="385"/>
      <c r="BJ213" s="385"/>
      <c r="BK213" s="385"/>
      <c r="BL213" s="23">
        <f t="shared" si="289"/>
        <v>-6.1812625045578468E-3</v>
      </c>
      <c r="BM213" s="24">
        <f t="shared" si="290"/>
        <v>191.49674981766785</v>
      </c>
      <c r="BN213" s="24">
        <f t="shared" si="291"/>
        <v>5227.0106061991337</v>
      </c>
      <c r="BO213" s="24">
        <f t="shared" si="292"/>
        <v>40.344125092224196</v>
      </c>
      <c r="BP213" s="24">
        <f t="shared" si="237"/>
        <v>46.395743856057827</v>
      </c>
      <c r="BQ213" s="23">
        <f t="shared" si="238"/>
        <v>175.79186112517905</v>
      </c>
      <c r="BR213" s="23">
        <f t="shared" si="293"/>
        <v>2.7082547347814852</v>
      </c>
      <c r="BS213" s="6">
        <f t="shared" si="294"/>
        <v>423.67465835168105</v>
      </c>
      <c r="BT213" s="23">
        <f t="shared" si="295"/>
        <v>432.32107995069498</v>
      </c>
      <c r="BU213" s="22">
        <f t="shared" si="296"/>
        <v>551.42994891670276</v>
      </c>
      <c r="BV213" s="22">
        <f t="shared" si="297"/>
        <v>26.258568996033464</v>
      </c>
      <c r="BW213" s="23">
        <f t="shared" si="298"/>
        <v>4.8740075507122983E-3</v>
      </c>
      <c r="BY213" s="361"/>
      <c r="BZ213" s="366"/>
      <c r="CA213" s="361"/>
    </row>
    <row r="214" spans="3:79" ht="15.75" x14ac:dyDescent="0.3">
      <c r="C214" s="22">
        <v>59</v>
      </c>
      <c r="D214" s="379"/>
      <c r="E214" s="379"/>
      <c r="F214" s="19" t="s">
        <v>128</v>
      </c>
      <c r="G214" s="256"/>
      <c r="H214" s="54">
        <v>0.96458333333333901</v>
      </c>
      <c r="I214" s="13">
        <v>-8.6042489999999994</v>
      </c>
      <c r="J214" s="13">
        <v>115.880038</v>
      </c>
      <c r="K214" s="13">
        <f t="shared" si="258"/>
        <v>-0.15017247471142958</v>
      </c>
      <c r="L214" s="13">
        <f t="shared" si="258"/>
        <v>2.0224882004361446</v>
      </c>
      <c r="M214" s="13">
        <v>3443</v>
      </c>
      <c r="N214" s="71">
        <f t="shared" si="208"/>
        <v>0.52207282645526376</v>
      </c>
      <c r="O214" s="421"/>
      <c r="P214" s="421"/>
      <c r="Q214" s="425"/>
      <c r="R214" s="23">
        <f t="shared" si="239"/>
        <v>4.9999999999991829E-2</v>
      </c>
      <c r="S214" s="331"/>
      <c r="T214" s="23">
        <f t="shared" si="240"/>
        <v>10.441456529106981</v>
      </c>
      <c r="U214" s="421"/>
      <c r="V214" s="22">
        <f t="shared" si="209"/>
        <v>5.3710852385726309</v>
      </c>
      <c r="W214" s="130">
        <f t="shared" si="241"/>
        <v>-3.8397541486330938E-5</v>
      </c>
      <c r="X214" s="13">
        <f t="shared" si="242"/>
        <v>1.4847515946669887E-4</v>
      </c>
      <c r="Y214" s="13">
        <f t="shared" si="243"/>
        <v>1.8238643614767369</v>
      </c>
      <c r="Z214" s="13">
        <f t="shared" si="244"/>
        <v>104.49973031693979</v>
      </c>
      <c r="AA214" s="13">
        <f t="shared" si="245"/>
        <v>255.5002696830602</v>
      </c>
      <c r="AB214" s="13">
        <v>100</v>
      </c>
      <c r="AC214" s="13">
        <v>13</v>
      </c>
      <c r="AD214" s="13">
        <f t="shared" si="230"/>
        <v>4</v>
      </c>
      <c r="AE214" s="16">
        <f t="shared" si="231"/>
        <v>155.5002696830602</v>
      </c>
      <c r="AF214" s="23">
        <f t="shared" si="281"/>
        <v>0.20393714511553393</v>
      </c>
      <c r="AG214" s="382"/>
      <c r="AH214" s="385"/>
      <c r="AI214" s="388"/>
      <c r="AJ214" s="22">
        <f t="shared" si="282"/>
        <v>1.3629843968411819</v>
      </c>
      <c r="AK214" s="22">
        <f t="shared" si="232"/>
        <v>-3.999999999999998E-2</v>
      </c>
      <c r="AL214" s="23">
        <f t="shared" si="283"/>
        <v>18.610006994007279</v>
      </c>
      <c r="AM214" s="23">
        <f t="shared" si="233"/>
        <v>-1.0146059663174869</v>
      </c>
      <c r="AN214" s="23">
        <f t="shared" si="284"/>
        <v>10.547396170021747</v>
      </c>
      <c r="AO214" s="23">
        <f t="shared" si="234"/>
        <v>5.4255805898591865</v>
      </c>
      <c r="AP214" s="23">
        <f t="shared" si="235"/>
        <v>0.20600630355741367</v>
      </c>
      <c r="AQ214" s="24">
        <f t="shared" si="285"/>
        <v>4.9497792444652938E-2</v>
      </c>
      <c r="AR214" s="22">
        <f t="shared" si="286"/>
        <v>322917951.82422018</v>
      </c>
      <c r="AS214" s="22">
        <f t="shared" si="236"/>
        <v>1.7701921815979917E-3</v>
      </c>
      <c r="AT214" s="23">
        <f t="shared" si="287"/>
        <v>873.02533674460096</v>
      </c>
      <c r="AU214" s="22">
        <f t="shared" si="288"/>
        <v>32329.444433938159</v>
      </c>
      <c r="AV214" s="443"/>
      <c r="AW214" s="445"/>
      <c r="AX214" s="388"/>
      <c r="AY214" s="339"/>
      <c r="AZ214" s="339"/>
      <c r="BA214" s="331"/>
      <c r="BB214" s="402"/>
      <c r="BC214" s="385"/>
      <c r="BD214" s="445"/>
      <c r="BE214" s="445"/>
      <c r="BF214" s="445"/>
      <c r="BG214" s="445"/>
      <c r="BH214" s="447"/>
      <c r="BI214" s="385"/>
      <c r="BJ214" s="385"/>
      <c r="BK214" s="385"/>
      <c r="BL214" s="23">
        <f t="shared" si="289"/>
        <v>-7.3461987640549967E-2</v>
      </c>
      <c r="BM214" s="24">
        <f t="shared" si="290"/>
        <v>9011.1501149070173</v>
      </c>
      <c r="BN214" s="24">
        <f t="shared" si="291"/>
        <v>10717.773500638054</v>
      </c>
      <c r="BO214" s="24">
        <f t="shared" si="292"/>
        <v>87.95257064458859</v>
      </c>
      <c r="BP214" s="24">
        <f t="shared" si="237"/>
        <v>101.14545624127688</v>
      </c>
      <c r="BQ214" s="23">
        <f t="shared" si="238"/>
        <v>548.77282413512353</v>
      </c>
      <c r="BR214" s="23">
        <f t="shared" si="293"/>
        <v>3.8780652129827251</v>
      </c>
      <c r="BS214" s="6">
        <f t="shared" si="294"/>
        <v>1322.5933060266916</v>
      </c>
      <c r="BT214" s="23">
        <f t="shared" si="295"/>
        <v>1349.5850061496853</v>
      </c>
      <c r="BU214" s="22">
        <f t="shared" si="296"/>
        <v>1721.4094466194967</v>
      </c>
      <c r="BV214" s="22">
        <f t="shared" si="297"/>
        <v>81.97187841045222</v>
      </c>
      <c r="BW214" s="23">
        <f t="shared" si="298"/>
        <v>1.5268909376185778E-2</v>
      </c>
      <c r="BY214" s="361"/>
      <c r="BZ214" s="366"/>
      <c r="CA214" s="361"/>
    </row>
    <row r="215" spans="3:79" ht="15.75" x14ac:dyDescent="0.3">
      <c r="C215" s="22">
        <v>60</v>
      </c>
      <c r="D215" s="379"/>
      <c r="E215" s="379"/>
      <c r="F215" s="19" t="s">
        <v>128</v>
      </c>
      <c r="G215" s="257"/>
      <c r="H215" s="54">
        <v>0.966666666666673</v>
      </c>
      <c r="I215" s="13">
        <v>-8.6079729999999994</v>
      </c>
      <c r="J215" s="13">
        <v>115.888183</v>
      </c>
      <c r="K215" s="13">
        <f t="shared" si="258"/>
        <v>-0.15023747077277383</v>
      </c>
      <c r="L215" s="13">
        <f t="shared" si="258"/>
        <v>2.0226303575037199</v>
      </c>
      <c r="M215" s="13">
        <v>3443</v>
      </c>
      <c r="N215" s="71">
        <f t="shared" si="208"/>
        <v>0.53317165327255756</v>
      </c>
      <c r="O215" s="421"/>
      <c r="P215" s="421"/>
      <c r="Q215" s="425"/>
      <c r="R215" s="23">
        <f t="shared" si="239"/>
        <v>5.000000000001581E-2</v>
      </c>
      <c r="S215" s="331"/>
      <c r="T215" s="23">
        <f t="shared" si="240"/>
        <v>10.66343306544778</v>
      </c>
      <c r="U215" s="421"/>
      <c r="V215" s="22">
        <f t="shared" si="209"/>
        <v>5.485269968866338</v>
      </c>
      <c r="W215" s="130">
        <f t="shared" si="241"/>
        <v>-6.5744167528703935E-5</v>
      </c>
      <c r="X215" s="13">
        <f t="shared" si="242"/>
        <v>1.4215706757525481E-4</v>
      </c>
      <c r="Y215" s="13">
        <f t="shared" si="243"/>
        <v>2.0039763506425703</v>
      </c>
      <c r="Z215" s="13">
        <f t="shared" si="244"/>
        <v>114.81938713584806</v>
      </c>
      <c r="AA215" s="13">
        <f t="shared" si="245"/>
        <v>245.18061286415195</v>
      </c>
      <c r="AB215" s="13">
        <v>100</v>
      </c>
      <c r="AC215" s="13">
        <v>13</v>
      </c>
      <c r="AD215" s="13">
        <f t="shared" si="230"/>
        <v>4</v>
      </c>
      <c r="AE215" s="16">
        <f t="shared" si="231"/>
        <v>145.18061286415195</v>
      </c>
      <c r="AF215" s="23">
        <f t="shared" si="281"/>
        <v>0.20827267636807353</v>
      </c>
      <c r="AG215" s="382"/>
      <c r="AH215" s="385"/>
      <c r="AI215" s="388"/>
      <c r="AJ215" s="22">
        <f t="shared" si="282"/>
        <v>1.3262120078684925</v>
      </c>
      <c r="AK215" s="22">
        <f t="shared" si="232"/>
        <v>0.33</v>
      </c>
      <c r="AL215" s="23">
        <f t="shared" si="283"/>
        <v>18.610006994007279</v>
      </c>
      <c r="AM215" s="23">
        <f t="shared" si="233"/>
        <v>8.1446688648497965</v>
      </c>
      <c r="AN215" s="23">
        <f t="shared" si="284"/>
        <v>9.7949317526421567</v>
      </c>
      <c r="AO215" s="23">
        <f t="shared" si="234"/>
        <v>5.0385128935591252</v>
      </c>
      <c r="AP215" s="23">
        <f t="shared" si="235"/>
        <v>0.19130955654193368</v>
      </c>
      <c r="AQ215" s="24">
        <f t="shared" si="285"/>
        <v>5.4433421971392087E-2</v>
      </c>
      <c r="AR215" s="22">
        <f t="shared" si="286"/>
        <v>299880581.78862387</v>
      </c>
      <c r="AS215" s="22">
        <f t="shared" si="236"/>
        <v>1.7878060247066702E-3</v>
      </c>
      <c r="AT215" s="23">
        <f t="shared" si="287"/>
        <v>760.39479801599316</v>
      </c>
      <c r="AU215" s="22">
        <f t="shared" si="288"/>
        <v>28158.565777691005</v>
      </c>
      <c r="AV215" s="443"/>
      <c r="AW215" s="445"/>
      <c r="AX215" s="388"/>
      <c r="AY215" s="339"/>
      <c r="AZ215" s="339"/>
      <c r="BA215" s="331"/>
      <c r="BB215" s="402"/>
      <c r="BC215" s="385"/>
      <c r="BD215" s="445"/>
      <c r="BE215" s="445"/>
      <c r="BF215" s="445"/>
      <c r="BG215" s="445"/>
      <c r="BH215" s="447"/>
      <c r="BI215" s="385"/>
      <c r="BJ215" s="385"/>
      <c r="BK215" s="385"/>
      <c r="BL215" s="23">
        <f t="shared" si="289"/>
        <v>-5.0442013669442058E-2</v>
      </c>
      <c r="BM215" s="24">
        <f t="shared" si="290"/>
        <v>4396.2629006525704</v>
      </c>
      <c r="BN215" s="24">
        <f t="shared" si="291"/>
        <v>9243.0837021451352</v>
      </c>
      <c r="BO215" s="24">
        <f t="shared" si="292"/>
        <v>73.061340580665842</v>
      </c>
      <c r="BP215" s="24">
        <f t="shared" si="237"/>
        <v>84.020541667765713</v>
      </c>
      <c r="BQ215" s="23">
        <f t="shared" si="238"/>
        <v>423.33858251685928</v>
      </c>
      <c r="BR215" s="23">
        <f t="shared" si="293"/>
        <v>3.6013991966496071</v>
      </c>
      <c r="BS215" s="6">
        <f t="shared" si="294"/>
        <v>1020.2851722879079</v>
      </c>
      <c r="BT215" s="23">
        <f t="shared" si="295"/>
        <v>1041.1073186611306</v>
      </c>
      <c r="BU215" s="22">
        <f t="shared" si="296"/>
        <v>1327.9430084963401</v>
      </c>
      <c r="BV215" s="22">
        <f t="shared" si="297"/>
        <v>63.235381356968581</v>
      </c>
      <c r="BW215" s="23">
        <f t="shared" si="298"/>
        <v>1.295337919867106E-2</v>
      </c>
      <c r="BY215" s="362"/>
      <c r="BZ215" s="451"/>
      <c r="CA215" s="362"/>
    </row>
    <row r="216" spans="3:79" ht="15.75" x14ac:dyDescent="0.3">
      <c r="C216" s="22">
        <v>61</v>
      </c>
      <c r="D216" s="379"/>
      <c r="E216" s="379"/>
      <c r="F216" s="19" t="s">
        <v>128</v>
      </c>
      <c r="G216" s="255">
        <v>0.968750000000001</v>
      </c>
      <c r="H216" s="54">
        <v>0.968750000000006</v>
      </c>
      <c r="I216" s="13">
        <v>-8.6111950000000004</v>
      </c>
      <c r="J216" s="13">
        <v>115.89593000000001</v>
      </c>
      <c r="K216" s="13">
        <f t="shared" si="258"/>
        <v>-0.15029370528127312</v>
      </c>
      <c r="L216" s="13">
        <f t="shared" si="258"/>
        <v>2.0227655681608718</v>
      </c>
      <c r="M216" s="13">
        <v>3443</v>
      </c>
      <c r="N216" s="71">
        <f t="shared" si="208"/>
        <v>0.49934822888928421</v>
      </c>
      <c r="O216" s="422"/>
      <c r="P216" s="422"/>
      <c r="Q216" s="426"/>
      <c r="R216" s="23">
        <f t="shared" si="239"/>
        <v>4.9999999999991829E-2</v>
      </c>
      <c r="S216" s="358"/>
      <c r="T216" s="23">
        <f t="shared" si="240"/>
        <v>9.9869645777873171</v>
      </c>
      <c r="U216" s="422"/>
      <c r="V216" s="22">
        <f t="shared" si="209"/>
        <v>5.1372945788137958</v>
      </c>
      <c r="W216" s="130">
        <f t="shared" si="241"/>
        <v>-5.6882293743974533E-5</v>
      </c>
      <c r="X216" s="13">
        <f t="shared" si="242"/>
        <v>1.3521065715194069E-4</v>
      </c>
      <c r="Y216" s="13">
        <f t="shared" si="243"/>
        <v>1.9690139915387415</v>
      </c>
      <c r="Z216" s="13">
        <f t="shared" si="244"/>
        <v>112.81619151737787</v>
      </c>
      <c r="AA216" s="13">
        <f t="shared" si="245"/>
        <v>247.18380848262211</v>
      </c>
      <c r="AB216" s="13">
        <v>100</v>
      </c>
      <c r="AC216" s="13">
        <v>13</v>
      </c>
      <c r="AD216" s="13">
        <f t="shared" si="230"/>
        <v>4</v>
      </c>
      <c r="AE216" s="16">
        <f t="shared" si="231"/>
        <v>147.18380848262211</v>
      </c>
      <c r="AF216" s="23">
        <f t="shared" si="281"/>
        <v>0.19506024266693966</v>
      </c>
      <c r="AG216" s="382"/>
      <c r="AH216" s="385"/>
      <c r="AI216" s="388"/>
      <c r="AJ216" s="22">
        <f t="shared" si="282"/>
        <v>1.4369145222086126</v>
      </c>
      <c r="AK216" s="22">
        <f t="shared" si="232"/>
        <v>0.33</v>
      </c>
      <c r="AL216" s="23">
        <f t="shared" si="283"/>
        <v>18.610006994007279</v>
      </c>
      <c r="AM216" s="23">
        <f t="shared" si="233"/>
        <v>8.8245264716706604</v>
      </c>
      <c r="AN216" s="23">
        <f t="shared" si="284"/>
        <v>9.1056622449041029</v>
      </c>
      <c r="AO216" s="23">
        <f t="shared" si="234"/>
        <v>4.6839526587786704</v>
      </c>
      <c r="AP216" s="23">
        <f t="shared" si="235"/>
        <v>0.17784709991709052</v>
      </c>
      <c r="AQ216" s="24">
        <f t="shared" si="285"/>
        <v>5.4839309372444564E-2</v>
      </c>
      <c r="AR216" s="22">
        <f t="shared" si="286"/>
        <v>278777980.34028918</v>
      </c>
      <c r="AS216" s="22">
        <f t="shared" si="236"/>
        <v>1.8054297195882979E-3</v>
      </c>
      <c r="AT216" s="23">
        <f t="shared" si="287"/>
        <v>663.62016359829249</v>
      </c>
      <c r="AU216" s="22">
        <f t="shared" si="288"/>
        <v>24574.855163187945</v>
      </c>
      <c r="AV216" s="443"/>
      <c r="AW216" s="445"/>
      <c r="AX216" s="388"/>
      <c r="AY216" s="339"/>
      <c r="AZ216" s="339"/>
      <c r="BA216" s="331"/>
      <c r="BB216" s="402"/>
      <c r="BC216" s="385"/>
      <c r="BD216" s="445"/>
      <c r="BE216" s="445"/>
      <c r="BF216" s="445"/>
      <c r="BG216" s="445"/>
      <c r="BH216" s="447"/>
      <c r="BI216" s="385"/>
      <c r="BJ216" s="385"/>
      <c r="BK216" s="385"/>
      <c r="BL216" s="23">
        <f t="shared" si="289"/>
        <v>-3.2835731205355129E-2</v>
      </c>
      <c r="BM216" s="24">
        <f t="shared" si="290"/>
        <v>2080.1578779435863</v>
      </c>
      <c r="BN216" s="24">
        <f t="shared" si="291"/>
        <v>7987.982987903767</v>
      </c>
      <c r="BO216" s="24">
        <f t="shared" si="292"/>
        <v>61.927561087841305</v>
      </c>
      <c r="BP216" s="24">
        <f t="shared" si="237"/>
        <v>71.216695251017498</v>
      </c>
      <c r="BQ216" s="23">
        <f t="shared" si="238"/>
        <v>333.57562907043371</v>
      </c>
      <c r="BR216" s="23">
        <f t="shared" si="293"/>
        <v>3.3479686762405914</v>
      </c>
      <c r="BS216" s="6">
        <f t="shared" si="294"/>
        <v>803.94814513184781</v>
      </c>
      <c r="BT216" s="23">
        <f t="shared" si="295"/>
        <v>820.35525013453855</v>
      </c>
      <c r="BU216" s="22">
        <f t="shared" si="296"/>
        <v>1046.3714925185441</v>
      </c>
      <c r="BV216" s="22">
        <f t="shared" si="297"/>
        <v>49.82721392945448</v>
      </c>
      <c r="BW216" s="23">
        <f t="shared" si="298"/>
        <v>1.0282906367414194E-2</v>
      </c>
      <c r="BY216" s="360">
        <f t="shared" ref="BY216" si="329">(SUM(BW216:BW220))*1000</f>
        <v>17.378560541659731</v>
      </c>
      <c r="BZ216" s="365">
        <v>20</v>
      </c>
      <c r="CA216" s="360">
        <f t="shared" ref="CA216" si="330">AVERAGE(AN216:AN220)</f>
        <v>5.2677610491057232</v>
      </c>
    </row>
    <row r="217" spans="3:79" ht="15.75" x14ac:dyDescent="0.3">
      <c r="C217" s="22">
        <v>62</v>
      </c>
      <c r="D217" s="379"/>
      <c r="E217" s="379"/>
      <c r="F217" s="19" t="s">
        <v>128</v>
      </c>
      <c r="G217" s="256"/>
      <c r="H217" s="54">
        <v>0.97083333333333899</v>
      </c>
      <c r="I217" s="13">
        <v>-8.6127719999999997</v>
      </c>
      <c r="J217" s="13">
        <v>115.900074</v>
      </c>
      <c r="K217" s="13">
        <f t="shared" si="258"/>
        <v>-0.15032122912357704</v>
      </c>
      <c r="L217" s="13">
        <f t="shared" si="258"/>
        <v>2.0228378946050745</v>
      </c>
      <c r="M217" s="13">
        <v>3443</v>
      </c>
      <c r="N217" s="71">
        <f t="shared" si="208"/>
        <v>0.26381965133246504</v>
      </c>
      <c r="O217" s="420">
        <f t="shared" ref="O217" si="331">SUM(N217:N221)</f>
        <v>0.99392459589423832</v>
      </c>
      <c r="P217" s="423">
        <v>1.1000000000000001</v>
      </c>
      <c r="Q217" s="424">
        <f t="shared" ref="Q217" si="332">ABS((O217-P217)/O217)*100%</f>
        <v>0.10672379428373564</v>
      </c>
      <c r="R217" s="23">
        <f t="shared" si="239"/>
        <v>4.9999999999991829E-2</v>
      </c>
      <c r="S217" s="357">
        <f t="shared" ref="S217" si="333">+SUM(R217:R221)</f>
        <v>0.25000000000000711</v>
      </c>
      <c r="T217" s="23">
        <f t="shared" si="240"/>
        <v>5.2763930266501635</v>
      </c>
      <c r="U217" s="420">
        <f t="shared" ref="U217" si="334">AVERAGE(T217:T221)</f>
        <v>3.9756983835767912</v>
      </c>
      <c r="V217" s="22">
        <f t="shared" si="209"/>
        <v>2.7141765729088441</v>
      </c>
      <c r="W217" s="130">
        <f t="shared" si="241"/>
        <v>-2.7841076709695111E-5</v>
      </c>
      <c r="X217" s="13">
        <f t="shared" si="242"/>
        <v>7.2326444202630569E-5</v>
      </c>
      <c r="Y217" s="13">
        <f t="shared" si="243"/>
        <v>1.938249725614148</v>
      </c>
      <c r="Z217" s="13">
        <f t="shared" si="244"/>
        <v>111.05352892008054</v>
      </c>
      <c r="AA217" s="13">
        <f t="shared" si="245"/>
        <v>248.94647107991946</v>
      </c>
      <c r="AB217" s="13">
        <v>100</v>
      </c>
      <c r="AC217" s="13">
        <v>13</v>
      </c>
      <c r="AD217" s="13">
        <f t="shared" si="230"/>
        <v>4</v>
      </c>
      <c r="AE217" s="16">
        <f t="shared" si="231"/>
        <v>148.94647107991946</v>
      </c>
      <c r="AF217" s="23">
        <f t="shared" si="281"/>
        <v>0.10305578798924296</v>
      </c>
      <c r="AG217" s="382"/>
      <c r="AH217" s="385"/>
      <c r="AI217" s="388"/>
      <c r="AJ217" s="22">
        <f t="shared" si="282"/>
        <v>2.0954958373580288</v>
      </c>
      <c r="AK217" s="22">
        <f t="shared" si="232"/>
        <v>0.33</v>
      </c>
      <c r="AL217" s="23">
        <f t="shared" si="283"/>
        <v>18.610006994007279</v>
      </c>
      <c r="AM217" s="23">
        <f t="shared" si="233"/>
        <v>12.869073422418198</v>
      </c>
      <c r="AN217" s="23">
        <f t="shared" si="284"/>
        <v>4.5973701339952004</v>
      </c>
      <c r="AO217" s="23">
        <f t="shared" si="234"/>
        <v>2.364887196927131</v>
      </c>
      <c r="AP217" s="23">
        <f t="shared" si="235"/>
        <v>8.9793462966855656E-2</v>
      </c>
      <c r="AQ217" s="24">
        <f t="shared" si="285"/>
        <v>5.7384905640216713E-2</v>
      </c>
      <c r="AR217" s="22">
        <f t="shared" si="286"/>
        <v>140752591.77872616</v>
      </c>
      <c r="AS217" s="22">
        <f t="shared" si="236"/>
        <v>1.9839424402283206E-3</v>
      </c>
      <c r="AT217" s="23">
        <f t="shared" si="287"/>
        <v>185.8933783694761</v>
      </c>
      <c r="AU217" s="22">
        <f t="shared" si="288"/>
        <v>6883.9120626703707</v>
      </c>
      <c r="AV217" s="443"/>
      <c r="AW217" s="445"/>
      <c r="AX217" s="388"/>
      <c r="AY217" s="339"/>
      <c r="AZ217" s="339"/>
      <c r="BA217" s="331"/>
      <c r="BB217" s="402"/>
      <c r="BC217" s="385"/>
      <c r="BD217" s="445"/>
      <c r="BE217" s="445"/>
      <c r="BF217" s="445"/>
      <c r="BG217" s="445"/>
      <c r="BH217" s="447"/>
      <c r="BI217" s="385"/>
      <c r="BJ217" s="385"/>
      <c r="BK217" s="385"/>
      <c r="BL217" s="23">
        <f t="shared" si="289"/>
        <v>-3.184614256394916E-6</v>
      </c>
      <c r="BM217" s="24">
        <f t="shared" si="290"/>
        <v>0.14007007225433576</v>
      </c>
      <c r="BN217" s="24">
        <f t="shared" si="291"/>
        <v>2036.2589095288158</v>
      </c>
      <c r="BO217" s="24">
        <f t="shared" si="292"/>
        <v>16.563267441639447</v>
      </c>
      <c r="BP217" s="24">
        <f t="shared" si="237"/>
        <v>19.047757557885362</v>
      </c>
      <c r="BQ217" s="23">
        <f t="shared" si="238"/>
        <v>45.045797978815088</v>
      </c>
      <c r="BR217" s="23">
        <f t="shared" si="293"/>
        <v>1.6903604359269797</v>
      </c>
      <c r="BS217" s="6">
        <f t="shared" si="294"/>
        <v>108.56454301523847</v>
      </c>
      <c r="BT217" s="23">
        <f t="shared" si="295"/>
        <v>110.78014593391681</v>
      </c>
      <c r="BU217" s="22">
        <f t="shared" si="296"/>
        <v>141.30120654836327</v>
      </c>
      <c r="BV217" s="22">
        <f t="shared" si="297"/>
        <v>6.7286288832553947</v>
      </c>
      <c r="BW217" s="23">
        <f t="shared" si="298"/>
        <v>1.4530533077090862E-3</v>
      </c>
      <c r="BY217" s="361"/>
      <c r="BZ217" s="366"/>
      <c r="CA217" s="361"/>
    </row>
    <row r="218" spans="3:79" ht="15.75" x14ac:dyDescent="0.3">
      <c r="C218" s="22">
        <v>63</v>
      </c>
      <c r="D218" s="379"/>
      <c r="E218" s="379"/>
      <c r="F218" s="19" t="s">
        <v>128</v>
      </c>
      <c r="G218" s="256"/>
      <c r="H218" s="54">
        <v>0.97291666666667298</v>
      </c>
      <c r="I218" s="13">
        <v>-8.6154340000000005</v>
      </c>
      <c r="J218" s="13">
        <v>115.90558</v>
      </c>
      <c r="K218" s="13">
        <f t="shared" si="258"/>
        <v>-0.15036768978826515</v>
      </c>
      <c r="L218" s="13">
        <f t="shared" si="258"/>
        <v>2.0229339924336891</v>
      </c>
      <c r="M218" s="13">
        <v>3443</v>
      </c>
      <c r="N218" s="71">
        <f t="shared" si="208"/>
        <v>0.36414857873775841</v>
      </c>
      <c r="O218" s="421"/>
      <c r="P218" s="421"/>
      <c r="Q218" s="425"/>
      <c r="R218" s="23">
        <f t="shared" si="239"/>
        <v>5.000000000001581E-2</v>
      </c>
      <c r="S218" s="331"/>
      <c r="T218" s="23">
        <f t="shared" si="240"/>
        <v>7.2829715747528656</v>
      </c>
      <c r="U218" s="421"/>
      <c r="V218" s="22">
        <f t="shared" si="209"/>
        <v>3.7463605780528737</v>
      </c>
      <c r="W218" s="130">
        <f t="shared" si="241"/>
        <v>-4.6996425939835433E-5</v>
      </c>
      <c r="X218" s="13">
        <f t="shared" si="242"/>
        <v>9.6097828614638559E-5</v>
      </c>
      <c r="Y218" s="13">
        <f t="shared" si="243"/>
        <v>2.0256438017416114</v>
      </c>
      <c r="Z218" s="13">
        <f t="shared" si="244"/>
        <v>116.06084063662921</v>
      </c>
      <c r="AA218" s="13">
        <f t="shared" si="245"/>
        <v>243.93915936337078</v>
      </c>
      <c r="AB218" s="13">
        <v>100</v>
      </c>
      <c r="AC218" s="13">
        <v>13</v>
      </c>
      <c r="AD218" s="13">
        <f t="shared" si="230"/>
        <v>4</v>
      </c>
      <c r="AE218" s="16">
        <f t="shared" si="231"/>
        <v>143.93915936337078</v>
      </c>
      <c r="AF218" s="23">
        <f t="shared" si="281"/>
        <v>0.14224724556121993</v>
      </c>
      <c r="AG218" s="382"/>
      <c r="AH218" s="385"/>
      <c r="AI218" s="388"/>
      <c r="AJ218" s="22">
        <f t="shared" si="282"/>
        <v>1.8389675565343397</v>
      </c>
      <c r="AK218" s="22">
        <f t="shared" si="232"/>
        <v>0.33</v>
      </c>
      <c r="AL218" s="23">
        <f t="shared" si="283"/>
        <v>18.610006994007279</v>
      </c>
      <c r="AM218" s="23">
        <f t="shared" si="233"/>
        <v>11.29365569932266</v>
      </c>
      <c r="AN218" s="23">
        <f t="shared" si="284"/>
        <v>6.4604578404207391</v>
      </c>
      <c r="AO218" s="23">
        <f t="shared" si="234"/>
        <v>3.3232595131124278</v>
      </c>
      <c r="AP218" s="23">
        <f t="shared" si="235"/>
        <v>0.12618233140576571</v>
      </c>
      <c r="AQ218" s="24">
        <f t="shared" si="285"/>
        <v>5.6365754213178666E-2</v>
      </c>
      <c r="AR218" s="22">
        <f t="shared" si="286"/>
        <v>197792685.51653239</v>
      </c>
      <c r="AS218" s="22">
        <f t="shared" si="236"/>
        <v>1.8919202361468257E-3</v>
      </c>
      <c r="AT218" s="23">
        <f t="shared" si="287"/>
        <v>350.0622887094367</v>
      </c>
      <c r="AU218" s="22">
        <f t="shared" si="288"/>
        <v>12963.334321372369</v>
      </c>
      <c r="AV218" s="443"/>
      <c r="AW218" s="445"/>
      <c r="AX218" s="388"/>
      <c r="AY218" s="339"/>
      <c r="AZ218" s="339"/>
      <c r="BA218" s="331"/>
      <c r="BB218" s="402"/>
      <c r="BC218" s="385"/>
      <c r="BD218" s="445"/>
      <c r="BE218" s="445"/>
      <c r="BF218" s="445"/>
      <c r="BG218" s="445"/>
      <c r="BH218" s="447"/>
      <c r="BI218" s="385"/>
      <c r="BJ218" s="385"/>
      <c r="BK218" s="385"/>
      <c r="BL218" s="23">
        <f t="shared" si="289"/>
        <v>-1.4513411472296955E-3</v>
      </c>
      <c r="BM218" s="24">
        <f t="shared" si="290"/>
        <v>34.742449496317327</v>
      </c>
      <c r="BN218" s="24">
        <f t="shared" si="291"/>
        <v>4021.0608996485767</v>
      </c>
      <c r="BO218" s="24">
        <f t="shared" si="292"/>
        <v>31.41185479221825</v>
      </c>
      <c r="BP218" s="24">
        <f t="shared" si="237"/>
        <v>36.123633011050984</v>
      </c>
      <c r="BQ218" s="23">
        <f t="shared" si="238"/>
        <v>120.04820705215732</v>
      </c>
      <c r="BR218" s="23">
        <f t="shared" si="293"/>
        <v>2.3753802746204715</v>
      </c>
      <c r="BS218" s="6">
        <f t="shared" si="294"/>
        <v>289.32729184963182</v>
      </c>
      <c r="BT218" s="23">
        <f t="shared" si="295"/>
        <v>295.23193045880799</v>
      </c>
      <c r="BU218" s="22">
        <f t="shared" si="296"/>
        <v>376.57133987092851</v>
      </c>
      <c r="BV218" s="22">
        <f t="shared" si="297"/>
        <v>17.931968565282311</v>
      </c>
      <c r="BW218" s="23">
        <f t="shared" si="298"/>
        <v>3.8036503835710686E-3</v>
      </c>
      <c r="BY218" s="361"/>
      <c r="BZ218" s="366"/>
      <c r="CA218" s="361"/>
    </row>
    <row r="219" spans="3:79" ht="15.75" x14ac:dyDescent="0.3">
      <c r="C219" s="22">
        <v>64</v>
      </c>
      <c r="D219" s="379"/>
      <c r="E219" s="379"/>
      <c r="F219" s="19" t="s">
        <v>128</v>
      </c>
      <c r="G219" s="256"/>
      <c r="H219" s="54">
        <v>0.97500000000000597</v>
      </c>
      <c r="I219" s="13">
        <v>-8.6201629999999998</v>
      </c>
      <c r="J219" s="13">
        <v>115.905677</v>
      </c>
      <c r="K219" s="13">
        <f t="shared" si="258"/>
        <v>-0.15045022640859196</v>
      </c>
      <c r="L219" s="13">
        <f t="shared" si="258"/>
        <v>2.0229356854030636</v>
      </c>
      <c r="M219" s="13">
        <v>3443</v>
      </c>
      <c r="N219" s="71">
        <f t="shared" si="208"/>
        <v>0.28423201590613723</v>
      </c>
      <c r="O219" s="421"/>
      <c r="P219" s="421"/>
      <c r="Q219" s="425"/>
      <c r="R219" s="23">
        <f t="shared" si="239"/>
        <v>4.9999999999991829E-2</v>
      </c>
      <c r="S219" s="331"/>
      <c r="T219" s="23">
        <f t="shared" si="240"/>
        <v>5.6846403181236731</v>
      </c>
      <c r="U219" s="421"/>
      <c r="V219" s="22">
        <f t="shared" si="209"/>
        <v>2.9241789796428175</v>
      </c>
      <c r="W219" s="130">
        <f t="shared" si="241"/>
        <v>-8.3489211865921643E-5</v>
      </c>
      <c r="X219" s="13">
        <f t="shared" si="242"/>
        <v>1.6929693744671681E-6</v>
      </c>
      <c r="Y219" s="13">
        <f t="shared" si="243"/>
        <v>3.1213177300093009</v>
      </c>
      <c r="Z219" s="13">
        <f t="shared" si="244"/>
        <v>178.83833244888751</v>
      </c>
      <c r="AA219" s="13">
        <f t="shared" si="245"/>
        <v>181.16166755111249</v>
      </c>
      <c r="AB219" s="13">
        <v>100</v>
      </c>
      <c r="AC219" s="13">
        <v>13</v>
      </c>
      <c r="AD219" s="13">
        <f t="shared" si="230"/>
        <v>4</v>
      </c>
      <c r="AE219" s="16">
        <f t="shared" si="231"/>
        <v>81.161667551112487</v>
      </c>
      <c r="AF219" s="23">
        <f t="shared" si="281"/>
        <v>0.11102946358633684</v>
      </c>
      <c r="AG219" s="382"/>
      <c r="AH219" s="385"/>
      <c r="AI219" s="388"/>
      <c r="AJ219" s="22">
        <f t="shared" si="282"/>
        <v>2.0461915000330255</v>
      </c>
      <c r="AK219" s="22">
        <f t="shared" si="232"/>
        <v>0.33</v>
      </c>
      <c r="AL219" s="23">
        <f t="shared" si="283"/>
        <v>18.610006994007279</v>
      </c>
      <c r="AM219" s="23">
        <f t="shared" si="233"/>
        <v>12.566280581808641</v>
      </c>
      <c r="AN219" s="23">
        <f t="shared" si="284"/>
        <v>4.9702924656816325</v>
      </c>
      <c r="AO219" s="23">
        <f t="shared" si="234"/>
        <v>2.5567184443466315</v>
      </c>
      <c r="AP219" s="23">
        <f t="shared" si="235"/>
        <v>9.7077189663600669E-2</v>
      </c>
      <c r="AQ219" s="24">
        <f t="shared" si="285"/>
        <v>5.7186175233886818E-2</v>
      </c>
      <c r="AR219" s="22">
        <f t="shared" si="286"/>
        <v>152169941.95658022</v>
      </c>
      <c r="AS219" s="22">
        <f t="shared" si="236"/>
        <v>1.9622622784814443E-3</v>
      </c>
      <c r="AT219" s="23">
        <f t="shared" si="287"/>
        <v>214.90021816530427</v>
      </c>
      <c r="AU219" s="22">
        <f t="shared" si="288"/>
        <v>7958.0790723933815</v>
      </c>
      <c r="AV219" s="443"/>
      <c r="AW219" s="445"/>
      <c r="AX219" s="388"/>
      <c r="AY219" s="339"/>
      <c r="AZ219" s="339"/>
      <c r="BA219" s="331"/>
      <c r="BB219" s="402"/>
      <c r="BC219" s="385"/>
      <c r="BD219" s="445"/>
      <c r="BE219" s="445"/>
      <c r="BF219" s="445"/>
      <c r="BG219" s="445"/>
      <c r="BH219" s="447"/>
      <c r="BI219" s="385"/>
      <c r="BJ219" s="385"/>
      <c r="BK219" s="385"/>
      <c r="BL219" s="23">
        <f t="shared" si="289"/>
        <v>-1.9099111870382103E-5</v>
      </c>
      <c r="BM219" s="24">
        <f t="shared" si="290"/>
        <v>0.57758323693855729</v>
      </c>
      <c r="BN219" s="24">
        <f t="shared" si="291"/>
        <v>2380.0054213388339</v>
      </c>
      <c r="BO219" s="24">
        <f t="shared" si="292"/>
        <v>19.174226915580906</v>
      </c>
      <c r="BP219" s="24">
        <f t="shared" si="237"/>
        <v>22.050360952918041</v>
      </c>
      <c r="BQ219" s="23">
        <f t="shared" si="238"/>
        <v>56.376564552826324</v>
      </c>
      <c r="BR219" s="23">
        <f t="shared" si="293"/>
        <v>1.8274764689596685</v>
      </c>
      <c r="BS219" s="6">
        <f t="shared" si="294"/>
        <v>135.87273934685615</v>
      </c>
      <c r="BT219" s="23">
        <f t="shared" si="295"/>
        <v>138.64565239475118</v>
      </c>
      <c r="BU219" s="22">
        <f t="shared" si="296"/>
        <v>176.84394438106017</v>
      </c>
      <c r="BV219" s="22">
        <f t="shared" si="297"/>
        <v>8.4211402086219138</v>
      </c>
      <c r="BW219" s="23">
        <f t="shared" si="298"/>
        <v>1.8122547596029256E-3</v>
      </c>
      <c r="BY219" s="361"/>
      <c r="BZ219" s="366"/>
      <c r="CA219" s="361"/>
    </row>
    <row r="220" spans="3:79" ht="15.75" x14ac:dyDescent="0.3">
      <c r="C220" s="22">
        <v>65</v>
      </c>
      <c r="D220" s="379"/>
      <c r="E220" s="379"/>
      <c r="F220" s="19" t="s">
        <v>128</v>
      </c>
      <c r="G220" s="257"/>
      <c r="H220" s="54">
        <v>0.97708333333333997</v>
      </c>
      <c r="I220" s="13">
        <v>-8.6202330000000007</v>
      </c>
      <c r="J220" s="13">
        <v>115.90667000000001</v>
      </c>
      <c r="K220" s="13">
        <f t="shared" si="258"/>
        <v>-0.15045144813906836</v>
      </c>
      <c r="L220" s="13">
        <f t="shared" si="258"/>
        <v>2.022953016522536</v>
      </c>
      <c r="M220" s="13">
        <v>3443</v>
      </c>
      <c r="N220" s="71">
        <f t="shared" ref="N220:N251" si="335">2*M220*ASIN(((SIN((K220-K219)/2))^2+COS(K219)*COS(K220)*(SIN((L220-L219)/2))^2)^0.5)</f>
        <v>5.9146743008212085E-2</v>
      </c>
      <c r="O220" s="421"/>
      <c r="P220" s="421"/>
      <c r="Q220" s="425"/>
      <c r="R220" s="23">
        <f t="shared" si="239"/>
        <v>5.000000000001581E-2</v>
      </c>
      <c r="S220" s="331"/>
      <c r="T220" s="23">
        <f t="shared" si="240"/>
        <v>1.1829348601638676</v>
      </c>
      <c r="U220" s="421"/>
      <c r="V220" s="22">
        <f t="shared" ref="V220:V251" si="336">T220*0.5144</f>
        <v>0.60850169206829352</v>
      </c>
      <c r="W220" s="130">
        <f t="shared" si="241"/>
        <v>-1.2358388934802053E-6</v>
      </c>
      <c r="X220" s="13">
        <f t="shared" si="242"/>
        <v>1.7331119472441259E-5</v>
      </c>
      <c r="Y220" s="13">
        <f t="shared" si="243"/>
        <v>1.6419833389557916</v>
      </c>
      <c r="Z220" s="13">
        <f t="shared" si="244"/>
        <v>94.078715352965759</v>
      </c>
      <c r="AA220" s="13">
        <f t="shared" si="245"/>
        <v>265.92128464703421</v>
      </c>
      <c r="AB220" s="13">
        <v>100</v>
      </c>
      <c r="AC220" s="13">
        <v>13</v>
      </c>
      <c r="AD220" s="13">
        <f t="shared" si="230"/>
        <v>4</v>
      </c>
      <c r="AE220" s="16">
        <f t="shared" si="231"/>
        <v>165.92128464703421</v>
      </c>
      <c r="AF220" s="23">
        <f t="shared" ref="AF220:AF254" si="337">V220/((9.81*$D$3)^0.5)</f>
        <v>2.3104473745301821E-2</v>
      </c>
      <c r="AG220" s="382"/>
      <c r="AH220" s="385"/>
      <c r="AI220" s="388"/>
      <c r="AJ220" s="22">
        <f t="shared" ref="AJ220:AJ254" si="338">IF(AND(F220="NORMAL",AND($D$6&gt;=0.55,$D$6&lt;0.6)),1.7-1.4*AF220-7.4*AF220^2,IF(AND(F220="NORMAL",AND($D$6&gt;=0.6,$D$6&lt;0.65)),2.2-2.5*AF220-9.7*AF220^2,IF(AND(F220="NORMAL",AND($D$6&gt;=0.65,$D$6&lt;0.7)),2.6-3.7*AF220-11.6*AF220^2,IF(AND(F220="NORMAL",AND($D$6&gt;=0.7,$D$6&lt;0.75)),3.1-5.3*AF220-12.4*AF220^2,IF(AND(F220="NORMAL OR LOADED",AND($D$6&gt;=0.75,$D$6&lt;0.8)),2.4-10.6*AF220-9.5*AF220^2,IF(AND(F220="NORMAL OR LOADED",AND($D$6&gt;=0.8,$D$6&lt;0.85)),2.6-13.1*AF220-15.1*AF220^2,IF(AND(F220="NORMAL OR LOADED",AND($D$6&gt;=0.85,$D$6&lt;0.9)),3.1-18.7*AF220+28*AF220^2,IF(AND(F220="BALLAST",AND($D$6&gt;=0.75,$D$6&lt;0.8)),2.6-12.5*AF220-13.5*AF220^2,IF(AND(F220="BALLAST",AND($D$6&gt;=0.8,$D$6&lt;0.85)),IF(AND(F220="BALLAST",AND($D$6&gt;=0.85,$D$6&lt;0.9)),3.4-20.9*AF220+31.8*AF220^2))))))))))</f>
        <v>2.5083211733406343</v>
      </c>
      <c r="AK220" s="22">
        <f t="shared" si="232"/>
        <v>-3.999999999999998E-2</v>
      </c>
      <c r="AL220" s="23">
        <f t="shared" ref="AL220:AL251" si="339">IF($T$21="ALL SHIP TYPE LOADED",(0.5*AD220+AD220^6.5)/(2.2*$G$5^(2/3)),IF($T$22="ALL SHIP TYPE BALLAST",(0.7*AD220+AD220^6.5)/(2.7*J82^(2/3)),IF($T$23="CONTAINER NORMAL",(0.7*AD220+AD220^6.5)/(2.2*$G$5^(2/3)))))</f>
        <v>18.610006994007279</v>
      </c>
      <c r="AM220" s="23">
        <f t="shared" si="233"/>
        <v>-1.8671949831634289</v>
      </c>
      <c r="AN220" s="23">
        <f t="shared" ref="AN220:AN251" si="340">T220-((AM220)*0.01*T220)</f>
        <v>1.2050225605269387</v>
      </c>
      <c r="AO220" s="23">
        <f t="shared" si="234"/>
        <v>0.61986360513505723</v>
      </c>
      <c r="AP220" s="23">
        <f t="shared" si="235"/>
        <v>2.3535879319960405E-2</v>
      </c>
      <c r="AQ220" s="24">
        <f t="shared" ref="AQ220:AQ254" si="341">N220/AN220</f>
        <v>4.9083515069085579E-2</v>
      </c>
      <c r="AR220" s="22">
        <f t="shared" ref="AR220:AR254" si="342">(AO220*$D$3)/$U$3</f>
        <v>36892841.690475166</v>
      </c>
      <c r="AS220" s="22">
        <f t="shared" si="236"/>
        <v>2.420069583864743E-3</v>
      </c>
      <c r="AT220" s="23">
        <f t="shared" ref="AT220:AT251" si="343">0.5*1024*(AO220^2)*$W$5*$W$6*AS220</f>
        <v>15.578804275838511</v>
      </c>
      <c r="AU220" s="22">
        <f t="shared" ref="AU220:AU254" si="344">0.5*1024*AS220*$U$10*(AO220)^2</f>
        <v>576.90660967639349</v>
      </c>
      <c r="AV220" s="443"/>
      <c r="AW220" s="445"/>
      <c r="AX220" s="388"/>
      <c r="AY220" s="339"/>
      <c r="AZ220" s="339"/>
      <c r="BA220" s="331"/>
      <c r="BB220" s="402"/>
      <c r="BC220" s="385"/>
      <c r="BD220" s="445"/>
      <c r="BE220" s="445"/>
      <c r="BF220" s="445"/>
      <c r="BG220" s="445"/>
      <c r="BH220" s="447"/>
      <c r="BI220" s="385"/>
      <c r="BJ220" s="385"/>
      <c r="BK220" s="385"/>
      <c r="BL220" s="23">
        <f t="shared" ref="BL220:BL254" si="345">$BI$156*($G$6^2)*EXP(-0.1*(AP220^-2))</f>
        <v>-3.0766365979693999E-79</v>
      </c>
      <c r="BM220" s="24">
        <f t="shared" ref="BM220:BM251" si="346">$BC$156*$BD$156*$BG$156*($D$3*$D$4*$AI$31*$AH$156)*1025*9.81*(EXP(($BK$156*(AP220^-0.9))+(BL220*COS($Y$10*(AP220^-2)))))</f>
        <v>8.6026340448023799E-23</v>
      </c>
      <c r="BN220" s="24">
        <f t="shared" ref="BN220:BN254" si="347">0.5*1025*(AO220^2)*$AY$156*$W$3</f>
        <v>139.89571521906387</v>
      </c>
      <c r="BO220" s="24">
        <f t="shared" ref="BO220:BO251" si="348">((AU220*$U$8)+AT220+BM220+BN220)/1000</f>
        <v>1.357320684822541</v>
      </c>
      <c r="BP220" s="24">
        <f t="shared" si="237"/>
        <v>1.5609187875459221</v>
      </c>
      <c r="BQ220" s="23">
        <f t="shared" si="238"/>
        <v>0.96755674697125771</v>
      </c>
      <c r="BR220" s="23">
        <f t="shared" ref="BR220:BR254" si="349">(1-$AJ$5)*AO220</f>
        <v>0.44306253387173716</v>
      </c>
      <c r="BS220" s="6">
        <f t="shared" ref="BS220:BS254" si="350">BQ220/$AJ$11</f>
        <v>2.3319013268595317</v>
      </c>
      <c r="BT220" s="23">
        <f t="shared" ref="BT220:BT251" si="351">BS220/$AO$5</f>
        <v>2.3794911498566651</v>
      </c>
      <c r="BU220" s="22">
        <f t="shared" ref="BU220:BU251" si="352">((BT220/$AO$6)/80%)</f>
        <v>3.0350652421641136</v>
      </c>
      <c r="BV220" s="22">
        <f t="shared" ref="BV220:BV251" si="353">(BU220/$AK$19)*100</f>
        <v>0.14452691629352921</v>
      </c>
      <c r="BW220" s="23">
        <f t="shared" ref="BW220:BW254" si="354">((($AK$21*BU220*AQ220)/1000000))</f>
        <v>2.669572336245609E-5</v>
      </c>
      <c r="BY220" s="362"/>
      <c r="BZ220" s="451"/>
      <c r="CA220" s="362"/>
    </row>
    <row r="221" spans="3:79" ht="15.75" x14ac:dyDescent="0.3">
      <c r="C221" s="22">
        <v>66</v>
      </c>
      <c r="D221" s="379"/>
      <c r="E221" s="379"/>
      <c r="F221" s="19" t="s">
        <v>128</v>
      </c>
      <c r="G221" s="255">
        <v>0.97916666666666796</v>
      </c>
      <c r="H221" s="54">
        <v>0.97916666666667296</v>
      </c>
      <c r="I221" s="13">
        <v>-8.6202360000000002</v>
      </c>
      <c r="J221" s="13">
        <v>115.90705</v>
      </c>
      <c r="K221" s="13">
        <f t="shared" si="258"/>
        <v>-0.15045150049894593</v>
      </c>
      <c r="L221" s="13">
        <f t="shared" si="258"/>
        <v>2.0229596487736936</v>
      </c>
      <c r="M221" s="13">
        <v>3443</v>
      </c>
      <c r="N221" s="71">
        <f t="shared" si="335"/>
        <v>2.2577606909665645E-2</v>
      </c>
      <c r="O221" s="422"/>
      <c r="P221" s="422"/>
      <c r="Q221" s="426"/>
      <c r="R221" s="23">
        <f t="shared" si="239"/>
        <v>4.9999999999991829E-2</v>
      </c>
      <c r="S221" s="358"/>
      <c r="T221" s="23">
        <f t="shared" si="240"/>
        <v>0.45155213819338669</v>
      </c>
      <c r="U221" s="422"/>
      <c r="V221" s="22">
        <f t="shared" si="336"/>
        <v>0.23227841988667811</v>
      </c>
      <c r="W221" s="130">
        <f t="shared" si="241"/>
        <v>-5.2964529166219929E-8</v>
      </c>
      <c r="X221" s="13">
        <f t="shared" si="242"/>
        <v>6.6322511576011323E-6</v>
      </c>
      <c r="Y221" s="13">
        <f t="shared" si="243"/>
        <v>1.5787820622591808</v>
      </c>
      <c r="Z221" s="13">
        <f t="shared" si="244"/>
        <v>90.457548938411435</v>
      </c>
      <c r="AA221" s="13">
        <f t="shared" si="245"/>
        <v>269.54245106158857</v>
      </c>
      <c r="AB221" s="13">
        <v>100</v>
      </c>
      <c r="AC221" s="13">
        <v>13</v>
      </c>
      <c r="AD221" s="13">
        <f t="shared" ref="AD221:AD251" si="355">IF(AC221&lt;=0.6,0,IF(AC221&lt;=3,1,IF(AC221&lt;=6.4,2,IF(AC221&lt;=10.6,3,IF(AC221&lt;=15.5,4,IF(AC221&lt;=21,5,IF(AC221&lt;=26.9,IF(AC221&lt;=33.4,7,8))))))))</f>
        <v>4</v>
      </c>
      <c r="AE221" s="16">
        <f t="shared" ref="AE221:AE251" si="356">IF(AND(AA221&lt;=AB221,AB221&gt;AA221,(AB221-AA221)&lt;=180),AB221-AA221,IF(AND(AA221&lt;=AB221,AB221&gt;AA221,(AB221-AA221)&gt;180),360-AB221+AA221,IF(AND(AA221&lt;=180,AB221&lt;AA221),AA221-AB221,IF(AND(AA221&gt;180,AB221&lt;AA221,(AA221-AB221)&lt;=180),AA221-AB221,IF(AND(AA221&gt;180,AB221&lt;AA221,(AA221-AB221)&gt;180),360-AA221+AB221,IF(AND(AA221&gt;180,AB221&gt;AA221),AB221-AA221,0))))))</f>
        <v>169.54245106158857</v>
      </c>
      <c r="AF221" s="23">
        <f t="shared" si="337"/>
        <v>8.8194835344346644E-3</v>
      </c>
      <c r="AG221" s="382"/>
      <c r="AH221" s="385"/>
      <c r="AI221" s="388"/>
      <c r="AJ221" s="22">
        <f t="shared" si="338"/>
        <v>2.5664656247607476</v>
      </c>
      <c r="AK221" s="22">
        <f t="shared" ref="AK221:AK254" si="357">IF(AND(AE221&gt;=0,AE221&lt;=30),2/2,IF(AND(AE221&gt;=30,AE221&lt;=60),(1.7-0.03*(AD221-4)^2)/2,IF(AND(AE221&gt;=60,AE221&lt;=150),(0.9-0.06*(AD221-6)^2)/2,IF(AND(AE221&gt;=150,AE221&lt;=180),(0.4-0.03*(AD221-8)^2)/2))))</f>
        <v>-3.999999999999998E-2</v>
      </c>
      <c r="AL221" s="23">
        <f t="shared" si="339"/>
        <v>18.610006994007279</v>
      </c>
      <c r="AM221" s="23">
        <f t="shared" ref="AM221:AM254" si="358">AJ221*AK221*AL221</f>
        <v>-1.91047772906707</v>
      </c>
      <c r="AN221" s="23">
        <f t="shared" si="340"/>
        <v>0.46017894122869751</v>
      </c>
      <c r="AO221" s="23">
        <f t="shared" ref="AO221:AO254" si="359">AN221*0.5144</f>
        <v>0.236716047368042</v>
      </c>
      <c r="AP221" s="23">
        <f t="shared" ref="AP221:AP254" si="360">AO221/((9.81*$D$3)^0.5)</f>
        <v>8.9879778031787764E-3</v>
      </c>
      <c r="AQ221" s="24">
        <f t="shared" si="341"/>
        <v>4.9062668642294811E-2</v>
      </c>
      <c r="AR221" s="22">
        <f t="shared" si="342"/>
        <v>14088789.192973187</v>
      </c>
      <c r="AS221" s="22">
        <f t="shared" ref="AS221:AS254" si="361">0.075/((LOG(AR221)-2)^2)</f>
        <v>2.8290250340706011E-3</v>
      </c>
      <c r="AT221" s="23">
        <f t="shared" si="343"/>
        <v>2.6558661492654059</v>
      </c>
      <c r="AU221" s="22">
        <f t="shared" si="344"/>
        <v>98.350727616708284</v>
      </c>
      <c r="AV221" s="443"/>
      <c r="AW221" s="445"/>
      <c r="AX221" s="388"/>
      <c r="AY221" s="339"/>
      <c r="AZ221" s="339"/>
      <c r="BA221" s="331"/>
      <c r="BB221" s="402"/>
      <c r="BC221" s="385"/>
      <c r="BD221" s="445"/>
      <c r="BE221" s="445"/>
      <c r="BF221" s="445"/>
      <c r="BG221" s="445"/>
      <c r="BH221" s="447"/>
      <c r="BI221" s="385"/>
      <c r="BJ221" s="385"/>
      <c r="BK221" s="385"/>
      <c r="BL221" s="23">
        <f t="shared" si="345"/>
        <v>0</v>
      </c>
      <c r="BM221" s="24">
        <f t="shared" si="346"/>
        <v>1.5471557440211188E-64</v>
      </c>
      <c r="BN221" s="24">
        <f t="shared" si="347"/>
        <v>20.401755486654128</v>
      </c>
      <c r="BO221" s="24">
        <f t="shared" si="348"/>
        <v>0.22794770758870084</v>
      </c>
      <c r="BP221" s="24">
        <f t="shared" ref="BP221:BP254" si="362">BO221+(BO221*15%)</f>
        <v>0.26213986372700598</v>
      </c>
      <c r="BQ221" s="23">
        <f t="shared" ref="BQ221:BQ254" si="363">BP221*AO221</f>
        <v>6.2052712399054022E-2</v>
      </c>
      <c r="BR221" s="23">
        <f t="shared" si="349"/>
        <v>0.16919853155781805</v>
      </c>
      <c r="BS221" s="6">
        <f t="shared" si="350"/>
        <v>0.14955278109686465</v>
      </c>
      <c r="BT221" s="23">
        <f t="shared" si="351"/>
        <v>0.15260487867027006</v>
      </c>
      <c r="BU221" s="22">
        <f t="shared" si="352"/>
        <v>0.19464907993656896</v>
      </c>
      <c r="BV221" s="22">
        <f t="shared" si="353"/>
        <v>9.2690038065032839E-3</v>
      </c>
      <c r="BW221" s="23">
        <f t="shared" si="354"/>
        <v>1.7113605932336144E-6</v>
      </c>
      <c r="BY221" s="360">
        <f t="shared" ref="BY221" si="364">(SUM(BW221:BW225))*1000</f>
        <v>92.193597843857575</v>
      </c>
      <c r="BZ221" s="365">
        <v>100</v>
      </c>
      <c r="CA221" s="360">
        <f t="shared" ref="CA221" si="365">AVERAGE(AN221:AN225)</f>
        <v>8.1127250010714711</v>
      </c>
    </row>
    <row r="222" spans="3:79" ht="15.75" x14ac:dyDescent="0.3">
      <c r="C222" s="22">
        <v>67</v>
      </c>
      <c r="D222" s="379"/>
      <c r="E222" s="379"/>
      <c r="F222" s="19" t="s">
        <v>128</v>
      </c>
      <c r="G222" s="256"/>
      <c r="H222" s="54">
        <v>0.98125000000000695</v>
      </c>
      <c r="I222" s="13">
        <v>-8.6253530000000005</v>
      </c>
      <c r="J222" s="13">
        <v>115.91876600000001</v>
      </c>
      <c r="K222" s="13">
        <f t="shared" si="258"/>
        <v>-0.15054080899677047</v>
      </c>
      <c r="L222" s="13">
        <f t="shared" si="258"/>
        <v>2.0231641315488571</v>
      </c>
      <c r="M222" s="13">
        <v>3443</v>
      </c>
      <c r="N222" s="71">
        <f t="shared" si="335"/>
        <v>0.76096773010866747</v>
      </c>
      <c r="O222" s="420">
        <f t="shared" ref="O222" si="366">SUM(N222:N226)</f>
        <v>2.5335072060656367</v>
      </c>
      <c r="P222" s="423">
        <v>2.31</v>
      </c>
      <c r="Q222" s="424">
        <f t="shared" ref="Q222" si="367">ABS((O222-P222)/O222)*100%</f>
        <v>8.8220473788479206E-2</v>
      </c>
      <c r="R222" s="23">
        <f t="shared" ref="R222:R251" si="368">(H222-H221)*24</f>
        <v>5.000000000001581E-2</v>
      </c>
      <c r="S222" s="357">
        <f t="shared" ref="S222" si="369">+SUM(R222:R226)</f>
        <v>0.25000000000000977</v>
      </c>
      <c r="T222" s="23">
        <f t="shared" ref="T222:T251" si="370">N222/R222</f>
        <v>15.219354602168536</v>
      </c>
      <c r="U222" s="420">
        <f t="shared" ref="U222" si="371">AVERAGE(T222:T226)</f>
        <v>10.134028824261756</v>
      </c>
      <c r="V222" s="22">
        <f t="shared" si="336"/>
        <v>7.8288360073554948</v>
      </c>
      <c r="W222" s="130">
        <f t="shared" ref="W222:W251" si="372">LN(TAN((K222/2)+(3.14/4))/(TAN((K221/2)+(3.14/4))))</f>
        <v>-9.0340447200129161E-5</v>
      </c>
      <c r="X222" s="13">
        <f t="shared" ref="X222:X251" si="373">ABS(L221-L222)</f>
        <v>2.0448277516349478E-4</v>
      </c>
      <c r="Y222" s="13">
        <f t="shared" ref="Y222:Y251" si="374">ATAN2(W222,X222)</f>
        <v>1.9868100677518803</v>
      </c>
      <c r="Z222" s="13">
        <f t="shared" ref="Z222:Z251" si="375">DEGREES(Y222)</f>
        <v>113.83583157628388</v>
      </c>
      <c r="AA222" s="13">
        <f t="shared" ref="AA222:AA251" si="376">360-Z222</f>
        <v>246.16416842371612</v>
      </c>
      <c r="AB222" s="13">
        <v>100</v>
      </c>
      <c r="AC222" s="13">
        <v>13</v>
      </c>
      <c r="AD222" s="13">
        <f t="shared" si="355"/>
        <v>4</v>
      </c>
      <c r="AE222" s="16">
        <f t="shared" si="356"/>
        <v>146.16416842371612</v>
      </c>
      <c r="AF222" s="23">
        <f t="shared" si="337"/>
        <v>0.29725658670463956</v>
      </c>
      <c r="AG222" s="382"/>
      <c r="AH222" s="385"/>
      <c r="AI222" s="388"/>
      <c r="AJ222" s="22">
        <f t="shared" si="338"/>
        <v>0.47515748045703621</v>
      </c>
      <c r="AK222" s="22">
        <f t="shared" si="357"/>
        <v>0.33</v>
      </c>
      <c r="AL222" s="23">
        <f t="shared" si="339"/>
        <v>18.610006994007279</v>
      </c>
      <c r="AM222" s="23">
        <f t="shared" si="358"/>
        <v>2.918085731404906</v>
      </c>
      <c r="AN222" s="23">
        <f t="shared" si="340"/>
        <v>14.775240787110741</v>
      </c>
      <c r="AO222" s="23">
        <f t="shared" si="359"/>
        <v>7.6003838608897647</v>
      </c>
      <c r="AP222" s="23">
        <f t="shared" si="360"/>
        <v>0.2885823846623502</v>
      </c>
      <c r="AQ222" s="24">
        <f t="shared" si="341"/>
        <v>5.150289873938986E-2</v>
      </c>
      <c r="AR222" s="22">
        <f t="shared" si="342"/>
        <v>452357189.94270432</v>
      </c>
      <c r="AS222" s="22">
        <f t="shared" si="361"/>
        <v>1.6931767743931041E-3</v>
      </c>
      <c r="AT222" s="23">
        <f t="shared" si="343"/>
        <v>1638.654325988701</v>
      </c>
      <c r="AU222" s="22">
        <f t="shared" si="344"/>
        <v>60681.840204120199</v>
      </c>
      <c r="AV222" s="443"/>
      <c r="AW222" s="445"/>
      <c r="AX222" s="388"/>
      <c r="AY222" s="339"/>
      <c r="AZ222" s="339"/>
      <c r="BA222" s="331"/>
      <c r="BB222" s="402"/>
      <c r="BC222" s="385"/>
      <c r="BD222" s="445"/>
      <c r="BE222" s="445"/>
      <c r="BF222" s="445"/>
      <c r="BG222" s="445"/>
      <c r="BH222" s="447"/>
      <c r="BI222" s="385"/>
      <c r="BJ222" s="385"/>
      <c r="BK222" s="385"/>
      <c r="BL222" s="23">
        <f t="shared" si="345"/>
        <v>-0.23330396647390542</v>
      </c>
      <c r="BM222" s="24">
        <f t="shared" si="346"/>
        <v>116175.36055715136</v>
      </c>
      <c r="BN222" s="24">
        <f t="shared" si="347"/>
        <v>21032.126804829753</v>
      </c>
      <c r="BO222" s="24">
        <f t="shared" si="348"/>
        <v>265.26216073003872</v>
      </c>
      <c r="BP222" s="24">
        <f t="shared" si="362"/>
        <v>305.05148483954451</v>
      </c>
      <c r="BQ222" s="23">
        <f t="shared" si="363"/>
        <v>2318.5083821149328</v>
      </c>
      <c r="BR222" s="23">
        <f t="shared" si="349"/>
        <v>5.4325585562810543</v>
      </c>
      <c r="BS222" s="6">
        <f t="shared" si="350"/>
        <v>5587.8198250519399</v>
      </c>
      <c r="BT222" s="23">
        <f t="shared" si="351"/>
        <v>5701.8569643387145</v>
      </c>
      <c r="BU222" s="22">
        <f t="shared" si="352"/>
        <v>7272.7767402279524</v>
      </c>
      <c r="BV222" s="22">
        <f t="shared" si="353"/>
        <v>346.32270191561673</v>
      </c>
      <c r="BW222" s="23">
        <f t="shared" si="354"/>
        <v>6.7122779853902109E-2</v>
      </c>
      <c r="BY222" s="361"/>
      <c r="BZ222" s="366"/>
      <c r="CA222" s="361"/>
    </row>
    <row r="223" spans="3:79" ht="15.75" x14ac:dyDescent="0.3">
      <c r="C223" s="22">
        <v>68</v>
      </c>
      <c r="D223" s="379"/>
      <c r="E223" s="379"/>
      <c r="F223" s="19" t="s">
        <v>128</v>
      </c>
      <c r="G223" s="256"/>
      <c r="H223" s="54">
        <v>0.98333333333334005</v>
      </c>
      <c r="I223" s="13">
        <v>-8.6294599999999999</v>
      </c>
      <c r="J223" s="13">
        <v>115.92623500000001</v>
      </c>
      <c r="K223" s="13">
        <f t="shared" si="258"/>
        <v>-0.15061248966914986</v>
      </c>
      <c r="L223" s="13">
        <f t="shared" si="258"/>
        <v>2.0232944901906889</v>
      </c>
      <c r="M223" s="13">
        <v>3443</v>
      </c>
      <c r="N223" s="71">
        <f t="shared" si="335"/>
        <v>0.50775905716714564</v>
      </c>
      <c r="O223" s="421"/>
      <c r="P223" s="421"/>
      <c r="Q223" s="425"/>
      <c r="R223" s="23">
        <f t="shared" si="368"/>
        <v>4.9999999999994493E-2</v>
      </c>
      <c r="S223" s="331"/>
      <c r="T223" s="23">
        <f t="shared" si="370"/>
        <v>10.155181143344031</v>
      </c>
      <c r="U223" s="421"/>
      <c r="V223" s="22">
        <f t="shared" si="336"/>
        <v>5.2238251801361688</v>
      </c>
      <c r="W223" s="130">
        <f t="shared" si="372"/>
        <v>-7.2509824334730582E-5</v>
      </c>
      <c r="X223" s="13">
        <f t="shared" si="373"/>
        <v>1.303586418317515E-4</v>
      </c>
      <c r="Y223" s="13">
        <f t="shared" si="374"/>
        <v>2.0784126210978018</v>
      </c>
      <c r="Z223" s="13">
        <f t="shared" si="375"/>
        <v>119.08427127562716</v>
      </c>
      <c r="AA223" s="13">
        <f t="shared" si="376"/>
        <v>240.91572872437285</v>
      </c>
      <c r="AB223" s="13">
        <v>100</v>
      </c>
      <c r="AC223" s="13">
        <v>13</v>
      </c>
      <c r="AD223" s="13">
        <f t="shared" si="355"/>
        <v>4</v>
      </c>
      <c r="AE223" s="16">
        <f t="shared" si="356"/>
        <v>140.91572872437285</v>
      </c>
      <c r="AF223" s="23">
        <f t="shared" si="337"/>
        <v>0.19834576188977457</v>
      </c>
      <c r="AG223" s="382"/>
      <c r="AH223" s="385"/>
      <c r="AI223" s="388"/>
      <c r="AJ223" s="22">
        <f t="shared" si="338"/>
        <v>1.4097646023960664</v>
      </c>
      <c r="AK223" s="22">
        <f t="shared" si="357"/>
        <v>0.33</v>
      </c>
      <c r="AL223" s="23">
        <f t="shared" si="339"/>
        <v>18.610006994007279</v>
      </c>
      <c r="AM223" s="23">
        <f t="shared" si="358"/>
        <v>8.6577906064632462</v>
      </c>
      <c r="AN223" s="23">
        <f t="shared" si="340"/>
        <v>9.2759668242462645</v>
      </c>
      <c r="AO223" s="23">
        <f t="shared" si="359"/>
        <v>4.7715573343922779</v>
      </c>
      <c r="AP223" s="23">
        <f t="shared" si="360"/>
        <v>0.1811734011485637</v>
      </c>
      <c r="AQ223" s="24">
        <f t="shared" si="341"/>
        <v>5.4739205819486589E-2</v>
      </c>
      <c r="AR223" s="22">
        <f t="shared" si="342"/>
        <v>283992007.10679704</v>
      </c>
      <c r="AS223" s="22">
        <f t="shared" si="361"/>
        <v>1.8009295746841626E-3</v>
      </c>
      <c r="AT223" s="23">
        <f t="shared" si="343"/>
        <v>686.95931281014714</v>
      </c>
      <c r="AU223" s="22">
        <f t="shared" si="344"/>
        <v>25439.139045708052</v>
      </c>
      <c r="AV223" s="443"/>
      <c r="AW223" s="445"/>
      <c r="AX223" s="388"/>
      <c r="AY223" s="339"/>
      <c r="AZ223" s="339"/>
      <c r="BA223" s="331"/>
      <c r="BB223" s="402"/>
      <c r="BC223" s="385"/>
      <c r="BD223" s="445"/>
      <c r="BE223" s="445"/>
      <c r="BF223" s="445"/>
      <c r="BG223" s="445"/>
      <c r="BH223" s="447"/>
      <c r="BI223" s="385"/>
      <c r="BJ223" s="385"/>
      <c r="BK223" s="385"/>
      <c r="BL223" s="23">
        <f t="shared" si="345"/>
        <v>-3.6838515433557623E-2</v>
      </c>
      <c r="BM223" s="24">
        <f t="shared" si="346"/>
        <v>2523.9957446848389</v>
      </c>
      <c r="BN223" s="24">
        <f t="shared" si="347"/>
        <v>8289.5781572474698</v>
      </c>
      <c r="BO223" s="24">
        <f t="shared" si="348"/>
        <v>64.496860867273227</v>
      </c>
      <c r="BP223" s="24">
        <f t="shared" si="362"/>
        <v>74.171389997364216</v>
      </c>
      <c r="BQ223" s="23">
        <f t="shared" si="363"/>
        <v>353.91303994399328</v>
      </c>
      <c r="BR223" s="23">
        <f t="shared" si="349"/>
        <v>3.410586241193319</v>
      </c>
      <c r="BS223" s="6">
        <f t="shared" si="350"/>
        <v>852.96318796979506</v>
      </c>
      <c r="BT223" s="23">
        <f t="shared" si="351"/>
        <v>870.37059996917867</v>
      </c>
      <c r="BU223" s="22">
        <f t="shared" si="352"/>
        <v>1110.16658159334</v>
      </c>
      <c r="BV223" s="22">
        <f t="shared" si="353"/>
        <v>52.865075313968568</v>
      </c>
      <c r="BW223" s="23">
        <f t="shared" si="354"/>
        <v>1.0889918951072662E-2</v>
      </c>
      <c r="BY223" s="361"/>
      <c r="BZ223" s="366"/>
      <c r="CA223" s="361"/>
    </row>
    <row r="224" spans="3:79" ht="15.75" x14ac:dyDescent="0.3">
      <c r="C224" s="22">
        <v>69</v>
      </c>
      <c r="D224" s="379"/>
      <c r="E224" s="379"/>
      <c r="F224" s="19" t="s">
        <v>128</v>
      </c>
      <c r="G224" s="256"/>
      <c r="H224" s="54">
        <v>0.98541666666667405</v>
      </c>
      <c r="I224" s="13">
        <v>-8.6347330000000007</v>
      </c>
      <c r="J224" s="13">
        <v>115.931822</v>
      </c>
      <c r="K224" s="13">
        <f t="shared" si="258"/>
        <v>-0.15070452088060754</v>
      </c>
      <c r="L224" s="13">
        <f t="shared" si="258"/>
        <v>2.0233920017359974</v>
      </c>
      <c r="M224" s="13">
        <v>3443</v>
      </c>
      <c r="N224" s="71">
        <f t="shared" si="335"/>
        <v>0.45888938328674883</v>
      </c>
      <c r="O224" s="421"/>
      <c r="P224" s="421"/>
      <c r="Q224" s="425"/>
      <c r="R224" s="23">
        <f t="shared" si="368"/>
        <v>5.000000000001581E-2</v>
      </c>
      <c r="S224" s="331"/>
      <c r="T224" s="23">
        <f t="shared" si="370"/>
        <v>9.1777876657320743</v>
      </c>
      <c r="U224" s="421"/>
      <c r="V224" s="22">
        <f t="shared" si="336"/>
        <v>4.7210539752525786</v>
      </c>
      <c r="W224" s="130">
        <f t="shared" si="372"/>
        <v>-9.3096926996997004E-5</v>
      </c>
      <c r="X224" s="13">
        <f t="shared" si="373"/>
        <v>9.7511545308570646E-5</v>
      </c>
      <c r="Y224" s="13">
        <f t="shared" si="374"/>
        <v>2.3330379685829614</v>
      </c>
      <c r="Z224" s="13">
        <f t="shared" si="375"/>
        <v>133.67322904357883</v>
      </c>
      <c r="AA224" s="13">
        <f t="shared" si="376"/>
        <v>226.32677095642117</v>
      </c>
      <c r="AB224" s="13">
        <v>100</v>
      </c>
      <c r="AC224" s="13">
        <v>13</v>
      </c>
      <c r="AD224" s="13">
        <f t="shared" si="355"/>
        <v>4</v>
      </c>
      <c r="AE224" s="16">
        <f t="shared" si="356"/>
        <v>126.32677095642117</v>
      </c>
      <c r="AF224" s="23">
        <f t="shared" si="337"/>
        <v>0.17925581644748159</v>
      </c>
      <c r="AG224" s="382"/>
      <c r="AH224" s="385"/>
      <c r="AI224" s="388"/>
      <c r="AJ224" s="22">
        <f t="shared" si="338"/>
        <v>1.5640147654733809</v>
      </c>
      <c r="AK224" s="22">
        <f t="shared" si="357"/>
        <v>0.33</v>
      </c>
      <c r="AL224" s="23">
        <f t="shared" si="339"/>
        <v>18.610006994007279</v>
      </c>
      <c r="AM224" s="23">
        <f t="shared" si="358"/>
        <v>9.6050874889827913</v>
      </c>
      <c r="AN224" s="23">
        <f t="shared" si="340"/>
        <v>8.2962531308854377</v>
      </c>
      <c r="AO224" s="23">
        <f t="shared" si="359"/>
        <v>4.2675926105274691</v>
      </c>
      <c r="AP224" s="23">
        <f t="shared" si="360"/>
        <v>0.16203813844861062</v>
      </c>
      <c r="AQ224" s="24">
        <f t="shared" si="341"/>
        <v>5.5312847383885547E-2</v>
      </c>
      <c r="AR224" s="22">
        <f t="shared" si="342"/>
        <v>253997197.56949985</v>
      </c>
      <c r="AS224" s="22">
        <f t="shared" si="361"/>
        <v>1.8282946785991381E-3</v>
      </c>
      <c r="AT224" s="23">
        <f t="shared" si="343"/>
        <v>557.86112239609736</v>
      </c>
      <c r="AU224" s="22">
        <f t="shared" si="344"/>
        <v>20658.438420138493</v>
      </c>
      <c r="AV224" s="443"/>
      <c r="AW224" s="445"/>
      <c r="AX224" s="388"/>
      <c r="AY224" s="339"/>
      <c r="AZ224" s="339"/>
      <c r="BA224" s="331"/>
      <c r="BB224" s="402"/>
      <c r="BC224" s="385"/>
      <c r="BD224" s="445"/>
      <c r="BE224" s="445"/>
      <c r="BF224" s="445"/>
      <c r="BG224" s="445"/>
      <c r="BH224" s="447"/>
      <c r="BI224" s="385"/>
      <c r="BJ224" s="385"/>
      <c r="BK224" s="385"/>
      <c r="BL224" s="23">
        <f t="shared" si="345"/>
        <v>-1.7193172820214195E-2</v>
      </c>
      <c r="BM224" s="24">
        <f t="shared" si="346"/>
        <v>761.87679713579223</v>
      </c>
      <c r="BN224" s="24">
        <f t="shared" si="347"/>
        <v>6630.9850120542278</v>
      </c>
      <c r="BO224" s="24">
        <f t="shared" si="348"/>
        <v>50.987610671228452</v>
      </c>
      <c r="BP224" s="24">
        <f t="shared" si="362"/>
        <v>58.635752271912722</v>
      </c>
      <c r="BQ224" s="23">
        <f t="shared" si="363"/>
        <v>250.23350310833399</v>
      </c>
      <c r="BR224" s="23">
        <f t="shared" si="349"/>
        <v>3.0503652414640929</v>
      </c>
      <c r="BS224" s="6">
        <f t="shared" si="350"/>
        <v>603.0859065885536</v>
      </c>
      <c r="BT224" s="23">
        <f t="shared" si="351"/>
        <v>615.39378223321796</v>
      </c>
      <c r="BU224" s="22">
        <f t="shared" si="352"/>
        <v>784.94104876685958</v>
      </c>
      <c r="BV224" s="22">
        <f t="shared" si="353"/>
        <v>37.378145179374265</v>
      </c>
      <c r="BW224" s="23">
        <f t="shared" si="354"/>
        <v>7.7803845388932751E-3</v>
      </c>
      <c r="BY224" s="361"/>
      <c r="BZ224" s="366"/>
      <c r="CA224" s="361"/>
    </row>
    <row r="225" spans="3:79" ht="15.75" x14ac:dyDescent="0.3">
      <c r="C225" s="22">
        <v>70</v>
      </c>
      <c r="D225" s="379"/>
      <c r="E225" s="379"/>
      <c r="F225" s="19" t="s">
        <v>128</v>
      </c>
      <c r="G225" s="257"/>
      <c r="H225" s="54">
        <v>0.98750000000000704</v>
      </c>
      <c r="I225" s="13">
        <v>-8.6389870000000002</v>
      </c>
      <c r="J225" s="13">
        <v>115.93767200000001</v>
      </c>
      <c r="K225" s="13">
        <f t="shared" si="258"/>
        <v>-0.15077876718698738</v>
      </c>
      <c r="L225" s="13">
        <f t="shared" si="258"/>
        <v>2.0234941034972396</v>
      </c>
      <c r="M225" s="13">
        <v>3443</v>
      </c>
      <c r="N225" s="71">
        <f t="shared" si="335"/>
        <v>0.43143675052575658</v>
      </c>
      <c r="O225" s="421"/>
      <c r="P225" s="421"/>
      <c r="Q225" s="425"/>
      <c r="R225" s="23">
        <f t="shared" si="368"/>
        <v>4.9999999999991829E-2</v>
      </c>
      <c r="S225" s="331"/>
      <c r="T225" s="23">
        <f t="shared" si="370"/>
        <v>8.6287350105165412</v>
      </c>
      <c r="U225" s="421"/>
      <c r="V225" s="22">
        <f t="shared" si="336"/>
        <v>4.4386212894097081</v>
      </c>
      <c r="W225" s="130">
        <f t="shared" si="372"/>
        <v>-7.5107027134932414E-5</v>
      </c>
      <c r="X225" s="13">
        <f t="shared" si="373"/>
        <v>1.0210176124214598E-4</v>
      </c>
      <c r="Y225" s="13">
        <f t="shared" si="374"/>
        <v>2.2050237321512416</v>
      </c>
      <c r="Z225" s="13">
        <f t="shared" si="375"/>
        <v>126.33855357845142</v>
      </c>
      <c r="AA225" s="13">
        <f t="shared" si="376"/>
        <v>233.66144642154859</v>
      </c>
      <c r="AB225" s="13">
        <v>100</v>
      </c>
      <c r="AC225" s="13">
        <v>13</v>
      </c>
      <c r="AD225" s="13">
        <f t="shared" si="355"/>
        <v>4</v>
      </c>
      <c r="AE225" s="16">
        <f t="shared" si="356"/>
        <v>133.66144642154859</v>
      </c>
      <c r="AF225" s="23">
        <f t="shared" si="337"/>
        <v>0.16853200308766714</v>
      </c>
      <c r="AG225" s="382"/>
      <c r="AH225" s="385"/>
      <c r="AI225" s="388"/>
      <c r="AJ225" s="22">
        <f t="shared" si="338"/>
        <v>1.6469563702246308</v>
      </c>
      <c r="AK225" s="22">
        <f t="shared" si="357"/>
        <v>0.33</v>
      </c>
      <c r="AL225" s="23">
        <f t="shared" si="339"/>
        <v>18.610006994007279</v>
      </c>
      <c r="AM225" s="23">
        <f t="shared" si="358"/>
        <v>10.114456957672722</v>
      </c>
      <c r="AN225" s="23">
        <f t="shared" si="340"/>
        <v>7.7559853218862091</v>
      </c>
      <c r="AO225" s="23">
        <f t="shared" si="359"/>
        <v>3.9896788495782656</v>
      </c>
      <c r="AP225" s="23">
        <f t="shared" si="360"/>
        <v>0.1514859061754614</v>
      </c>
      <c r="AQ225" s="24">
        <f t="shared" si="341"/>
        <v>5.5626297964786985E-2</v>
      </c>
      <c r="AR225" s="22">
        <f t="shared" si="342"/>
        <v>237456416.17603576</v>
      </c>
      <c r="AS225" s="22">
        <f t="shared" si="361"/>
        <v>1.8451060448594462E-3</v>
      </c>
      <c r="AT225" s="23">
        <f t="shared" si="343"/>
        <v>492.05222578292432</v>
      </c>
      <c r="AU225" s="22">
        <f t="shared" si="344"/>
        <v>18221.435761947861</v>
      </c>
      <c r="AV225" s="443"/>
      <c r="AW225" s="445"/>
      <c r="AX225" s="388"/>
      <c r="AY225" s="339"/>
      <c r="AZ225" s="339"/>
      <c r="BA225" s="331"/>
      <c r="BB225" s="402"/>
      <c r="BC225" s="385"/>
      <c r="BD225" s="445"/>
      <c r="BE225" s="445"/>
      <c r="BF225" s="445"/>
      <c r="BG225" s="445"/>
      <c r="BH225" s="447"/>
      <c r="BI225" s="385"/>
      <c r="BJ225" s="385"/>
      <c r="BK225" s="385"/>
      <c r="BL225" s="23">
        <f t="shared" si="345"/>
        <v>-9.9287202251090358E-3</v>
      </c>
      <c r="BM225" s="24">
        <f t="shared" si="346"/>
        <v>354.39342605857786</v>
      </c>
      <c r="BN225" s="24">
        <f t="shared" si="347"/>
        <v>5795.4613546524297</v>
      </c>
      <c r="BO225" s="24">
        <f t="shared" si="348"/>
        <v>44.601885848728081</v>
      </c>
      <c r="BP225" s="24">
        <f t="shared" si="362"/>
        <v>51.292168726037289</v>
      </c>
      <c r="BQ225" s="23">
        <f t="shared" si="363"/>
        <v>204.63928071527076</v>
      </c>
      <c r="BR225" s="23">
        <f t="shared" si="349"/>
        <v>2.8517196457170257</v>
      </c>
      <c r="BS225" s="6">
        <f t="shared" si="350"/>
        <v>493.19960996736836</v>
      </c>
      <c r="BT225" s="23">
        <f t="shared" si="351"/>
        <v>503.26490812996775</v>
      </c>
      <c r="BU225" s="22">
        <f t="shared" si="352"/>
        <v>641.91952567597923</v>
      </c>
      <c r="BV225" s="22">
        <f t="shared" si="353"/>
        <v>30.567596460760914</v>
      </c>
      <c r="BW225" s="23">
        <f t="shared" si="354"/>
        <v>6.3988031393962808E-3</v>
      </c>
      <c r="BY225" s="362"/>
      <c r="BZ225" s="451"/>
      <c r="CA225" s="362"/>
    </row>
    <row r="226" spans="3:79" ht="15.75" x14ac:dyDescent="0.3">
      <c r="C226" s="22">
        <v>71</v>
      </c>
      <c r="D226" s="379"/>
      <c r="E226" s="379"/>
      <c r="F226" s="19" t="s">
        <v>128</v>
      </c>
      <c r="G226" s="255">
        <v>0.98958333333333504</v>
      </c>
      <c r="H226" s="54">
        <v>0.98958333333334003</v>
      </c>
      <c r="I226" s="13">
        <v>-8.6427899999999998</v>
      </c>
      <c r="J226" s="13">
        <v>115.94266500000001</v>
      </c>
      <c r="K226" s="13">
        <f t="shared" si="258"/>
        <v>-0.15084514205844071</v>
      </c>
      <c r="L226" s="13">
        <f t="shared" si="258"/>
        <v>2.0235812477867916</v>
      </c>
      <c r="M226" s="13">
        <v>3443</v>
      </c>
      <c r="N226" s="71">
        <f t="shared" si="335"/>
        <v>0.37445428497731842</v>
      </c>
      <c r="O226" s="422"/>
      <c r="P226" s="422"/>
      <c r="Q226" s="426"/>
      <c r="R226" s="23">
        <f t="shared" si="368"/>
        <v>4.9999999999991829E-2</v>
      </c>
      <c r="S226" s="358"/>
      <c r="T226" s="23">
        <f t="shared" si="370"/>
        <v>7.4890856995475925</v>
      </c>
      <c r="U226" s="422"/>
      <c r="V226" s="22">
        <f t="shared" si="336"/>
        <v>3.8523856838472814</v>
      </c>
      <c r="W226" s="130">
        <f t="shared" si="372"/>
        <v>-6.7145061532728899E-5</v>
      </c>
      <c r="X226" s="13">
        <f t="shared" si="373"/>
        <v>8.7144289552032461E-5</v>
      </c>
      <c r="Y226" s="13">
        <f t="shared" si="374"/>
        <v>2.2272916443306241</v>
      </c>
      <c r="Z226" s="13">
        <f t="shared" si="375"/>
        <v>127.61441096489801</v>
      </c>
      <c r="AA226" s="13">
        <f t="shared" si="376"/>
        <v>232.38558903510199</v>
      </c>
      <c r="AB226" s="13">
        <v>100</v>
      </c>
      <c r="AC226" s="13">
        <v>13</v>
      </c>
      <c r="AD226" s="13">
        <f t="shared" si="355"/>
        <v>4</v>
      </c>
      <c r="AE226" s="16">
        <f t="shared" si="356"/>
        <v>132.38558903510199</v>
      </c>
      <c r="AF226" s="23">
        <f t="shared" si="337"/>
        <v>0.1462729603703988</v>
      </c>
      <c r="AG226" s="382"/>
      <c r="AH226" s="385"/>
      <c r="AI226" s="388"/>
      <c r="AJ226" s="22">
        <f t="shared" si="338"/>
        <v>1.8105990109774894</v>
      </c>
      <c r="AK226" s="22">
        <f t="shared" si="357"/>
        <v>0.33</v>
      </c>
      <c r="AL226" s="23">
        <f t="shared" si="339"/>
        <v>18.610006994007279</v>
      </c>
      <c r="AM226" s="23">
        <f t="shared" si="358"/>
        <v>11.119435885019135</v>
      </c>
      <c r="AN226" s="23">
        <f t="shared" si="340"/>
        <v>6.6563416168122611</v>
      </c>
      <c r="AO226" s="23">
        <f t="shared" si="359"/>
        <v>3.424022127688227</v>
      </c>
      <c r="AP226" s="23">
        <f t="shared" si="360"/>
        <v>0.13000823232489286</v>
      </c>
      <c r="AQ226" s="24">
        <f t="shared" si="341"/>
        <v>5.6255268514395378E-2</v>
      </c>
      <c r="AR226" s="22">
        <f t="shared" si="342"/>
        <v>203789842.24112079</v>
      </c>
      <c r="AS226" s="22">
        <f t="shared" si="361"/>
        <v>1.8841482824481141E-3</v>
      </c>
      <c r="AT226" s="23">
        <f t="shared" si="343"/>
        <v>370.08560777231435</v>
      </c>
      <c r="AU226" s="22">
        <f t="shared" si="344"/>
        <v>13704.828014373508</v>
      </c>
      <c r="AV226" s="443"/>
      <c r="AW226" s="445"/>
      <c r="AX226" s="388"/>
      <c r="AY226" s="339"/>
      <c r="AZ226" s="339"/>
      <c r="BA226" s="331"/>
      <c r="BB226" s="402"/>
      <c r="BC226" s="385"/>
      <c r="BD226" s="445"/>
      <c r="BE226" s="445"/>
      <c r="BF226" s="445"/>
      <c r="BG226" s="445"/>
      <c r="BH226" s="447"/>
      <c r="BI226" s="385"/>
      <c r="BJ226" s="385"/>
      <c r="BK226" s="385"/>
      <c r="BL226" s="23">
        <f t="shared" si="345"/>
        <v>-2.0890370983937165E-3</v>
      </c>
      <c r="BM226" s="24">
        <f t="shared" si="346"/>
        <v>52.250599493593818</v>
      </c>
      <c r="BN226" s="24">
        <f t="shared" si="347"/>
        <v>4268.5980596297031</v>
      </c>
      <c r="BO226" s="24">
        <f t="shared" si="348"/>
        <v>33.241647188678201</v>
      </c>
      <c r="BP226" s="24">
        <f t="shared" si="362"/>
        <v>38.227894266979931</v>
      </c>
      <c r="BQ226" s="23">
        <f t="shared" si="363"/>
        <v>130.89315586506521</v>
      </c>
      <c r="BR226" s="23">
        <f t="shared" si="349"/>
        <v>2.4474027953228568</v>
      </c>
      <c r="BS226" s="6">
        <f t="shared" si="350"/>
        <v>315.46462240487506</v>
      </c>
      <c r="BT226" s="23">
        <f t="shared" si="351"/>
        <v>321.90267592334192</v>
      </c>
      <c r="BU226" s="22">
        <f t="shared" si="352"/>
        <v>410.59014786140551</v>
      </c>
      <c r="BV226" s="22">
        <f t="shared" si="353"/>
        <v>19.551911802924071</v>
      </c>
      <c r="BW226" s="23">
        <f t="shared" si="354"/>
        <v>4.1391363359017134E-3</v>
      </c>
      <c r="BY226" s="360">
        <f t="shared" ref="BY226" si="377">(SUM(BW226:BW230))*1000</f>
        <v>48.621090424469209</v>
      </c>
      <c r="BZ226" s="365">
        <v>50</v>
      </c>
      <c r="CA226" s="360">
        <f t="shared" ref="CA226" si="378">AVERAGE(AN226:AN230)</f>
        <v>8.7354676867907095</v>
      </c>
    </row>
    <row r="227" spans="3:79" ht="15.75" x14ac:dyDescent="0.3">
      <c r="C227" s="22">
        <v>72</v>
      </c>
      <c r="D227" s="379"/>
      <c r="E227" s="379"/>
      <c r="F227" s="19" t="s">
        <v>128</v>
      </c>
      <c r="G227" s="256"/>
      <c r="H227" s="54">
        <v>0.99166666666667402</v>
      </c>
      <c r="I227" s="13">
        <v>-8.6477459999999997</v>
      </c>
      <c r="J227" s="13">
        <v>115.949895</v>
      </c>
      <c r="K227" s="13">
        <f t="shared" si="258"/>
        <v>-0.15093164057616956</v>
      </c>
      <c r="L227" s="13">
        <f t="shared" si="258"/>
        <v>2.0237074350917106</v>
      </c>
      <c r="M227" s="13">
        <v>3443</v>
      </c>
      <c r="N227" s="71">
        <f t="shared" si="335"/>
        <v>0.5226723851847126</v>
      </c>
      <c r="O227" s="420">
        <f t="shared" ref="O227" si="379">SUM(N227:N231)</f>
        <v>2.490679542002523</v>
      </c>
      <c r="P227" s="423">
        <v>2.48</v>
      </c>
      <c r="Q227" s="424">
        <f t="shared" ref="Q227" si="380">ABS((O227-P227)/O227)*100%</f>
        <v>4.2878025143036043E-3</v>
      </c>
      <c r="R227" s="23">
        <f t="shared" si="368"/>
        <v>5.000000000001581E-2</v>
      </c>
      <c r="S227" s="357">
        <f t="shared" ref="S227" si="381">+SUM(R227:R231)</f>
        <v>0.25000000000007905</v>
      </c>
      <c r="T227" s="23">
        <f t="shared" si="370"/>
        <v>10.453447703690946</v>
      </c>
      <c r="U227" s="420">
        <f t="shared" ref="U227" si="382">AVERAGE(T227:T231)</f>
        <v>9.9627181680069743</v>
      </c>
      <c r="V227" s="22">
        <f t="shared" si="336"/>
        <v>5.3772534987786225</v>
      </c>
      <c r="W227" s="130">
        <f t="shared" si="372"/>
        <v>-8.7503237479244188E-5</v>
      </c>
      <c r="X227" s="13">
        <f t="shared" si="373"/>
        <v>1.2618730491897878E-4</v>
      </c>
      <c r="Y227" s="13">
        <f t="shared" si="374"/>
        <v>2.1771055579635652</v>
      </c>
      <c r="Z227" s="13">
        <f t="shared" si="375"/>
        <v>124.7389600257865</v>
      </c>
      <c r="AA227" s="13">
        <f t="shared" si="376"/>
        <v>235.2610399742135</v>
      </c>
      <c r="AB227" s="13">
        <v>100</v>
      </c>
      <c r="AC227" s="13">
        <v>13</v>
      </c>
      <c r="AD227" s="13">
        <f t="shared" si="355"/>
        <v>4</v>
      </c>
      <c r="AE227" s="16">
        <f t="shared" si="356"/>
        <v>135.2610399742135</v>
      </c>
      <c r="AF227" s="23">
        <f t="shared" si="337"/>
        <v>0.20417135055463323</v>
      </c>
      <c r="AG227" s="382"/>
      <c r="AH227" s="385"/>
      <c r="AI227" s="388"/>
      <c r="AJ227" s="22">
        <f t="shared" si="338"/>
        <v>1.361009094455143</v>
      </c>
      <c r="AK227" s="22">
        <f t="shared" si="357"/>
        <v>0.33</v>
      </c>
      <c r="AL227" s="23">
        <f t="shared" si="339"/>
        <v>18.610006994007279</v>
      </c>
      <c r="AM227" s="23">
        <f t="shared" si="358"/>
        <v>8.3583682930168504</v>
      </c>
      <c r="AN227" s="23">
        <f t="shared" si="340"/>
        <v>9.579710045298544</v>
      </c>
      <c r="AO227" s="23">
        <f t="shared" si="359"/>
        <v>4.9278028473015709</v>
      </c>
      <c r="AP227" s="23">
        <f t="shared" si="360"/>
        <v>0.18710595712645048</v>
      </c>
      <c r="AQ227" s="24">
        <f t="shared" si="341"/>
        <v>5.4560355450552045E-2</v>
      </c>
      <c r="AR227" s="22">
        <f t="shared" si="342"/>
        <v>293291377.04053217</v>
      </c>
      <c r="AS227" s="22">
        <f t="shared" si="361"/>
        <v>1.7931447288211328E-3</v>
      </c>
      <c r="AT227" s="23">
        <f t="shared" si="343"/>
        <v>729.5179533808373</v>
      </c>
      <c r="AU227" s="22">
        <f t="shared" si="344"/>
        <v>27015.149669459955</v>
      </c>
      <c r="AV227" s="443"/>
      <c r="AW227" s="445"/>
      <c r="AX227" s="388"/>
      <c r="AY227" s="339"/>
      <c r="AZ227" s="339"/>
      <c r="BA227" s="331"/>
      <c r="BB227" s="402"/>
      <c r="BC227" s="385"/>
      <c r="BD227" s="445"/>
      <c r="BE227" s="445"/>
      <c r="BF227" s="445"/>
      <c r="BG227" s="445"/>
      <c r="BH227" s="447"/>
      <c r="BI227" s="385"/>
      <c r="BJ227" s="385"/>
      <c r="BK227" s="385"/>
      <c r="BL227" s="23">
        <f t="shared" si="345"/>
        <v>-4.4552838630168068E-2</v>
      </c>
      <c r="BM227" s="24">
        <f t="shared" si="346"/>
        <v>3514.0700216732439</v>
      </c>
      <c r="BN227" s="24">
        <f t="shared" si="347"/>
        <v>8841.3541214812321</v>
      </c>
      <c r="BO227" s="24">
        <f t="shared" si="348"/>
        <v>69.364508826070804</v>
      </c>
      <c r="BP227" s="24">
        <f t="shared" si="362"/>
        <v>79.769185149981425</v>
      </c>
      <c r="BQ227" s="23">
        <f t="shared" si="363"/>
        <v>393.08681770900466</v>
      </c>
      <c r="BR227" s="23">
        <f t="shared" si="349"/>
        <v>3.5222665080813829</v>
      </c>
      <c r="BS227" s="6">
        <f t="shared" si="350"/>
        <v>947.37561869727574</v>
      </c>
      <c r="BT227" s="23">
        <f t="shared" si="351"/>
        <v>966.70981499722018</v>
      </c>
      <c r="BU227" s="22">
        <f t="shared" si="352"/>
        <v>1233.0482334148217</v>
      </c>
      <c r="BV227" s="22">
        <f t="shared" si="353"/>
        <v>58.716582543562936</v>
      </c>
      <c r="BW227" s="23">
        <f t="shared" si="354"/>
        <v>1.2055778542579597E-2</v>
      </c>
      <c r="BY227" s="361"/>
      <c r="BZ227" s="366"/>
      <c r="CA227" s="361"/>
    </row>
    <row r="228" spans="3:79" ht="15.75" x14ac:dyDescent="0.3">
      <c r="C228" s="22">
        <v>73</v>
      </c>
      <c r="D228" s="379"/>
      <c r="E228" s="379"/>
      <c r="F228" s="19" t="s">
        <v>128</v>
      </c>
      <c r="G228" s="256"/>
      <c r="H228" s="54">
        <v>0.99375000000000702</v>
      </c>
      <c r="I228" s="13">
        <v>-8.6526599999999991</v>
      </c>
      <c r="J228" s="13">
        <v>115.95636399999999</v>
      </c>
      <c r="K228" s="13">
        <f t="shared" si="258"/>
        <v>-0.15101740605561254</v>
      </c>
      <c r="L228" s="13">
        <f t="shared" si="258"/>
        <v>2.0238203404410218</v>
      </c>
      <c r="M228" s="13">
        <v>3443</v>
      </c>
      <c r="N228" s="71">
        <f t="shared" si="335"/>
        <v>0.48465622695341265</v>
      </c>
      <c r="O228" s="421"/>
      <c r="P228" s="421"/>
      <c r="Q228" s="425"/>
      <c r="R228" s="23">
        <f t="shared" si="368"/>
        <v>4.9999999999991829E-2</v>
      </c>
      <c r="S228" s="331"/>
      <c r="T228" s="23">
        <f t="shared" si="370"/>
        <v>9.6931245390698368</v>
      </c>
      <c r="U228" s="421"/>
      <c r="V228" s="22">
        <f t="shared" si="336"/>
        <v>4.9861432628975235</v>
      </c>
      <c r="W228" s="130">
        <f t="shared" si="372"/>
        <v>-8.6762827263014731E-5</v>
      </c>
      <c r="X228" s="13">
        <f t="shared" si="373"/>
        <v>1.1290534931118756E-4</v>
      </c>
      <c r="Y228" s="13">
        <f t="shared" si="374"/>
        <v>2.2260052100086472</v>
      </c>
      <c r="Z228" s="13">
        <f t="shared" si="375"/>
        <v>127.54070370762796</v>
      </c>
      <c r="AA228" s="13">
        <f t="shared" si="376"/>
        <v>232.45929629237204</v>
      </c>
      <c r="AB228" s="13">
        <v>100</v>
      </c>
      <c r="AC228" s="13">
        <v>13</v>
      </c>
      <c r="AD228" s="13">
        <f t="shared" si="355"/>
        <v>4</v>
      </c>
      <c r="AE228" s="16">
        <f t="shared" si="356"/>
        <v>132.45929629237204</v>
      </c>
      <c r="AF228" s="23">
        <f t="shared" si="337"/>
        <v>0.18932111054014947</v>
      </c>
      <c r="AG228" s="382"/>
      <c r="AH228" s="385"/>
      <c r="AI228" s="388"/>
      <c r="AJ228" s="22">
        <f t="shared" si="338"/>
        <v>1.4837390894060434</v>
      </c>
      <c r="AK228" s="22">
        <f t="shared" si="357"/>
        <v>0.33</v>
      </c>
      <c r="AL228" s="23">
        <f t="shared" si="339"/>
        <v>18.610006994007279</v>
      </c>
      <c r="AM228" s="23">
        <f t="shared" si="358"/>
        <v>9.1120902942723916</v>
      </c>
      <c r="AN228" s="23">
        <f t="shared" si="340"/>
        <v>8.8098782787335193</v>
      </c>
      <c r="AO228" s="23">
        <f t="shared" si="359"/>
        <v>4.531801386580522</v>
      </c>
      <c r="AP228" s="23">
        <f t="shared" si="360"/>
        <v>0.17207000000161182</v>
      </c>
      <c r="AQ228" s="24">
        <f t="shared" si="341"/>
        <v>5.5012817614443286E-2</v>
      </c>
      <c r="AR228" s="22">
        <f t="shared" si="342"/>
        <v>269722290.10180897</v>
      </c>
      <c r="AS228" s="22">
        <f t="shared" si="361"/>
        <v>1.8134912995244209E-3</v>
      </c>
      <c r="AT228" s="23">
        <f t="shared" si="343"/>
        <v>623.98076813819227</v>
      </c>
      <c r="AU228" s="22">
        <f t="shared" si="344"/>
        <v>23106.948587073177</v>
      </c>
      <c r="AV228" s="443"/>
      <c r="AW228" s="445"/>
      <c r="AX228" s="388"/>
      <c r="AY228" s="339"/>
      <c r="AZ228" s="339"/>
      <c r="BA228" s="331"/>
      <c r="BB228" s="402"/>
      <c r="BC228" s="385"/>
      <c r="BD228" s="445"/>
      <c r="BE228" s="445"/>
      <c r="BF228" s="445"/>
      <c r="BG228" s="445"/>
      <c r="BH228" s="447"/>
      <c r="BI228" s="385"/>
      <c r="BJ228" s="385"/>
      <c r="BK228" s="385"/>
      <c r="BL228" s="23">
        <f t="shared" si="345"/>
        <v>-2.6460625442558356E-2</v>
      </c>
      <c r="BM228" s="24">
        <f t="shared" si="346"/>
        <v>1465.8847640581087</v>
      </c>
      <c r="BN228" s="24">
        <f t="shared" si="347"/>
        <v>7477.4561224011031</v>
      </c>
      <c r="BO228" s="24">
        <f t="shared" si="348"/>
        <v>57.705091418362954</v>
      </c>
      <c r="BP228" s="24">
        <f t="shared" si="362"/>
        <v>66.360855131117404</v>
      </c>
      <c r="BQ228" s="23">
        <f t="shared" si="363"/>
        <v>300.73421529786702</v>
      </c>
      <c r="BR228" s="23">
        <f t="shared" si="349"/>
        <v>3.2392148671228065</v>
      </c>
      <c r="BS228" s="6">
        <f t="shared" si="350"/>
        <v>724.79729781264029</v>
      </c>
      <c r="BT228" s="23">
        <f t="shared" si="351"/>
        <v>739.58907940065342</v>
      </c>
      <c r="BU228" s="22">
        <f t="shared" si="352"/>
        <v>943.35341760287429</v>
      </c>
      <c r="BV228" s="22">
        <f t="shared" si="353"/>
        <v>44.921591314422585</v>
      </c>
      <c r="BW228" s="23">
        <f t="shared" si="354"/>
        <v>9.2998580879319215E-3</v>
      </c>
      <c r="BY228" s="361"/>
      <c r="BZ228" s="366"/>
      <c r="CA228" s="361"/>
    </row>
    <row r="229" spans="3:79" ht="15.75" x14ac:dyDescent="0.3">
      <c r="C229" s="22">
        <v>74</v>
      </c>
      <c r="D229" s="379"/>
      <c r="E229" s="379"/>
      <c r="F229" s="19" t="s">
        <v>128</v>
      </c>
      <c r="G229" s="256"/>
      <c r="H229" s="54">
        <v>0.99583333333334101</v>
      </c>
      <c r="I229" s="13">
        <v>-8.6580960000000005</v>
      </c>
      <c r="J229" s="13">
        <v>115.96393500000001</v>
      </c>
      <c r="K229" s="13">
        <f t="shared" si="258"/>
        <v>-0.15111228215375097</v>
      </c>
      <c r="L229" s="13">
        <f t="shared" si="258"/>
        <v>2.0239524793186905</v>
      </c>
      <c r="M229" s="13">
        <v>3443</v>
      </c>
      <c r="N229" s="71">
        <f t="shared" si="335"/>
        <v>0.55587888924741413</v>
      </c>
      <c r="O229" s="421"/>
      <c r="P229" s="421"/>
      <c r="Q229" s="425"/>
      <c r="R229" s="23">
        <f t="shared" si="368"/>
        <v>5.000000000001581E-2</v>
      </c>
      <c r="S229" s="331"/>
      <c r="T229" s="23">
        <f t="shared" si="370"/>
        <v>11.117577784944768</v>
      </c>
      <c r="U229" s="421"/>
      <c r="V229" s="22">
        <f t="shared" si="336"/>
        <v>5.7188820125755884</v>
      </c>
      <c r="W229" s="130">
        <f t="shared" si="372"/>
        <v>-9.5980717635970342E-5</v>
      </c>
      <c r="X229" s="13">
        <f t="shared" si="373"/>
        <v>1.3213887766871935E-4</v>
      </c>
      <c r="Y229" s="13">
        <f t="shared" si="374"/>
        <v>2.1989969784555776</v>
      </c>
      <c r="Z229" s="13">
        <f t="shared" si="375"/>
        <v>125.99324602752502</v>
      </c>
      <c r="AA229" s="13">
        <f t="shared" si="376"/>
        <v>234.006753972475</v>
      </c>
      <c r="AB229" s="13">
        <v>100</v>
      </c>
      <c r="AC229" s="13">
        <v>13</v>
      </c>
      <c r="AD229" s="13">
        <f t="shared" si="355"/>
        <v>4</v>
      </c>
      <c r="AE229" s="16">
        <f t="shared" si="356"/>
        <v>134.006753972475</v>
      </c>
      <c r="AF229" s="23">
        <f t="shared" si="337"/>
        <v>0.21714279686374655</v>
      </c>
      <c r="AG229" s="382"/>
      <c r="AH229" s="385"/>
      <c r="AI229" s="388"/>
      <c r="AJ229" s="22">
        <f t="shared" si="338"/>
        <v>1.2496201185383384</v>
      </c>
      <c r="AK229" s="22">
        <f t="shared" si="357"/>
        <v>0.33</v>
      </c>
      <c r="AL229" s="23">
        <f t="shared" si="339"/>
        <v>18.610006994007279</v>
      </c>
      <c r="AM229" s="23">
        <f t="shared" si="358"/>
        <v>7.6742949181307258</v>
      </c>
      <c r="AN229" s="23">
        <f t="shared" si="340"/>
        <v>10.264382077975521</v>
      </c>
      <c r="AO229" s="23">
        <f t="shared" si="359"/>
        <v>5.2799981409106076</v>
      </c>
      <c r="AP229" s="23">
        <f t="shared" si="360"/>
        <v>0.20047861823894511</v>
      </c>
      <c r="AQ229" s="24">
        <f t="shared" si="341"/>
        <v>5.4156098732935323E-2</v>
      </c>
      <c r="AR229" s="22">
        <f t="shared" si="342"/>
        <v>314253222.68465185</v>
      </c>
      <c r="AS229" s="22">
        <f t="shared" si="361"/>
        <v>1.7766346664582573E-3</v>
      </c>
      <c r="AT229" s="23">
        <f t="shared" si="343"/>
        <v>829.81190915518164</v>
      </c>
      <c r="AU229" s="22">
        <f t="shared" si="344"/>
        <v>30729.186059694846</v>
      </c>
      <c r="AV229" s="443"/>
      <c r="AW229" s="445"/>
      <c r="AX229" s="388"/>
      <c r="AY229" s="339"/>
      <c r="AZ229" s="339"/>
      <c r="BA229" s="331"/>
      <c r="BB229" s="402"/>
      <c r="BC229" s="385"/>
      <c r="BD229" s="445"/>
      <c r="BE229" s="445"/>
      <c r="BF229" s="445"/>
      <c r="BG229" s="445"/>
      <c r="BH229" s="447"/>
      <c r="BI229" s="385"/>
      <c r="BJ229" s="385"/>
      <c r="BK229" s="385"/>
      <c r="BL229" s="23">
        <f t="shared" si="345"/>
        <v>-6.4395020050146148E-2</v>
      </c>
      <c r="BM229" s="24">
        <f t="shared" si="346"/>
        <v>6959.9802955448768</v>
      </c>
      <c r="BN229" s="24">
        <f t="shared" si="347"/>
        <v>10150.31865651813</v>
      </c>
      <c r="BO229" s="24">
        <f t="shared" si="348"/>
        <v>81.956979120363371</v>
      </c>
      <c r="BP229" s="24">
        <f t="shared" si="362"/>
        <v>94.250525988417877</v>
      </c>
      <c r="BQ229" s="23">
        <f t="shared" si="363"/>
        <v>497.64260199869329</v>
      </c>
      <c r="BR229" s="23">
        <f t="shared" si="349"/>
        <v>3.7740066294748966</v>
      </c>
      <c r="BS229" s="6">
        <f t="shared" si="350"/>
        <v>1199.3647375568919</v>
      </c>
      <c r="BT229" s="23">
        <f t="shared" si="351"/>
        <v>1223.8415689356041</v>
      </c>
      <c r="BU229" s="22">
        <f t="shared" si="352"/>
        <v>1561.0224093566378</v>
      </c>
      <c r="BV229" s="22">
        <f t="shared" si="353"/>
        <v>74.334400445554181</v>
      </c>
      <c r="BW229" s="23">
        <f t="shared" si="354"/>
        <v>1.5149367963599322E-2</v>
      </c>
      <c r="BY229" s="361"/>
      <c r="BZ229" s="366"/>
      <c r="CA229" s="361"/>
    </row>
    <row r="230" spans="3:79" ht="15.75" x14ac:dyDescent="0.3">
      <c r="C230" s="22">
        <v>75</v>
      </c>
      <c r="D230" s="379"/>
      <c r="E230" s="379"/>
      <c r="F230" s="19" t="s">
        <v>128</v>
      </c>
      <c r="G230" s="257"/>
      <c r="H230" s="54">
        <v>0.997916666666674</v>
      </c>
      <c r="I230" s="13">
        <v>-8.6625239999999994</v>
      </c>
      <c r="J230" s="13">
        <v>115.970302</v>
      </c>
      <c r="K230" s="13">
        <f t="shared" si="258"/>
        <v>-0.15118956533302927</v>
      </c>
      <c r="L230" s="13">
        <f t="shared" si="258"/>
        <v>2.0240636044321652</v>
      </c>
      <c r="M230" s="13">
        <v>3443</v>
      </c>
      <c r="N230" s="71">
        <f t="shared" si="335"/>
        <v>0.46245904803953974</v>
      </c>
      <c r="O230" s="421"/>
      <c r="P230" s="421"/>
      <c r="Q230" s="425"/>
      <c r="R230" s="23">
        <f t="shared" si="368"/>
        <v>4.9999999999991829E-2</v>
      </c>
      <c r="S230" s="331"/>
      <c r="T230" s="23">
        <f t="shared" si="370"/>
        <v>9.249180960792307</v>
      </c>
      <c r="U230" s="421"/>
      <c r="V230" s="22">
        <f t="shared" si="336"/>
        <v>4.7577786862315623</v>
      </c>
      <c r="W230" s="130">
        <f t="shared" si="372"/>
        <v>-7.818399891265403E-5</v>
      </c>
      <c r="X230" s="13">
        <f t="shared" si="373"/>
        <v>1.1112511347466381E-4</v>
      </c>
      <c r="Y230" s="13">
        <f t="shared" si="374"/>
        <v>2.1839124592482841</v>
      </c>
      <c r="Z230" s="13">
        <f t="shared" si="375"/>
        <v>125.12896674096307</v>
      </c>
      <c r="AA230" s="13">
        <f t="shared" si="376"/>
        <v>234.87103325903695</v>
      </c>
      <c r="AB230" s="13">
        <v>100</v>
      </c>
      <c r="AC230" s="13">
        <v>13</v>
      </c>
      <c r="AD230" s="13">
        <f t="shared" si="355"/>
        <v>4</v>
      </c>
      <c r="AE230" s="16">
        <f t="shared" si="356"/>
        <v>134.87103325903695</v>
      </c>
      <c r="AF230" s="23">
        <f t="shared" si="337"/>
        <v>0.18065023347487499</v>
      </c>
      <c r="AG230" s="382"/>
      <c r="AH230" s="385"/>
      <c r="AI230" s="388"/>
      <c r="AJ230" s="22">
        <f t="shared" si="338"/>
        <v>1.5530338566304513</v>
      </c>
      <c r="AK230" s="22">
        <f t="shared" si="357"/>
        <v>0.33</v>
      </c>
      <c r="AL230" s="23">
        <f t="shared" si="339"/>
        <v>18.610006994007279</v>
      </c>
      <c r="AM230" s="23">
        <f t="shared" si="358"/>
        <v>9.5376504081615234</v>
      </c>
      <c r="AN230" s="23">
        <f t="shared" si="340"/>
        <v>8.3670264151337008</v>
      </c>
      <c r="AO230" s="23">
        <f t="shared" si="359"/>
        <v>4.3039983879447758</v>
      </c>
      <c r="AP230" s="23">
        <f t="shared" si="360"/>
        <v>0.16342044574451384</v>
      </c>
      <c r="AQ230" s="24">
        <f t="shared" si="341"/>
        <v>5.5271613246382932E-2</v>
      </c>
      <c r="AR230" s="22">
        <f t="shared" si="342"/>
        <v>256163984.86229911</v>
      </c>
      <c r="AS230" s="22">
        <f t="shared" si="361"/>
        <v>1.8261903219627988E-3</v>
      </c>
      <c r="AT230" s="23">
        <f t="shared" si="343"/>
        <v>566.76657388063461</v>
      </c>
      <c r="AU230" s="22">
        <f t="shared" si="344"/>
        <v>20988.220714890729</v>
      </c>
      <c r="AV230" s="443"/>
      <c r="AW230" s="445"/>
      <c r="AX230" s="388"/>
      <c r="AY230" s="339"/>
      <c r="AZ230" s="339"/>
      <c r="BA230" s="331"/>
      <c r="BB230" s="402"/>
      <c r="BC230" s="385"/>
      <c r="BD230" s="445"/>
      <c r="BE230" s="445"/>
      <c r="BF230" s="445"/>
      <c r="BG230" s="445"/>
      <c r="BH230" s="447"/>
      <c r="BI230" s="385"/>
      <c r="BJ230" s="385"/>
      <c r="BK230" s="385"/>
      <c r="BL230" s="23">
        <f t="shared" si="345"/>
        <v>-1.8332413217575956E-2</v>
      </c>
      <c r="BM230" s="24">
        <f t="shared" si="346"/>
        <v>836.98148539231727</v>
      </c>
      <c r="BN230" s="24">
        <f t="shared" si="347"/>
        <v>6744.6021609635554</v>
      </c>
      <c r="BO230" s="24">
        <f t="shared" si="348"/>
        <v>51.872260052697726</v>
      </c>
      <c r="BP230" s="24">
        <f t="shared" si="362"/>
        <v>59.653099060602386</v>
      </c>
      <c r="BQ230" s="23">
        <f t="shared" si="363"/>
        <v>256.74684219274269</v>
      </c>
      <c r="BR230" s="23">
        <f t="shared" si="349"/>
        <v>3.0763871531499194</v>
      </c>
      <c r="BS230" s="6">
        <f t="shared" si="350"/>
        <v>618.78365672131133</v>
      </c>
      <c r="BT230" s="23">
        <f t="shared" si="351"/>
        <v>631.41189461358306</v>
      </c>
      <c r="BU230" s="22">
        <f t="shared" si="352"/>
        <v>805.37231455814162</v>
      </c>
      <c r="BV230" s="22">
        <f t="shared" si="353"/>
        <v>38.351062598006749</v>
      </c>
      <c r="BW230" s="23">
        <f t="shared" si="354"/>
        <v>7.9769494944566532E-3</v>
      </c>
      <c r="BY230" s="362"/>
      <c r="BZ230" s="451"/>
      <c r="CA230" s="362"/>
    </row>
    <row r="231" spans="3:79" ht="15.75" x14ac:dyDescent="0.3">
      <c r="C231" s="22">
        <v>76</v>
      </c>
      <c r="D231" s="379"/>
      <c r="E231" s="379"/>
      <c r="F231" s="19" t="s">
        <v>128</v>
      </c>
      <c r="G231" s="255">
        <v>1</v>
      </c>
      <c r="H231" s="54">
        <v>1.00000000000001</v>
      </c>
      <c r="I231" s="13">
        <v>-8.6669809999999998</v>
      </c>
      <c r="J231" s="13">
        <v>115.97670100000001</v>
      </c>
      <c r="K231" s="13">
        <f t="shared" si="258"/>
        <v>-0.15126735465779065</v>
      </c>
      <c r="L231" s="13">
        <f t="shared" si="258"/>
        <v>2.024175288051</v>
      </c>
      <c r="M231" s="13">
        <v>3443</v>
      </c>
      <c r="N231" s="71">
        <f t="shared" si="335"/>
        <v>0.46501299257744377</v>
      </c>
      <c r="O231" s="422"/>
      <c r="P231" s="422"/>
      <c r="Q231" s="426"/>
      <c r="R231" s="23">
        <f t="shared" si="368"/>
        <v>5.0000000000063771E-2</v>
      </c>
      <c r="S231" s="358"/>
      <c r="T231" s="23">
        <f t="shared" si="370"/>
        <v>9.3002598515370138</v>
      </c>
      <c r="U231" s="422"/>
      <c r="V231" s="22">
        <f t="shared" si="336"/>
        <v>4.7840536676306398</v>
      </c>
      <c r="W231" s="130">
        <f t="shared" si="372"/>
        <v>-7.8696978673758875E-5</v>
      </c>
      <c r="X231" s="13">
        <f t="shared" si="373"/>
        <v>1.1168361883484579E-4</v>
      </c>
      <c r="Y231" s="13">
        <f t="shared" si="374"/>
        <v>2.18463099864986</v>
      </c>
      <c r="Z231" s="13">
        <f t="shared" si="375"/>
        <v>125.17013601608723</v>
      </c>
      <c r="AA231" s="13">
        <f t="shared" si="376"/>
        <v>234.82986398391279</v>
      </c>
      <c r="AB231" s="13">
        <v>100</v>
      </c>
      <c r="AC231" s="13">
        <v>13</v>
      </c>
      <c r="AD231" s="13">
        <f t="shared" si="355"/>
        <v>4</v>
      </c>
      <c r="AE231" s="16">
        <f t="shared" si="356"/>
        <v>134.82986398391279</v>
      </c>
      <c r="AF231" s="23">
        <f t="shared" si="337"/>
        <v>0.18164788003166576</v>
      </c>
      <c r="AG231" s="382"/>
      <c r="AH231" s="385"/>
      <c r="AI231" s="388"/>
      <c r="AJ231" s="22">
        <f t="shared" si="338"/>
        <v>1.545149796970855</v>
      </c>
      <c r="AK231" s="22">
        <f t="shared" si="357"/>
        <v>0.33</v>
      </c>
      <c r="AL231" s="23">
        <f t="shared" si="339"/>
        <v>18.610006994007279</v>
      </c>
      <c r="AM231" s="23">
        <f t="shared" si="358"/>
        <v>9.4892320143774587</v>
      </c>
      <c r="AN231" s="23">
        <f t="shared" si="340"/>
        <v>8.4177366162846692</v>
      </c>
      <c r="AO231" s="23">
        <f t="shared" si="359"/>
        <v>4.3300837154168335</v>
      </c>
      <c r="AP231" s="23">
        <f t="shared" si="360"/>
        <v>0.16441089124626296</v>
      </c>
      <c r="AQ231" s="24">
        <f t="shared" si="341"/>
        <v>5.5242045905528253E-2</v>
      </c>
      <c r="AR231" s="22">
        <f t="shared" si="342"/>
        <v>257716522.95116001</v>
      </c>
      <c r="AS231" s="22">
        <f t="shared" si="361"/>
        <v>1.8246956445395644E-3</v>
      </c>
      <c r="AT231" s="23">
        <f t="shared" si="343"/>
        <v>573.18789916867991</v>
      </c>
      <c r="AU231" s="22">
        <f t="shared" si="344"/>
        <v>21226.012071400735</v>
      </c>
      <c r="AV231" s="443"/>
      <c r="AW231" s="445"/>
      <c r="AX231" s="388"/>
      <c r="AY231" s="339"/>
      <c r="AZ231" s="339"/>
      <c r="BA231" s="331"/>
      <c r="BB231" s="402"/>
      <c r="BC231" s="385"/>
      <c r="BD231" s="445"/>
      <c r="BE231" s="445"/>
      <c r="BF231" s="445"/>
      <c r="BG231" s="445"/>
      <c r="BH231" s="447"/>
      <c r="BI231" s="385"/>
      <c r="BJ231" s="385"/>
      <c r="BK231" s="385"/>
      <c r="BL231" s="23">
        <f t="shared" si="345"/>
        <v>-1.9175806915277517E-2</v>
      </c>
      <c r="BM231" s="24">
        <f t="shared" si="346"/>
        <v>894.59411888139152</v>
      </c>
      <c r="BN231" s="24">
        <f t="shared" si="347"/>
        <v>6826.6041911491302</v>
      </c>
      <c r="BO231" s="24">
        <f t="shared" si="348"/>
        <v>52.513677140049843</v>
      </c>
      <c r="BP231" s="24">
        <f t="shared" si="362"/>
        <v>60.390728711057321</v>
      </c>
      <c r="BQ231" s="23">
        <f t="shared" si="363"/>
        <v>261.49691095390511</v>
      </c>
      <c r="BR231" s="23">
        <f t="shared" si="349"/>
        <v>3.095032273126153</v>
      </c>
      <c r="BS231" s="6">
        <f t="shared" si="350"/>
        <v>630.23176214923797</v>
      </c>
      <c r="BT231" s="23">
        <f t="shared" si="351"/>
        <v>643.09363484616119</v>
      </c>
      <c r="BU231" s="22">
        <f t="shared" si="352"/>
        <v>820.27249342622588</v>
      </c>
      <c r="BV231" s="22">
        <f t="shared" si="353"/>
        <v>39.060594925058375</v>
      </c>
      <c r="BW231" s="23">
        <f t="shared" si="354"/>
        <v>8.1201847080513492E-3</v>
      </c>
      <c r="BY231" s="360">
        <f t="shared" ref="BY231" si="383">(SUM(BW231:BW235))*1000</f>
        <v>20.230229124862721</v>
      </c>
      <c r="BZ231" s="365">
        <v>25</v>
      </c>
      <c r="CA231" s="360">
        <f t="shared" ref="CA231" si="384">AVERAGE(AN231:AN235)</f>
        <v>6.4266625987796901</v>
      </c>
    </row>
    <row r="232" spans="3:79" ht="15.75" x14ac:dyDescent="0.3">
      <c r="C232" s="22">
        <v>77</v>
      </c>
      <c r="D232" s="379"/>
      <c r="E232" s="379"/>
      <c r="F232" s="19" t="s">
        <v>128</v>
      </c>
      <c r="G232" s="256"/>
      <c r="H232" s="54">
        <v>1.0020833333333401</v>
      </c>
      <c r="I232" s="13">
        <v>-8.6696200000000001</v>
      </c>
      <c r="J232" s="13">
        <v>115.981106</v>
      </c>
      <c r="K232" s="13">
        <f t="shared" si="258"/>
        <v>-0.15131341389675079</v>
      </c>
      <c r="L232" s="13">
        <f t="shared" si="258"/>
        <v>2.0242521698045506</v>
      </c>
      <c r="M232" s="13">
        <v>3443</v>
      </c>
      <c r="N232" s="71">
        <f t="shared" si="335"/>
        <v>0.30598170733728641</v>
      </c>
      <c r="O232" s="420">
        <f t="shared" ref="O232" si="385">SUM(N232:N236)</f>
        <v>1.7136946938780699</v>
      </c>
      <c r="P232" s="423">
        <v>1.72</v>
      </c>
      <c r="Q232" s="424">
        <f t="shared" ref="Q232" si="386">ABS((O232-P232)/O232)*100%</f>
        <v>3.679363742243493E-3</v>
      </c>
      <c r="R232" s="23">
        <f t="shared" si="368"/>
        <v>4.9999999999922551E-2</v>
      </c>
      <c r="S232" s="357">
        <f t="shared" ref="S232" si="387">+SUM(R232:R236)</f>
        <v>0.2499999999998419</v>
      </c>
      <c r="T232" s="23">
        <f t="shared" si="370"/>
        <v>6.1196341467552076</v>
      </c>
      <c r="U232" s="420">
        <f t="shared" ref="U232" si="388">AVERAGE(T232:T236)</f>
        <v>6.8547787755170857</v>
      </c>
      <c r="V232" s="22">
        <f t="shared" si="336"/>
        <v>3.1479398050908785</v>
      </c>
      <c r="W232" s="130">
        <f t="shared" si="372"/>
        <v>-4.6597105097786249E-5</v>
      </c>
      <c r="X232" s="13">
        <f t="shared" si="373"/>
        <v>7.6881753550583909E-5</v>
      </c>
      <c r="Y232" s="13">
        <f t="shared" si="374"/>
        <v>2.1156802469785494</v>
      </c>
      <c r="Z232" s="13">
        <f t="shared" si="375"/>
        <v>121.21954895106651</v>
      </c>
      <c r="AA232" s="13">
        <f t="shared" si="376"/>
        <v>238.78045104893349</v>
      </c>
      <c r="AB232" s="13">
        <v>100</v>
      </c>
      <c r="AC232" s="13">
        <v>13</v>
      </c>
      <c r="AD232" s="13">
        <f t="shared" si="355"/>
        <v>4</v>
      </c>
      <c r="AE232" s="16">
        <f t="shared" si="356"/>
        <v>138.78045104893349</v>
      </c>
      <c r="AF232" s="23">
        <f t="shared" si="337"/>
        <v>0.11952553875618462</v>
      </c>
      <c r="AG232" s="382"/>
      <c r="AH232" s="385"/>
      <c r="AI232" s="388"/>
      <c r="AJ232" s="22">
        <f t="shared" si="338"/>
        <v>1.9920337953886251</v>
      </c>
      <c r="AK232" s="22">
        <f t="shared" si="357"/>
        <v>0.33</v>
      </c>
      <c r="AL232" s="23">
        <f t="shared" si="339"/>
        <v>18.610006994007279</v>
      </c>
      <c r="AM232" s="23">
        <f t="shared" si="358"/>
        <v>12.233681745278789</v>
      </c>
      <c r="AN232" s="23">
        <f t="shared" si="340"/>
        <v>5.3709775812657679</v>
      </c>
      <c r="AO232" s="23">
        <f t="shared" si="359"/>
        <v>2.7628308678031108</v>
      </c>
      <c r="AP232" s="23">
        <f t="shared" si="360"/>
        <v>0.10490316474042313</v>
      </c>
      <c r="AQ232" s="24">
        <f t="shared" si="341"/>
        <v>5.6969462766809073E-2</v>
      </c>
      <c r="AR232" s="22">
        <f t="shared" si="342"/>
        <v>164437274.55366549</v>
      </c>
      <c r="AS232" s="22">
        <f t="shared" si="361"/>
        <v>1.9410611353675544E-3</v>
      </c>
      <c r="AT232" s="23">
        <f t="shared" si="343"/>
        <v>248.23430853295642</v>
      </c>
      <c r="AU232" s="22">
        <f t="shared" si="344"/>
        <v>9192.4906947586442</v>
      </c>
      <c r="AV232" s="443"/>
      <c r="AW232" s="445"/>
      <c r="AX232" s="388"/>
      <c r="AY232" s="339"/>
      <c r="AZ232" s="339"/>
      <c r="BA232" s="331"/>
      <c r="BB232" s="402"/>
      <c r="BC232" s="385"/>
      <c r="BD232" s="445"/>
      <c r="BE232" s="445"/>
      <c r="BF232" s="445"/>
      <c r="BG232" s="445"/>
      <c r="BH232" s="447"/>
      <c r="BI232" s="385"/>
      <c r="BJ232" s="385"/>
      <c r="BK232" s="385"/>
      <c r="BL232" s="23">
        <f t="shared" si="345"/>
        <v>-8.7691151168972669E-5</v>
      </c>
      <c r="BM232" s="24">
        <f t="shared" si="346"/>
        <v>2.1470421332536418</v>
      </c>
      <c r="BN232" s="24">
        <f t="shared" si="347"/>
        <v>2779.2059853752298</v>
      </c>
      <c r="BO232" s="24">
        <f t="shared" si="348"/>
        <v>22.179930746914906</v>
      </c>
      <c r="BP232" s="24">
        <f t="shared" si="362"/>
        <v>25.50692035895214</v>
      </c>
      <c r="BQ232" s="23">
        <f t="shared" si="363"/>
        <v>70.47130691030857</v>
      </c>
      <c r="BR232" s="23">
        <f t="shared" si="349"/>
        <v>1.9748003186623382</v>
      </c>
      <c r="BS232" s="6">
        <f t="shared" si="350"/>
        <v>169.84237317767935</v>
      </c>
      <c r="BT232" s="23">
        <f t="shared" si="351"/>
        <v>173.30854405885648</v>
      </c>
      <c r="BU232" s="22">
        <f t="shared" si="352"/>
        <v>221.05681640160265</v>
      </c>
      <c r="BV232" s="22">
        <f t="shared" si="353"/>
        <v>10.526515066742984</v>
      </c>
      <c r="BW232" s="23">
        <f t="shared" si="354"/>
        <v>2.2567530623842087E-3</v>
      </c>
      <c r="BY232" s="361"/>
      <c r="BZ232" s="366"/>
      <c r="CA232" s="361"/>
    </row>
    <row r="233" spans="3:79" ht="15.75" x14ac:dyDescent="0.3">
      <c r="C233" s="22">
        <v>78</v>
      </c>
      <c r="D233" s="379"/>
      <c r="E233" s="379"/>
      <c r="F233" s="19" t="s">
        <v>128</v>
      </c>
      <c r="G233" s="256"/>
      <c r="H233" s="54">
        <v>1.00416666666667</v>
      </c>
      <c r="I233" s="13">
        <v>-8.6729470000000006</v>
      </c>
      <c r="J233" s="13">
        <v>115.986126</v>
      </c>
      <c r="K233" s="13">
        <f t="shared" si="258"/>
        <v>-0.15137148100096465</v>
      </c>
      <c r="L233" s="13">
        <f t="shared" si="258"/>
        <v>2.0243397853330007</v>
      </c>
      <c r="M233" s="13">
        <v>3443</v>
      </c>
      <c r="N233" s="71">
        <f t="shared" si="335"/>
        <v>0.35902717640629633</v>
      </c>
      <c r="O233" s="421"/>
      <c r="P233" s="421"/>
      <c r="Q233" s="425"/>
      <c r="R233" s="23">
        <f t="shared" si="368"/>
        <v>4.9999999999917222E-2</v>
      </c>
      <c r="S233" s="331"/>
      <c r="T233" s="23">
        <f t="shared" si="370"/>
        <v>7.1805435281378145</v>
      </c>
      <c r="U233" s="421"/>
      <c r="V233" s="22">
        <f t="shared" si="336"/>
        <v>3.6936715908740916</v>
      </c>
      <c r="W233" s="130">
        <f t="shared" si="372"/>
        <v>-5.8745663499790104E-5</v>
      </c>
      <c r="X233" s="13">
        <f t="shared" si="373"/>
        <v>8.7615528450157854E-5</v>
      </c>
      <c r="Y233" s="13">
        <f t="shared" si="374"/>
        <v>2.1614437659500534</v>
      </c>
      <c r="Z233" s="13">
        <f t="shared" si="375"/>
        <v>123.84160544380057</v>
      </c>
      <c r="AA233" s="13">
        <f t="shared" si="376"/>
        <v>236.15839455619943</v>
      </c>
      <c r="AB233" s="13">
        <v>100</v>
      </c>
      <c r="AC233" s="13">
        <v>13</v>
      </c>
      <c r="AD233" s="13">
        <f t="shared" si="355"/>
        <v>4</v>
      </c>
      <c r="AE233" s="16">
        <f t="shared" si="356"/>
        <v>136.15839455619943</v>
      </c>
      <c r="AF233" s="23">
        <f t="shared" si="337"/>
        <v>0.14024667376855826</v>
      </c>
      <c r="AG233" s="382"/>
      <c r="AH233" s="385"/>
      <c r="AI233" s="388"/>
      <c r="AJ233" s="22">
        <f t="shared" si="338"/>
        <v>1.8529254048198591</v>
      </c>
      <c r="AK233" s="22">
        <f t="shared" si="357"/>
        <v>0.33</v>
      </c>
      <c r="AL233" s="23">
        <f t="shared" si="339"/>
        <v>18.610006994007279</v>
      </c>
      <c r="AM233" s="23">
        <f t="shared" si="358"/>
        <v>11.379375065213546</v>
      </c>
      <c r="AN233" s="23">
        <f t="shared" si="340"/>
        <v>6.3634425483500952</v>
      </c>
      <c r="AO233" s="23">
        <f t="shared" si="359"/>
        <v>3.2733548468712885</v>
      </c>
      <c r="AP233" s="23">
        <f t="shared" si="360"/>
        <v>0.12428747874394755</v>
      </c>
      <c r="AQ233" s="24">
        <f t="shared" si="341"/>
        <v>5.6420274667111504E-2</v>
      </c>
      <c r="AR233" s="22">
        <f t="shared" si="342"/>
        <v>194822475.72199348</v>
      </c>
      <c r="AS233" s="22">
        <f t="shared" si="361"/>
        <v>1.8958755099642841E-3</v>
      </c>
      <c r="AT233" s="23">
        <f t="shared" si="343"/>
        <v>340.33764041004559</v>
      </c>
      <c r="AU233" s="22">
        <f t="shared" si="344"/>
        <v>12603.21593350623</v>
      </c>
      <c r="AV233" s="443"/>
      <c r="AW233" s="445"/>
      <c r="AX233" s="388"/>
      <c r="AY233" s="339"/>
      <c r="AZ233" s="339"/>
      <c r="BA233" s="331"/>
      <c r="BB233" s="402"/>
      <c r="BC233" s="385"/>
      <c r="BD233" s="445"/>
      <c r="BE233" s="445"/>
      <c r="BF233" s="445"/>
      <c r="BG233" s="445"/>
      <c r="BH233" s="447"/>
      <c r="BI233" s="385"/>
      <c r="BJ233" s="385"/>
      <c r="BK233" s="385"/>
      <c r="BL233" s="23">
        <f t="shared" si="345"/>
        <v>-1.1966462632903032E-3</v>
      </c>
      <c r="BM233" s="24">
        <f t="shared" si="346"/>
        <v>28.129940725483948</v>
      </c>
      <c r="BN233" s="24">
        <f t="shared" si="347"/>
        <v>3901.2008678440366</v>
      </c>
      <c r="BO233" s="24">
        <f t="shared" si="348"/>
        <v>30.525437556872426</v>
      </c>
      <c r="BP233" s="24">
        <f t="shared" si="362"/>
        <v>35.104253190403291</v>
      </c>
      <c r="BQ233" s="23">
        <f t="shared" si="363"/>
        <v>114.90867732660351</v>
      </c>
      <c r="BR233" s="23">
        <f t="shared" si="349"/>
        <v>2.3397097050086213</v>
      </c>
      <c r="BS233" s="6">
        <f t="shared" si="350"/>
        <v>276.94054944514835</v>
      </c>
      <c r="BT233" s="23">
        <f t="shared" si="351"/>
        <v>282.59239739300853</v>
      </c>
      <c r="BU233" s="22">
        <f t="shared" si="352"/>
        <v>360.44948647067412</v>
      </c>
      <c r="BV233" s="22">
        <f t="shared" si="353"/>
        <v>17.16426126050829</v>
      </c>
      <c r="BW233" s="23">
        <f t="shared" si="354"/>
        <v>3.6443292982288144E-3</v>
      </c>
      <c r="BY233" s="361"/>
      <c r="BZ233" s="366"/>
      <c r="CA233" s="361"/>
    </row>
    <row r="234" spans="3:79" ht="15.75" x14ac:dyDescent="0.3">
      <c r="C234" s="22">
        <v>79</v>
      </c>
      <c r="D234" s="379"/>
      <c r="E234" s="379"/>
      <c r="F234" s="19" t="s">
        <v>128</v>
      </c>
      <c r="G234" s="256"/>
      <c r="H234" s="54">
        <v>1.0062500000000101</v>
      </c>
      <c r="I234" s="13">
        <v>-8.6754879999999996</v>
      </c>
      <c r="J234" s="13">
        <v>115.99083899999999</v>
      </c>
      <c r="K234" s="13">
        <f t="shared" si="258"/>
        <v>-0.15141582981725782</v>
      </c>
      <c r="L234" s="13">
        <f t="shared" si="258"/>
        <v>2.024422042700647</v>
      </c>
      <c r="M234" s="13">
        <v>3443</v>
      </c>
      <c r="N234" s="71">
        <f t="shared" si="335"/>
        <v>0.31890414594921113</v>
      </c>
      <c r="O234" s="421"/>
      <c r="P234" s="421"/>
      <c r="Q234" s="425"/>
      <c r="R234" s="23">
        <f t="shared" si="368"/>
        <v>5.0000000000162359E-2</v>
      </c>
      <c r="S234" s="331"/>
      <c r="T234" s="23">
        <f t="shared" si="370"/>
        <v>6.3780829189635115</v>
      </c>
      <c r="U234" s="421"/>
      <c r="V234" s="22">
        <f t="shared" si="336"/>
        <v>3.28088585351483</v>
      </c>
      <c r="W234" s="130">
        <f t="shared" si="372"/>
        <v>-4.4867419040148585E-5</v>
      </c>
      <c r="X234" s="13">
        <f t="shared" si="373"/>
        <v>8.2257367646221269E-5</v>
      </c>
      <c r="Y234" s="13">
        <f t="shared" si="374"/>
        <v>2.0701408369272802</v>
      </c>
      <c r="Z234" s="13">
        <f t="shared" si="375"/>
        <v>118.61033295361315</v>
      </c>
      <c r="AA234" s="13">
        <f t="shared" si="376"/>
        <v>241.38966704638685</v>
      </c>
      <c r="AB234" s="13">
        <v>100</v>
      </c>
      <c r="AC234" s="13">
        <v>13</v>
      </c>
      <c r="AD234" s="13">
        <f t="shared" si="355"/>
        <v>4</v>
      </c>
      <c r="AE234" s="16">
        <f t="shared" si="356"/>
        <v>141.38966704638685</v>
      </c>
      <c r="AF234" s="23">
        <f t="shared" si="337"/>
        <v>0.1245734269139189</v>
      </c>
      <c r="AG234" s="382"/>
      <c r="AH234" s="385"/>
      <c r="AI234" s="388"/>
      <c r="AJ234" s="22">
        <f t="shared" si="338"/>
        <v>1.9590632715788012</v>
      </c>
      <c r="AK234" s="22">
        <f t="shared" si="357"/>
        <v>0.33</v>
      </c>
      <c r="AL234" s="23">
        <f t="shared" si="339"/>
        <v>18.610006994007279</v>
      </c>
      <c r="AM234" s="23">
        <f t="shared" si="358"/>
        <v>12.031199791308811</v>
      </c>
      <c r="AN234" s="23">
        <f t="shared" si="340"/>
        <v>5.6107230201276703</v>
      </c>
      <c r="AO234" s="23">
        <f t="shared" si="359"/>
        <v>2.8861559215536734</v>
      </c>
      <c r="AP234" s="23">
        <f t="shared" si="360"/>
        <v>0.10958574903502526</v>
      </c>
      <c r="AQ234" s="24">
        <f t="shared" si="341"/>
        <v>5.6838333456345626E-2</v>
      </c>
      <c r="AR234" s="22">
        <f t="shared" si="342"/>
        <v>171777295.24014783</v>
      </c>
      <c r="AS234" s="22">
        <f t="shared" si="361"/>
        <v>1.9292704734079611E-3</v>
      </c>
      <c r="AT234" s="23">
        <f t="shared" si="343"/>
        <v>269.24440620744167</v>
      </c>
      <c r="AU234" s="22">
        <f t="shared" si="344"/>
        <v>9970.5262874617165</v>
      </c>
      <c r="AV234" s="443"/>
      <c r="AW234" s="445"/>
      <c r="AX234" s="388"/>
      <c r="AY234" s="339"/>
      <c r="AZ234" s="339"/>
      <c r="BA234" s="331"/>
      <c r="BB234" s="402"/>
      <c r="BC234" s="385"/>
      <c r="BD234" s="445"/>
      <c r="BE234" s="445"/>
      <c r="BF234" s="445"/>
      <c r="BG234" s="445"/>
      <c r="BH234" s="447"/>
      <c r="BI234" s="385"/>
      <c r="BJ234" s="385"/>
      <c r="BK234" s="385"/>
      <c r="BL234" s="23">
        <f t="shared" si="345"/>
        <v>-1.8750512087576879E-4</v>
      </c>
      <c r="BM234" s="24">
        <f t="shared" si="346"/>
        <v>4.3243007785356005</v>
      </c>
      <c r="BN234" s="24">
        <f t="shared" si="347"/>
        <v>3032.8554849753905</v>
      </c>
      <c r="BO234" s="24">
        <f t="shared" si="348"/>
        <v>24.077617629328934</v>
      </c>
      <c r="BP234" s="24">
        <f t="shared" si="362"/>
        <v>27.689260273728273</v>
      </c>
      <c r="BQ234" s="23">
        <f t="shared" si="363"/>
        <v>79.915522502461741</v>
      </c>
      <c r="BR234" s="23">
        <f t="shared" si="349"/>
        <v>2.0629498895549334</v>
      </c>
      <c r="BS234" s="6">
        <f t="shared" si="350"/>
        <v>192.60380700512977</v>
      </c>
      <c r="BT234" s="23">
        <f t="shared" si="351"/>
        <v>196.53449694400996</v>
      </c>
      <c r="BU234" s="22">
        <f t="shared" si="352"/>
        <v>250.68175630613516</v>
      </c>
      <c r="BV234" s="22">
        <f t="shared" si="353"/>
        <v>11.937226490768341</v>
      </c>
      <c r="BW234" s="23">
        <f t="shared" si="354"/>
        <v>2.5533013195380067E-3</v>
      </c>
      <c r="BY234" s="361"/>
      <c r="BZ234" s="366"/>
      <c r="CA234" s="361"/>
    </row>
    <row r="235" spans="3:79" ht="15.75" x14ac:dyDescent="0.3">
      <c r="C235" s="22">
        <v>80</v>
      </c>
      <c r="D235" s="379"/>
      <c r="E235" s="379"/>
      <c r="F235" s="19" t="s">
        <v>128</v>
      </c>
      <c r="G235" s="257"/>
      <c r="H235" s="54">
        <v>1.00833333333334</v>
      </c>
      <c r="I235" s="13">
        <v>-8.6782900000000005</v>
      </c>
      <c r="J235" s="13">
        <v>115.996184</v>
      </c>
      <c r="K235" s="13">
        <f t="shared" si="258"/>
        <v>-0.15146473394289872</v>
      </c>
      <c r="L235" s="13">
        <f t="shared" si="258"/>
        <v>2.0245153305491663</v>
      </c>
      <c r="M235" s="13">
        <v>3443</v>
      </c>
      <c r="N235" s="71">
        <f t="shared" si="335"/>
        <v>0.35939659448436301</v>
      </c>
      <c r="O235" s="421"/>
      <c r="P235" s="421"/>
      <c r="Q235" s="425"/>
      <c r="R235" s="23">
        <f t="shared" si="368"/>
        <v>4.9999999999917222E-2</v>
      </c>
      <c r="S235" s="331"/>
      <c r="T235" s="23">
        <f t="shared" si="370"/>
        <v>7.1879318896991604</v>
      </c>
      <c r="U235" s="421"/>
      <c r="V235" s="22">
        <f t="shared" si="336"/>
        <v>3.697472164061248</v>
      </c>
      <c r="W235" s="130">
        <f t="shared" si="372"/>
        <v>-4.9476350789727939E-5</v>
      </c>
      <c r="X235" s="13">
        <f t="shared" si="373"/>
        <v>9.3287848519363337E-5</v>
      </c>
      <c r="Y235" s="13">
        <f t="shared" si="374"/>
        <v>2.0584376523854253</v>
      </c>
      <c r="Z235" s="13">
        <f t="shared" si="375"/>
        <v>117.93978987250212</v>
      </c>
      <c r="AA235" s="13">
        <f t="shared" si="376"/>
        <v>242.0602101274979</v>
      </c>
      <c r="AB235" s="13">
        <v>100</v>
      </c>
      <c r="AC235" s="13">
        <v>13</v>
      </c>
      <c r="AD235" s="13">
        <f t="shared" si="355"/>
        <v>4</v>
      </c>
      <c r="AE235" s="16">
        <f t="shared" si="356"/>
        <v>142.0602101274979</v>
      </c>
      <c r="AF235" s="23">
        <f t="shared" si="337"/>
        <v>0.14039097943699658</v>
      </c>
      <c r="AG235" s="382"/>
      <c r="AH235" s="385"/>
      <c r="AI235" s="388"/>
      <c r="AJ235" s="22">
        <f t="shared" si="338"/>
        <v>1.8519217016386742</v>
      </c>
      <c r="AK235" s="22">
        <f t="shared" si="357"/>
        <v>0.33</v>
      </c>
      <c r="AL235" s="23">
        <f t="shared" si="339"/>
        <v>18.610006994007279</v>
      </c>
      <c r="AM235" s="23">
        <f t="shared" si="358"/>
        <v>11.373211020550364</v>
      </c>
      <c r="AN235" s="23">
        <f t="shared" si="340"/>
        <v>6.3704332278702411</v>
      </c>
      <c r="AO235" s="23">
        <f t="shared" si="359"/>
        <v>3.2769508524164519</v>
      </c>
      <c r="AP235" s="23">
        <f t="shared" si="360"/>
        <v>0.12442401709180947</v>
      </c>
      <c r="AQ235" s="24">
        <f t="shared" si="341"/>
        <v>5.6416350604229823E-2</v>
      </c>
      <c r="AR235" s="22">
        <f t="shared" si="342"/>
        <v>195036501.61768526</v>
      </c>
      <c r="AS235" s="22">
        <f t="shared" si="361"/>
        <v>1.8955880761636378E-3</v>
      </c>
      <c r="AT235" s="23">
        <f t="shared" si="343"/>
        <v>341.03410774050747</v>
      </c>
      <c r="AU235" s="22">
        <f t="shared" si="344"/>
        <v>12629.007168780317</v>
      </c>
      <c r="AV235" s="443"/>
      <c r="AW235" s="445"/>
      <c r="AX235" s="388"/>
      <c r="AY235" s="339"/>
      <c r="AZ235" s="339"/>
      <c r="BA235" s="331"/>
      <c r="BB235" s="402"/>
      <c r="BC235" s="385"/>
      <c r="BD235" s="445"/>
      <c r="BE235" s="445"/>
      <c r="BF235" s="445"/>
      <c r="BG235" s="445"/>
      <c r="BH235" s="447"/>
      <c r="BI235" s="385"/>
      <c r="BJ235" s="385"/>
      <c r="BK235" s="385"/>
      <c r="BL235" s="23">
        <f t="shared" si="345"/>
        <v>-1.2137598181220647E-3</v>
      </c>
      <c r="BM235" s="24">
        <f t="shared" si="346"/>
        <v>28.567072352468415</v>
      </c>
      <c r="BN235" s="24">
        <f t="shared" si="347"/>
        <v>3909.7770512267039</v>
      </c>
      <c r="BO235" s="24">
        <f t="shared" si="348"/>
        <v>30.588877174671715</v>
      </c>
      <c r="BP235" s="24">
        <f t="shared" si="362"/>
        <v>35.177208750872474</v>
      </c>
      <c r="BQ235" s="23">
        <f t="shared" si="363"/>
        <v>115.27398420180302</v>
      </c>
      <c r="BR235" s="23">
        <f t="shared" si="349"/>
        <v>2.3422800371195214</v>
      </c>
      <c r="BS235" s="6">
        <f t="shared" si="350"/>
        <v>277.82097283081043</v>
      </c>
      <c r="BT235" s="23">
        <f t="shared" si="351"/>
        <v>283.49078860286778</v>
      </c>
      <c r="BU235" s="22">
        <f t="shared" si="352"/>
        <v>361.59539362610684</v>
      </c>
      <c r="BV235" s="22">
        <f t="shared" si="353"/>
        <v>17.218828267909849</v>
      </c>
      <c r="BW235" s="23">
        <f t="shared" si="354"/>
        <v>3.6556607366603397E-3</v>
      </c>
      <c r="BY235" s="362"/>
      <c r="BZ235" s="451"/>
      <c r="CA235" s="362"/>
    </row>
    <row r="236" spans="3:79" ht="15.75" x14ac:dyDescent="0.3">
      <c r="C236" s="22">
        <v>81</v>
      </c>
      <c r="D236" s="379"/>
      <c r="E236" s="379"/>
      <c r="F236" s="19" t="s">
        <v>128</v>
      </c>
      <c r="G236" s="255">
        <v>1.0104166666666701</v>
      </c>
      <c r="H236" s="54">
        <v>1.0104166666666701</v>
      </c>
      <c r="I236" s="13">
        <v>-8.6814020000000003</v>
      </c>
      <c r="J236" s="13">
        <v>116.001566</v>
      </c>
      <c r="K236" s="13">
        <f t="shared" ref="K236:L251" si="389">RADIANS(I236)</f>
        <v>-0.15151904858922077</v>
      </c>
      <c r="L236" s="13">
        <f t="shared" si="389"/>
        <v>2.0246092641695084</v>
      </c>
      <c r="M236" s="13">
        <v>3443</v>
      </c>
      <c r="N236" s="71">
        <f t="shared" si="335"/>
        <v>0.37038506970091301</v>
      </c>
      <c r="O236" s="422"/>
      <c r="P236" s="422"/>
      <c r="Q236" s="426"/>
      <c r="R236" s="23">
        <f t="shared" si="368"/>
        <v>4.9999999999922551E-2</v>
      </c>
      <c r="S236" s="358"/>
      <c r="T236" s="23">
        <f t="shared" si="370"/>
        <v>7.4077013940297345</v>
      </c>
      <c r="U236" s="422"/>
      <c r="V236" s="22">
        <f t="shared" si="336"/>
        <v>3.8105215970888953</v>
      </c>
      <c r="W236" s="130">
        <f t="shared" si="372"/>
        <v>-5.4950614928506743E-5</v>
      </c>
      <c r="X236" s="13">
        <f t="shared" si="373"/>
        <v>9.3933620342045998E-5</v>
      </c>
      <c r="Y236" s="13">
        <f t="shared" si="374"/>
        <v>2.1001090106258338</v>
      </c>
      <c r="Z236" s="13">
        <f t="shared" si="375"/>
        <v>120.32738282625523</v>
      </c>
      <c r="AA236" s="13">
        <f t="shared" si="376"/>
        <v>239.67261717374475</v>
      </c>
      <c r="AB236" s="13">
        <v>100</v>
      </c>
      <c r="AC236" s="13">
        <v>13</v>
      </c>
      <c r="AD236" s="13">
        <f t="shared" si="355"/>
        <v>4</v>
      </c>
      <c r="AE236" s="16">
        <f t="shared" si="356"/>
        <v>139.67261717374475</v>
      </c>
      <c r="AF236" s="23">
        <f t="shared" si="337"/>
        <v>0.1446834040782996</v>
      </c>
      <c r="AG236" s="382"/>
      <c r="AH236" s="385"/>
      <c r="AI236" s="388"/>
      <c r="AJ236" s="22">
        <f t="shared" si="338"/>
        <v>1.8218452708883512</v>
      </c>
      <c r="AK236" s="22">
        <f t="shared" si="357"/>
        <v>0.33</v>
      </c>
      <c r="AL236" s="23">
        <f t="shared" si="339"/>
        <v>18.610006994007279</v>
      </c>
      <c r="AM236" s="23">
        <f t="shared" si="358"/>
        <v>11.18850256696633</v>
      </c>
      <c r="AN236" s="23">
        <f t="shared" si="340"/>
        <v>6.5788905334055174</v>
      </c>
      <c r="AO236" s="23">
        <f t="shared" si="359"/>
        <v>3.3841812903837978</v>
      </c>
      <c r="AP236" s="23">
        <f t="shared" si="360"/>
        <v>0.12849549769902477</v>
      </c>
      <c r="AQ236" s="24">
        <f t="shared" si="341"/>
        <v>5.629901695737529E-2</v>
      </c>
      <c r="AR236" s="22">
        <f t="shared" si="342"/>
        <v>201418608.16428217</v>
      </c>
      <c r="AS236" s="22">
        <f t="shared" si="361"/>
        <v>1.8871878531937201E-3</v>
      </c>
      <c r="AT236" s="23">
        <f t="shared" si="343"/>
        <v>362.10653689165844</v>
      </c>
      <c r="AU236" s="22">
        <f t="shared" si="344"/>
        <v>13409.350990038205</v>
      </c>
      <c r="AV236" s="443"/>
      <c r="AW236" s="445"/>
      <c r="AX236" s="388"/>
      <c r="AY236" s="339"/>
      <c r="AZ236" s="339"/>
      <c r="BA236" s="331"/>
      <c r="BB236" s="402"/>
      <c r="BC236" s="385"/>
      <c r="BD236" s="445"/>
      <c r="BE236" s="445"/>
      <c r="BF236" s="445"/>
      <c r="BG236" s="445"/>
      <c r="BH236" s="447"/>
      <c r="BI236" s="385"/>
      <c r="BJ236" s="385"/>
      <c r="BK236" s="385"/>
      <c r="BL236" s="23">
        <f t="shared" si="345"/>
        <v>-1.8158967092088728E-3</v>
      </c>
      <c r="BM236" s="24">
        <f t="shared" si="346"/>
        <v>44.590802883869841</v>
      </c>
      <c r="BN236" s="24">
        <f t="shared" si="347"/>
        <v>4169.8398705474556</v>
      </c>
      <c r="BO236" s="24">
        <f t="shared" si="348"/>
        <v>32.511694819194524</v>
      </c>
      <c r="BP236" s="24">
        <f t="shared" si="362"/>
        <v>37.388449042073702</v>
      </c>
      <c r="BQ236" s="23">
        <f t="shared" si="363"/>
        <v>126.52928972465385</v>
      </c>
      <c r="BR236" s="23">
        <f t="shared" si="349"/>
        <v>2.4189255913356571</v>
      </c>
      <c r="BS236" s="6">
        <f t="shared" si="350"/>
        <v>304.94730104370745</v>
      </c>
      <c r="BT236" s="23">
        <f t="shared" si="351"/>
        <v>311.17071535072188</v>
      </c>
      <c r="BU236" s="22">
        <f t="shared" si="352"/>
        <v>396.90142264122687</v>
      </c>
      <c r="BV236" s="22">
        <f t="shared" si="353"/>
        <v>18.90006774482033</v>
      </c>
      <c r="BW236" s="23">
        <f t="shared" si="354"/>
        <v>4.0042526583243167E-3</v>
      </c>
      <c r="BY236" s="360">
        <f t="shared" ref="BY236" si="390">(SUM(BW236:BW240))*1000</f>
        <v>33.402069998798027</v>
      </c>
      <c r="BZ236" s="365">
        <v>30</v>
      </c>
      <c r="CA236" s="360">
        <f t="shared" ref="CA236" si="391">AVERAGE(AN236:AN240)</f>
        <v>7.7004795822576053</v>
      </c>
    </row>
    <row r="237" spans="3:79" ht="15.75" x14ac:dyDescent="0.3">
      <c r="C237" s="22">
        <v>82</v>
      </c>
      <c r="D237" s="379"/>
      <c r="E237" s="379"/>
      <c r="F237" s="19" t="s">
        <v>128</v>
      </c>
      <c r="G237" s="256"/>
      <c r="H237" s="54">
        <v>1.0125000000000099</v>
      </c>
      <c r="I237" s="13">
        <v>-8.6853960000000008</v>
      </c>
      <c r="J237" s="13">
        <v>116.00787200000001</v>
      </c>
      <c r="K237" s="13">
        <f t="shared" si="389"/>
        <v>-0.15158875703954544</v>
      </c>
      <c r="L237" s="13">
        <f t="shared" si="389"/>
        <v>2.0247193246321395</v>
      </c>
      <c r="M237" s="13">
        <v>3443</v>
      </c>
      <c r="N237" s="71">
        <f t="shared" si="335"/>
        <v>0.44488665074620054</v>
      </c>
      <c r="O237" s="420">
        <f t="shared" ref="O237" si="392">SUM(N237:N241)</f>
        <v>2.3106646605770926</v>
      </c>
      <c r="P237" s="423">
        <v>2.2999999999999998</v>
      </c>
      <c r="Q237" s="424">
        <f t="shared" ref="Q237" si="393">ABS((O237-P237)/O237)*100%</f>
        <v>4.6154081806181659E-3</v>
      </c>
      <c r="R237" s="23">
        <f t="shared" si="368"/>
        <v>5.000000000015703E-2</v>
      </c>
      <c r="S237" s="357">
        <f t="shared" ref="S237" si="394">+SUM(R237:R241)</f>
        <v>0.25000000000007638</v>
      </c>
      <c r="T237" s="23">
        <f t="shared" si="370"/>
        <v>8.8977330148960672</v>
      </c>
      <c r="U237" s="420">
        <f t="shared" ref="U237" si="395">AVERAGE(T237:T241)</f>
        <v>9.242658642305198</v>
      </c>
      <c r="V237" s="22">
        <f t="shared" si="336"/>
        <v>4.5769938628625368</v>
      </c>
      <c r="W237" s="130">
        <f t="shared" si="372"/>
        <v>-7.0525335885566749E-5</v>
      </c>
      <c r="X237" s="13">
        <f t="shared" si="373"/>
        <v>1.1006046263117852E-4</v>
      </c>
      <c r="Y237" s="13">
        <f t="shared" si="374"/>
        <v>2.1406677759327337</v>
      </c>
      <c r="Z237" s="13">
        <f t="shared" si="375"/>
        <v>122.65122890060222</v>
      </c>
      <c r="AA237" s="13">
        <f t="shared" si="376"/>
        <v>237.34877109939777</v>
      </c>
      <c r="AB237" s="13">
        <v>100</v>
      </c>
      <c r="AC237" s="13">
        <v>13</v>
      </c>
      <c r="AD237" s="13">
        <f t="shared" si="355"/>
        <v>4</v>
      </c>
      <c r="AE237" s="16">
        <f t="shared" si="356"/>
        <v>137.34877109939777</v>
      </c>
      <c r="AF237" s="23">
        <f t="shared" si="337"/>
        <v>0.17378593340878762</v>
      </c>
      <c r="AG237" s="382"/>
      <c r="AH237" s="385"/>
      <c r="AI237" s="388"/>
      <c r="AJ237" s="22">
        <f t="shared" si="338"/>
        <v>1.6066540588386284</v>
      </c>
      <c r="AK237" s="22">
        <f t="shared" si="357"/>
        <v>0.33</v>
      </c>
      <c r="AL237" s="23">
        <f t="shared" si="339"/>
        <v>18.610006994007279</v>
      </c>
      <c r="AM237" s="23">
        <f t="shared" si="358"/>
        <v>9.8669482797392298</v>
      </c>
      <c r="AN237" s="23">
        <f t="shared" si="340"/>
        <v>8.0197983002469897</v>
      </c>
      <c r="AO237" s="23">
        <f t="shared" si="359"/>
        <v>4.1253842456470515</v>
      </c>
      <c r="AP237" s="23">
        <f t="shared" si="360"/>
        <v>0.15663856524188047</v>
      </c>
      <c r="AQ237" s="24">
        <f t="shared" si="341"/>
        <v>5.5473546103085802E-2</v>
      </c>
      <c r="AR237" s="22">
        <f t="shared" si="342"/>
        <v>245533286.07488734</v>
      </c>
      <c r="AS237" s="22">
        <f t="shared" si="361"/>
        <v>1.8367267193286475E-3</v>
      </c>
      <c r="AT237" s="23">
        <f t="shared" si="343"/>
        <v>523.705756263181</v>
      </c>
      <c r="AU237" s="22">
        <f t="shared" si="344"/>
        <v>19393.613717991309</v>
      </c>
      <c r="AV237" s="443"/>
      <c r="AW237" s="445"/>
      <c r="AX237" s="388"/>
      <c r="AY237" s="339"/>
      <c r="AZ237" s="339"/>
      <c r="BA237" s="331"/>
      <c r="BB237" s="402"/>
      <c r="BC237" s="385"/>
      <c r="BD237" s="445"/>
      <c r="BE237" s="445"/>
      <c r="BF237" s="445"/>
      <c r="BG237" s="445"/>
      <c r="BH237" s="447"/>
      <c r="BI237" s="385"/>
      <c r="BJ237" s="385"/>
      <c r="BK237" s="385"/>
      <c r="BL237" s="23">
        <f t="shared" si="345"/>
        <v>-1.3163000863867277E-2</v>
      </c>
      <c r="BM237" s="24">
        <f t="shared" si="346"/>
        <v>520.76932856326493</v>
      </c>
      <c r="BN237" s="24">
        <f t="shared" si="347"/>
        <v>6196.421452325174</v>
      </c>
      <c r="BO237" s="24">
        <f t="shared" si="348"/>
        <v>47.64282622190192</v>
      </c>
      <c r="BP237" s="24">
        <f t="shared" si="362"/>
        <v>54.789250155187204</v>
      </c>
      <c r="BQ237" s="23">
        <f t="shared" si="363"/>
        <v>226.02670942102458</v>
      </c>
      <c r="BR237" s="23">
        <f t="shared" si="349"/>
        <v>2.9487183663133152</v>
      </c>
      <c r="BS237" s="6">
        <f t="shared" si="350"/>
        <v>544.74529298097923</v>
      </c>
      <c r="BT237" s="23">
        <f t="shared" si="351"/>
        <v>555.86254385814209</v>
      </c>
      <c r="BU237" s="22">
        <f t="shared" si="352"/>
        <v>709.00834675783426</v>
      </c>
      <c r="BV237" s="22">
        <f t="shared" si="353"/>
        <v>33.762302226563534</v>
      </c>
      <c r="BW237" s="23">
        <f t="shared" si="354"/>
        <v>7.0481523322727304E-3</v>
      </c>
      <c r="BY237" s="361"/>
      <c r="BZ237" s="366"/>
      <c r="CA237" s="361"/>
    </row>
    <row r="238" spans="3:79" ht="15.75" x14ac:dyDescent="0.3">
      <c r="C238" s="22">
        <v>83</v>
      </c>
      <c r="D238" s="379"/>
      <c r="E238" s="379"/>
      <c r="F238" s="19" t="s">
        <v>128</v>
      </c>
      <c r="G238" s="256"/>
      <c r="H238" s="54">
        <v>1.0145833333333401</v>
      </c>
      <c r="I238" s="13">
        <v>-8.6878530000000005</v>
      </c>
      <c r="J238" s="13">
        <v>116.01319700000001</v>
      </c>
      <c r="K238" s="13">
        <f t="shared" si="389"/>
        <v>-0.15163163977926694</v>
      </c>
      <c r="L238" s="13">
        <f t="shared" si="389"/>
        <v>2.024812263414808</v>
      </c>
      <c r="M238" s="13">
        <v>3443</v>
      </c>
      <c r="N238" s="71">
        <f t="shared" si="335"/>
        <v>0.34907880626771354</v>
      </c>
      <c r="O238" s="421"/>
      <c r="P238" s="421"/>
      <c r="Q238" s="425"/>
      <c r="R238" s="23">
        <f t="shared" si="368"/>
        <v>4.9999999999922551E-2</v>
      </c>
      <c r="S238" s="331"/>
      <c r="T238" s="23">
        <f t="shared" si="370"/>
        <v>6.981576125365085</v>
      </c>
      <c r="U238" s="421"/>
      <c r="V238" s="22">
        <f t="shared" si="336"/>
        <v>3.5913227588877996</v>
      </c>
      <c r="W238" s="130">
        <f t="shared" si="372"/>
        <v>-4.3385640538424275E-5</v>
      </c>
      <c r="X238" s="13">
        <f t="shared" si="373"/>
        <v>9.2938782668472442E-5</v>
      </c>
      <c r="Y238" s="13">
        <f t="shared" si="374"/>
        <v>2.0075490206837063</v>
      </c>
      <c r="Z238" s="13">
        <f t="shared" si="375"/>
        <v>115.02408605079798</v>
      </c>
      <c r="AA238" s="13">
        <f t="shared" si="376"/>
        <v>244.97591394920204</v>
      </c>
      <c r="AB238" s="13">
        <v>100</v>
      </c>
      <c r="AC238" s="13">
        <v>13</v>
      </c>
      <c r="AD238" s="13">
        <f t="shared" si="355"/>
        <v>4</v>
      </c>
      <c r="AE238" s="16">
        <f t="shared" si="356"/>
        <v>144.97591394920204</v>
      </c>
      <c r="AF238" s="23">
        <f t="shared" si="337"/>
        <v>0.136360545048929</v>
      </c>
      <c r="AG238" s="382"/>
      <c r="AH238" s="385"/>
      <c r="AI238" s="388"/>
      <c r="AJ238" s="22">
        <f t="shared" si="338"/>
        <v>1.8797732836648871</v>
      </c>
      <c r="AK238" s="22">
        <f t="shared" si="357"/>
        <v>0.33</v>
      </c>
      <c r="AL238" s="23">
        <f t="shared" si="339"/>
        <v>18.610006994007279</v>
      </c>
      <c r="AM238" s="23">
        <f t="shared" si="358"/>
        <v>11.544256005530022</v>
      </c>
      <c r="AN238" s="23">
        <f t="shared" si="340"/>
        <v>6.175605104231976</v>
      </c>
      <c r="AO238" s="23">
        <f t="shared" si="359"/>
        <v>3.1767312656169282</v>
      </c>
      <c r="AP238" s="23">
        <f t="shared" si="360"/>
        <v>0.12061873463794455</v>
      </c>
      <c r="AQ238" s="24">
        <f t="shared" si="341"/>
        <v>5.6525441697769699E-2</v>
      </c>
      <c r="AR238" s="22">
        <f t="shared" si="342"/>
        <v>189071664.64476109</v>
      </c>
      <c r="AS238" s="22">
        <f t="shared" si="361"/>
        <v>1.9037446612856005E-3</v>
      </c>
      <c r="AT238" s="23">
        <f t="shared" si="343"/>
        <v>321.87233115247898</v>
      </c>
      <c r="AU238" s="22">
        <f t="shared" si="344"/>
        <v>11919.417692525021</v>
      </c>
      <c r="AV238" s="443"/>
      <c r="AW238" s="445"/>
      <c r="AX238" s="388"/>
      <c r="AY238" s="339"/>
      <c r="AZ238" s="339"/>
      <c r="BA238" s="331"/>
      <c r="BB238" s="402"/>
      <c r="BC238" s="385"/>
      <c r="BD238" s="445"/>
      <c r="BE238" s="445"/>
      <c r="BF238" s="445"/>
      <c r="BG238" s="445"/>
      <c r="BH238" s="447"/>
      <c r="BI238" s="385"/>
      <c r="BJ238" s="385"/>
      <c r="BK238" s="385"/>
      <c r="BL238" s="23">
        <f t="shared" si="345"/>
        <v>-8.0230370233142076E-4</v>
      </c>
      <c r="BM238" s="24">
        <f t="shared" si="346"/>
        <v>18.357060484897143</v>
      </c>
      <c r="BN238" s="24">
        <f t="shared" si="347"/>
        <v>3674.2871349893571</v>
      </c>
      <c r="BO238" s="24">
        <f t="shared" si="348"/>
        <v>28.845756464638807</v>
      </c>
      <c r="BP238" s="24">
        <f t="shared" si="362"/>
        <v>33.172619934334627</v>
      </c>
      <c r="BQ238" s="23">
        <f t="shared" si="363"/>
        <v>105.38049890782818</v>
      </c>
      <c r="BR238" s="23">
        <f t="shared" si="349"/>
        <v>2.2706456586802508</v>
      </c>
      <c r="BS238" s="6">
        <f t="shared" si="350"/>
        <v>253.97675743310572</v>
      </c>
      <c r="BT238" s="23">
        <f t="shared" si="351"/>
        <v>259.15995656439361</v>
      </c>
      <c r="BU238" s="22">
        <f t="shared" si="352"/>
        <v>330.56116908723669</v>
      </c>
      <c r="BV238" s="22">
        <f t="shared" si="353"/>
        <v>15.741008051773175</v>
      </c>
      <c r="BW238" s="23">
        <f t="shared" si="354"/>
        <v>3.3483728034690644E-3</v>
      </c>
      <c r="BY238" s="361"/>
      <c r="BZ238" s="366"/>
      <c r="CA238" s="361"/>
    </row>
    <row r="239" spans="3:79" ht="15.75" x14ac:dyDescent="0.3">
      <c r="C239" s="22">
        <v>84</v>
      </c>
      <c r="D239" s="379"/>
      <c r="E239" s="379"/>
      <c r="F239" s="19" t="s">
        <v>128</v>
      </c>
      <c r="G239" s="256"/>
      <c r="H239" s="54">
        <v>1.0166666666666699</v>
      </c>
      <c r="I239" s="13">
        <v>-8.691649</v>
      </c>
      <c r="J239" s="13">
        <v>116.020219</v>
      </c>
      <c r="K239" s="13">
        <f t="shared" si="389"/>
        <v>-0.15169789247767262</v>
      </c>
      <c r="L239" s="13">
        <f t="shared" si="389"/>
        <v>2.0249348204348832</v>
      </c>
      <c r="M239" s="13">
        <v>3443</v>
      </c>
      <c r="N239" s="71">
        <f t="shared" si="335"/>
        <v>0.47541816180386159</v>
      </c>
      <c r="O239" s="421"/>
      <c r="P239" s="421"/>
      <c r="Q239" s="425"/>
      <c r="R239" s="23">
        <f t="shared" si="368"/>
        <v>4.9999999999917222E-2</v>
      </c>
      <c r="S239" s="331"/>
      <c r="T239" s="23">
        <f t="shared" si="370"/>
        <v>9.5083632360929737</v>
      </c>
      <c r="U239" s="421"/>
      <c r="V239" s="22">
        <f t="shared" si="336"/>
        <v>4.8911020486462258</v>
      </c>
      <c r="W239" s="130">
        <f t="shared" si="372"/>
        <v>-6.7030228782435366E-5</v>
      </c>
      <c r="X239" s="13">
        <f t="shared" si="373"/>
        <v>1.2255702007513136E-4</v>
      </c>
      <c r="Y239" s="13">
        <f t="shared" si="374"/>
        <v>2.0712802166894813</v>
      </c>
      <c r="Z239" s="13">
        <f t="shared" si="375"/>
        <v>118.67561460524989</v>
      </c>
      <c r="AA239" s="13">
        <f t="shared" si="376"/>
        <v>241.3243853947501</v>
      </c>
      <c r="AB239" s="13">
        <v>100</v>
      </c>
      <c r="AC239" s="13">
        <v>13</v>
      </c>
      <c r="AD239" s="13">
        <f t="shared" si="355"/>
        <v>4</v>
      </c>
      <c r="AE239" s="16">
        <f t="shared" si="356"/>
        <v>141.3243853947501</v>
      </c>
      <c r="AF239" s="23">
        <f t="shared" si="337"/>
        <v>0.18571244803680137</v>
      </c>
      <c r="AG239" s="382"/>
      <c r="AH239" s="385"/>
      <c r="AI239" s="388"/>
      <c r="AJ239" s="22">
        <f t="shared" si="338"/>
        <v>1.5127902273363039</v>
      </c>
      <c r="AK239" s="22">
        <f t="shared" si="357"/>
        <v>0.33</v>
      </c>
      <c r="AL239" s="23">
        <f t="shared" si="339"/>
        <v>18.610006994007279</v>
      </c>
      <c r="AM239" s="23">
        <f t="shared" si="358"/>
        <v>9.2905021146941777</v>
      </c>
      <c r="AN239" s="23">
        <f t="shared" si="340"/>
        <v>8.6249885485709523</v>
      </c>
      <c r="AO239" s="23">
        <f t="shared" si="359"/>
        <v>4.4366941093848977</v>
      </c>
      <c r="AP239" s="23">
        <f t="shared" si="360"/>
        <v>0.16845882912469201</v>
      </c>
      <c r="AQ239" s="24">
        <f t="shared" si="341"/>
        <v>5.5121019480383213E-2</v>
      </c>
      <c r="AR239" s="22">
        <f t="shared" si="342"/>
        <v>264061725.91942593</v>
      </c>
      <c r="AS239" s="22">
        <f t="shared" si="361"/>
        <v>1.81869762361351E-3</v>
      </c>
      <c r="AT239" s="23">
        <f t="shared" si="343"/>
        <v>599.78205181237252</v>
      </c>
      <c r="AU239" s="22">
        <f t="shared" si="344"/>
        <v>22210.833638398912</v>
      </c>
      <c r="AV239" s="443"/>
      <c r="AW239" s="445"/>
      <c r="AX239" s="388"/>
      <c r="AY239" s="339"/>
      <c r="AZ239" s="339"/>
      <c r="BA239" s="331"/>
      <c r="BB239" s="402"/>
      <c r="BC239" s="385"/>
      <c r="BD239" s="445"/>
      <c r="BE239" s="445"/>
      <c r="BF239" s="445"/>
      <c r="BG239" s="445"/>
      <c r="BH239" s="447"/>
      <c r="BI239" s="385"/>
      <c r="BJ239" s="385"/>
      <c r="BK239" s="385"/>
      <c r="BL239" s="23">
        <f t="shared" si="345"/>
        <v>-2.2858064321548851E-2</v>
      </c>
      <c r="BM239" s="24">
        <f t="shared" si="346"/>
        <v>1166.5869191798311</v>
      </c>
      <c r="BN239" s="24">
        <f t="shared" si="347"/>
        <v>7166.8961494185114</v>
      </c>
      <c r="BO239" s="24">
        <f t="shared" si="348"/>
        <v>55.204194919626268</v>
      </c>
      <c r="BP239" s="24">
        <f t="shared" si="362"/>
        <v>63.484824157570209</v>
      </c>
      <c r="BQ239" s="23">
        <f t="shared" si="363"/>
        <v>281.66274537522781</v>
      </c>
      <c r="BR239" s="23">
        <f t="shared" si="349"/>
        <v>3.1712346358673291</v>
      </c>
      <c r="BS239" s="6">
        <f t="shared" si="350"/>
        <v>678.8332898544744</v>
      </c>
      <c r="BT239" s="23">
        <f t="shared" si="351"/>
        <v>692.68703046374935</v>
      </c>
      <c r="BU239" s="22">
        <f t="shared" si="352"/>
        <v>883.5293755915169</v>
      </c>
      <c r="BV239" s="22">
        <f t="shared" si="353"/>
        <v>42.072827409119853</v>
      </c>
      <c r="BW239" s="23">
        <f t="shared" si="354"/>
        <v>8.7272263542859715E-3</v>
      </c>
      <c r="BY239" s="361"/>
      <c r="BZ239" s="366"/>
      <c r="CA239" s="361"/>
    </row>
    <row r="240" spans="3:79" ht="15.75" x14ac:dyDescent="0.3">
      <c r="C240" s="22">
        <v>85</v>
      </c>
      <c r="D240" s="379"/>
      <c r="E240" s="379"/>
      <c r="F240" s="19" t="s">
        <v>128</v>
      </c>
      <c r="G240" s="257"/>
      <c r="H240" s="54">
        <v>1.01875000000001</v>
      </c>
      <c r="I240" s="13">
        <v>-8.6957129999999996</v>
      </c>
      <c r="J240" s="13">
        <v>116.02754899999999</v>
      </c>
      <c r="K240" s="13">
        <f t="shared" si="389"/>
        <v>-0.15176882265847366</v>
      </c>
      <c r="L240" s="13">
        <f t="shared" si="389"/>
        <v>2.0250627530690539</v>
      </c>
      <c r="M240" s="13">
        <v>3443</v>
      </c>
      <c r="N240" s="71">
        <f t="shared" si="335"/>
        <v>0.49922218076655855</v>
      </c>
      <c r="O240" s="421"/>
      <c r="P240" s="421"/>
      <c r="Q240" s="425"/>
      <c r="R240" s="23">
        <f t="shared" si="368"/>
        <v>5.0000000000162359E-2</v>
      </c>
      <c r="S240" s="331"/>
      <c r="T240" s="23">
        <f t="shared" si="370"/>
        <v>9.9844436152987495</v>
      </c>
      <c r="U240" s="421"/>
      <c r="V240" s="22">
        <f t="shared" si="336"/>
        <v>5.1359977957096765</v>
      </c>
      <c r="W240" s="130">
        <f t="shared" si="372"/>
        <v>-7.1763361821425913E-5</v>
      </c>
      <c r="X240" s="13">
        <f t="shared" si="373"/>
        <v>1.2793263417076872E-4</v>
      </c>
      <c r="Y240" s="13">
        <f t="shared" si="374"/>
        <v>2.0820048877120323</v>
      </c>
      <c r="Z240" s="13">
        <f t="shared" si="375"/>
        <v>119.29009299150832</v>
      </c>
      <c r="AA240" s="13">
        <f t="shared" si="376"/>
        <v>240.70990700849168</v>
      </c>
      <c r="AB240" s="13">
        <v>100</v>
      </c>
      <c r="AC240" s="13">
        <v>13</v>
      </c>
      <c r="AD240" s="13">
        <f t="shared" si="355"/>
        <v>4</v>
      </c>
      <c r="AE240" s="16">
        <f t="shared" si="356"/>
        <v>140.70990700849168</v>
      </c>
      <c r="AF240" s="23">
        <f t="shared" si="337"/>
        <v>0.19501100452746853</v>
      </c>
      <c r="AG240" s="382"/>
      <c r="AH240" s="385"/>
      <c r="AI240" s="388"/>
      <c r="AJ240" s="22">
        <f t="shared" si="338"/>
        <v>1.4373194973613432</v>
      </c>
      <c r="AK240" s="22">
        <f t="shared" si="357"/>
        <v>0.33</v>
      </c>
      <c r="AL240" s="23">
        <f t="shared" si="339"/>
        <v>18.610006994007279</v>
      </c>
      <c r="AM240" s="23">
        <f t="shared" si="358"/>
        <v>8.8270135465108162</v>
      </c>
      <c r="AN240" s="23">
        <f t="shared" si="340"/>
        <v>9.1031154248325947</v>
      </c>
      <c r="AO240" s="23">
        <f t="shared" si="359"/>
        <v>4.6826425745338867</v>
      </c>
      <c r="AP240" s="23">
        <f t="shared" si="360"/>
        <v>0.17779735674064207</v>
      </c>
      <c r="AQ240" s="24">
        <f t="shared" si="341"/>
        <v>5.4840805314268458E-2</v>
      </c>
      <c r="AR240" s="22">
        <f t="shared" si="342"/>
        <v>278700007.16966969</v>
      </c>
      <c r="AS240" s="22">
        <f t="shared" si="361"/>
        <v>1.8054977830924742E-3</v>
      </c>
      <c r="AT240" s="23">
        <f t="shared" si="343"/>
        <v>663.27399534735184</v>
      </c>
      <c r="AU240" s="22">
        <f t="shared" si="344"/>
        <v>24562.036030955987</v>
      </c>
      <c r="AV240" s="443"/>
      <c r="AW240" s="445"/>
      <c r="AX240" s="388"/>
      <c r="AY240" s="339"/>
      <c r="AZ240" s="339"/>
      <c r="BA240" s="331"/>
      <c r="BB240" s="402"/>
      <c r="BC240" s="385"/>
      <c r="BD240" s="445"/>
      <c r="BE240" s="445"/>
      <c r="BF240" s="445"/>
      <c r="BG240" s="445"/>
      <c r="BH240" s="447"/>
      <c r="BI240" s="385"/>
      <c r="BJ240" s="385"/>
      <c r="BK240" s="385"/>
      <c r="BL240" s="23">
        <f t="shared" si="345"/>
        <v>-3.2777685789214833E-2</v>
      </c>
      <c r="BM240" s="24">
        <f t="shared" si="346"/>
        <v>2074.0590603840228</v>
      </c>
      <c r="BN240" s="24">
        <f t="shared" si="347"/>
        <v>7983.5151941743698</v>
      </c>
      <c r="BO240" s="24">
        <f t="shared" si="348"/>
        <v>61.889942729517259</v>
      </c>
      <c r="BP240" s="24">
        <f t="shared" si="362"/>
        <v>71.173434138944842</v>
      </c>
      <c r="BQ240" s="23">
        <f t="shared" si="363"/>
        <v>333.27975287480672</v>
      </c>
      <c r="BR240" s="23">
        <f t="shared" si="349"/>
        <v>3.3470322617773598</v>
      </c>
      <c r="BS240" s="6">
        <f t="shared" si="350"/>
        <v>803.23505611114854</v>
      </c>
      <c r="BT240" s="23">
        <f t="shared" si="351"/>
        <v>819.62760827668217</v>
      </c>
      <c r="BU240" s="22">
        <f t="shared" si="352"/>
        <v>1045.4433779039312</v>
      </c>
      <c r="BV240" s="22">
        <f t="shared" si="353"/>
        <v>49.783017995425297</v>
      </c>
      <c r="BW240" s="23">
        <f t="shared" si="354"/>
        <v>1.0274065850445943E-2</v>
      </c>
      <c r="BY240" s="362"/>
      <c r="BZ240" s="451"/>
      <c r="CA240" s="362"/>
    </row>
    <row r="241" spans="3:79" ht="15.75" x14ac:dyDescent="0.3">
      <c r="C241" s="22">
        <v>86</v>
      </c>
      <c r="D241" s="379"/>
      <c r="E241" s="379"/>
      <c r="F241" s="19" t="s">
        <v>128</v>
      </c>
      <c r="G241" s="255">
        <v>1.0208333333333399</v>
      </c>
      <c r="H241" s="54">
        <v>1.0208333333333399</v>
      </c>
      <c r="I241" s="13">
        <v>-8.7009860000000003</v>
      </c>
      <c r="J241" s="13">
        <v>116.034953</v>
      </c>
      <c r="K241" s="13">
        <f t="shared" si="389"/>
        <v>-0.15186085386993134</v>
      </c>
      <c r="L241" s="13">
        <f t="shared" si="389"/>
        <v>2.0251919772468718</v>
      </c>
      <c r="M241" s="13">
        <v>3443</v>
      </c>
      <c r="N241" s="71">
        <f t="shared" si="335"/>
        <v>0.54205886099275835</v>
      </c>
      <c r="O241" s="422"/>
      <c r="P241" s="422"/>
      <c r="Q241" s="426"/>
      <c r="R241" s="23">
        <f t="shared" si="368"/>
        <v>4.9999999999917222E-2</v>
      </c>
      <c r="S241" s="358"/>
      <c r="T241" s="23">
        <f t="shared" si="370"/>
        <v>10.841177219873115</v>
      </c>
      <c r="U241" s="422"/>
      <c r="V241" s="22">
        <f t="shared" si="336"/>
        <v>5.5767015619027305</v>
      </c>
      <c r="W241" s="130">
        <f t="shared" si="372"/>
        <v>-9.3113422247334998E-5</v>
      </c>
      <c r="X241" s="13">
        <f t="shared" si="373"/>
        <v>1.292241778179104E-4</v>
      </c>
      <c r="Y241" s="13">
        <f t="shared" si="374"/>
        <v>2.1951863015677948</v>
      </c>
      <c r="Z241" s="13">
        <f t="shared" si="375"/>
        <v>125.77491032476701</v>
      </c>
      <c r="AA241" s="13">
        <f t="shared" si="376"/>
        <v>234.22508967523299</v>
      </c>
      <c r="AB241" s="13">
        <v>100</v>
      </c>
      <c r="AC241" s="13">
        <v>13</v>
      </c>
      <c r="AD241" s="13">
        <f t="shared" si="355"/>
        <v>4</v>
      </c>
      <c r="AE241" s="16">
        <f t="shared" si="356"/>
        <v>134.22508967523299</v>
      </c>
      <c r="AF241" s="23">
        <f t="shared" si="337"/>
        <v>0.21174428354408673</v>
      </c>
      <c r="AG241" s="382"/>
      <c r="AH241" s="385"/>
      <c r="AI241" s="388"/>
      <c r="AJ241" s="22">
        <f t="shared" si="338"/>
        <v>1.2964527081691355</v>
      </c>
      <c r="AK241" s="22">
        <f t="shared" si="357"/>
        <v>0.33</v>
      </c>
      <c r="AL241" s="23">
        <f t="shared" si="339"/>
        <v>18.610006994007279</v>
      </c>
      <c r="AM241" s="23">
        <f t="shared" si="358"/>
        <v>7.9619080089210055</v>
      </c>
      <c r="AN241" s="23">
        <f t="shared" si="340"/>
        <v>9.978012662542719</v>
      </c>
      <c r="AO241" s="23">
        <f t="shared" si="359"/>
        <v>5.132689713611974</v>
      </c>
      <c r="AP241" s="23">
        <f t="shared" si="360"/>
        <v>0.19488539847415767</v>
      </c>
      <c r="AQ241" s="24">
        <f t="shared" si="341"/>
        <v>5.4325333042283826E-2</v>
      </c>
      <c r="AR241" s="22">
        <f t="shared" si="342"/>
        <v>305485767.32353699</v>
      </c>
      <c r="AS241" s="22">
        <f t="shared" si="361"/>
        <v>1.7833743276722818E-3</v>
      </c>
      <c r="AT241" s="23">
        <f t="shared" si="343"/>
        <v>787.1301068225273</v>
      </c>
      <c r="AU241" s="22">
        <f t="shared" si="344"/>
        <v>29148.614570212914</v>
      </c>
      <c r="AV241" s="443"/>
      <c r="AW241" s="445"/>
      <c r="AX241" s="388"/>
      <c r="AY241" s="339"/>
      <c r="AZ241" s="339"/>
      <c r="BA241" s="331"/>
      <c r="BB241" s="402"/>
      <c r="BC241" s="385"/>
      <c r="BD241" s="445"/>
      <c r="BE241" s="445"/>
      <c r="BF241" s="445"/>
      <c r="BG241" s="445"/>
      <c r="BH241" s="447"/>
      <c r="BI241" s="385"/>
      <c r="BJ241" s="385"/>
      <c r="BK241" s="385"/>
      <c r="BL241" s="23">
        <f t="shared" si="345"/>
        <v>-5.5710632920964204E-2</v>
      </c>
      <c r="BM241" s="24">
        <f t="shared" si="346"/>
        <v>5283.6249924327494</v>
      </c>
      <c r="BN241" s="24">
        <f t="shared" si="347"/>
        <v>9591.8451443178674</v>
      </c>
      <c r="BO241" s="24">
        <f t="shared" si="348"/>
        <v>76.386727958931516</v>
      </c>
      <c r="BP241" s="24">
        <f t="shared" si="362"/>
        <v>87.844737152771245</v>
      </c>
      <c r="BQ241" s="23">
        <f t="shared" si="363"/>
        <v>450.87977877897657</v>
      </c>
      <c r="BR241" s="23">
        <f t="shared" si="349"/>
        <v>3.6687143611130968</v>
      </c>
      <c r="BS241" s="6">
        <f t="shared" si="350"/>
        <v>1086.662004766177</v>
      </c>
      <c r="BT241" s="23">
        <f t="shared" si="351"/>
        <v>1108.83878037365</v>
      </c>
      <c r="BU241" s="22">
        <f t="shared" si="352"/>
        <v>1414.3351790480228</v>
      </c>
      <c r="BV241" s="22">
        <f t="shared" si="353"/>
        <v>67.349294240382036</v>
      </c>
      <c r="BW241" s="23">
        <f t="shared" si="354"/>
        <v>1.3768693950628193E-2</v>
      </c>
      <c r="BY241" s="360">
        <f t="shared" ref="BY241" si="396">(SUM(BW241:BW245))*1000</f>
        <v>28.301963977573287</v>
      </c>
      <c r="BZ241" s="365">
        <v>30</v>
      </c>
      <c r="CA241" s="360">
        <f t="shared" ref="CA241" si="397">AVERAGE(AN241:AN245)</f>
        <v>6.9115237039229642</v>
      </c>
    </row>
    <row r="242" spans="3:79" ht="15.75" x14ac:dyDescent="0.3">
      <c r="C242" s="22">
        <v>87</v>
      </c>
      <c r="D242" s="379"/>
      <c r="E242" s="379"/>
      <c r="F242" s="19" t="s">
        <v>128</v>
      </c>
      <c r="G242" s="256"/>
      <c r="H242" s="54">
        <v>1.02291666666667</v>
      </c>
      <c r="I242" s="13">
        <v>-8.7040769999999998</v>
      </c>
      <c r="J242" s="13">
        <v>116.04008399999999</v>
      </c>
      <c r="K242" s="13">
        <f t="shared" si="389"/>
        <v>-0.15191480199711047</v>
      </c>
      <c r="L242" s="13">
        <f t="shared" si="389"/>
        <v>2.0252815300907914</v>
      </c>
      <c r="M242" s="13">
        <v>3443</v>
      </c>
      <c r="N242" s="71">
        <f t="shared" si="335"/>
        <v>0.35691999636914318</v>
      </c>
      <c r="O242" s="420">
        <f t="shared" ref="O242" si="398">SUM(N242:N246)</f>
        <v>1.5922057222948995</v>
      </c>
      <c r="P242" s="423">
        <v>1.6</v>
      </c>
      <c r="Q242" s="424">
        <f t="shared" ref="Q242" si="399">ABS((O242-P242)/O242)*100%</f>
        <v>4.8952705017705853E-3</v>
      </c>
      <c r="R242" s="23">
        <f t="shared" si="368"/>
        <v>4.9999999999922551E-2</v>
      </c>
      <c r="S242" s="357">
        <f t="shared" ref="S242" si="400">+SUM(R242:R246)</f>
        <v>0.25000000000032152</v>
      </c>
      <c r="T242" s="23">
        <f t="shared" si="370"/>
        <v>7.1383999273939205</v>
      </c>
      <c r="U242" s="420">
        <f t="shared" ref="U242" si="401">AVERAGE(T242:T246)</f>
        <v>6.3688228891736074</v>
      </c>
      <c r="V242" s="22">
        <f t="shared" si="336"/>
        <v>3.6719929226514325</v>
      </c>
      <c r="W242" s="130">
        <f t="shared" si="372"/>
        <v>-5.4583125353379128E-5</v>
      </c>
      <c r="X242" s="13">
        <f t="shared" si="373"/>
        <v>8.9552843919538105E-5</v>
      </c>
      <c r="Y242" s="13">
        <f t="shared" si="374"/>
        <v>2.1181772851087994</v>
      </c>
      <c r="Z242" s="13">
        <f t="shared" si="375"/>
        <v>121.36261869721308</v>
      </c>
      <c r="AA242" s="13">
        <f t="shared" si="376"/>
        <v>238.63738130278693</v>
      </c>
      <c r="AB242" s="13">
        <v>100</v>
      </c>
      <c r="AC242" s="13">
        <v>13</v>
      </c>
      <c r="AD242" s="13">
        <f t="shared" si="355"/>
        <v>4</v>
      </c>
      <c r="AE242" s="16">
        <f t="shared" si="356"/>
        <v>138.63738130278693</v>
      </c>
      <c r="AF242" s="23">
        <f t="shared" si="337"/>
        <v>0.13942354668886014</v>
      </c>
      <c r="AG242" s="382"/>
      <c r="AH242" s="385"/>
      <c r="AI242" s="388"/>
      <c r="AJ242" s="22">
        <f t="shared" si="338"/>
        <v>1.8586413429441289</v>
      </c>
      <c r="AK242" s="22">
        <f t="shared" si="357"/>
        <v>0.33</v>
      </c>
      <c r="AL242" s="23">
        <f t="shared" si="339"/>
        <v>18.610006994007279</v>
      </c>
      <c r="AM242" s="23">
        <f t="shared" si="358"/>
        <v>11.414478369208636</v>
      </c>
      <c r="AN242" s="23">
        <f t="shared" si="340"/>
        <v>6.3235888117739361</v>
      </c>
      <c r="AO242" s="23">
        <f t="shared" si="359"/>
        <v>3.2528540847765126</v>
      </c>
      <c r="AP242" s="23">
        <f t="shared" si="360"/>
        <v>0.12350907611047669</v>
      </c>
      <c r="AQ242" s="24">
        <f t="shared" si="341"/>
        <v>5.6442632023225678E-2</v>
      </c>
      <c r="AR242" s="22">
        <f t="shared" si="342"/>
        <v>193602317.99014556</v>
      </c>
      <c r="AS242" s="22">
        <f t="shared" si="361"/>
        <v>1.897521478503769E-3</v>
      </c>
      <c r="AT242" s="23">
        <f t="shared" si="343"/>
        <v>336.37976067104773</v>
      </c>
      <c r="AU242" s="22">
        <f t="shared" si="344"/>
        <v>12456.649679684466</v>
      </c>
      <c r="AV242" s="443"/>
      <c r="AW242" s="445"/>
      <c r="AX242" s="388"/>
      <c r="AY242" s="339"/>
      <c r="AZ242" s="339"/>
      <c r="BA242" s="331"/>
      <c r="BB242" s="402"/>
      <c r="BC242" s="385"/>
      <c r="BD242" s="445"/>
      <c r="BE242" s="445"/>
      <c r="BF242" s="445"/>
      <c r="BG242" s="445"/>
      <c r="BH242" s="447"/>
      <c r="BI242" s="385"/>
      <c r="BJ242" s="385"/>
      <c r="BK242" s="385"/>
      <c r="BL242" s="23">
        <f t="shared" si="345"/>
        <v>-1.1025961282625626E-3</v>
      </c>
      <c r="BM242" s="24">
        <f t="shared" si="346"/>
        <v>25.746522790565095</v>
      </c>
      <c r="BN242" s="24">
        <f t="shared" si="347"/>
        <v>3852.4880652624011</v>
      </c>
      <c r="BO242" s="24">
        <f t="shared" si="348"/>
        <v>30.16504791847677</v>
      </c>
      <c r="BP242" s="24">
        <f t="shared" si="362"/>
        <v>34.689805106248286</v>
      </c>
      <c r="BQ242" s="23">
        <f t="shared" si="363"/>
        <v>112.84087423996087</v>
      </c>
      <c r="BR242" s="23">
        <f t="shared" si="349"/>
        <v>2.325056288475102</v>
      </c>
      <c r="BS242" s="6">
        <f t="shared" si="350"/>
        <v>271.9569525899559</v>
      </c>
      <c r="BT242" s="23">
        <f t="shared" si="351"/>
        <v>277.50709447954682</v>
      </c>
      <c r="BU242" s="22">
        <f t="shared" si="352"/>
        <v>353.9631307137077</v>
      </c>
      <c r="BV242" s="22">
        <f t="shared" si="353"/>
        <v>16.855387176843223</v>
      </c>
      <c r="BW242" s="23">
        <f t="shared" si="354"/>
        <v>3.5801670440099615E-3</v>
      </c>
      <c r="BY242" s="361"/>
      <c r="BZ242" s="366"/>
      <c r="CA242" s="361"/>
    </row>
    <row r="243" spans="3:79" ht="15.75" x14ac:dyDescent="0.3">
      <c r="C243" s="22">
        <v>88</v>
      </c>
      <c r="D243" s="379"/>
      <c r="E243" s="379"/>
      <c r="F243" s="19" t="s">
        <v>128</v>
      </c>
      <c r="G243" s="256"/>
      <c r="H243" s="54">
        <v>1.0250000000000099</v>
      </c>
      <c r="I243" s="13">
        <v>-8.7080730000000006</v>
      </c>
      <c r="J243" s="13">
        <v>116.045461</v>
      </c>
      <c r="K243" s="13">
        <f t="shared" si="389"/>
        <v>-0.15198454535402017</v>
      </c>
      <c r="L243" s="13">
        <f t="shared" si="389"/>
        <v>2.0253753764446714</v>
      </c>
      <c r="M243" s="13">
        <v>3443</v>
      </c>
      <c r="N243" s="71">
        <f t="shared" si="335"/>
        <v>0.39958812988650855</v>
      </c>
      <c r="O243" s="421"/>
      <c r="P243" s="421"/>
      <c r="Q243" s="425"/>
      <c r="R243" s="23">
        <f t="shared" si="368"/>
        <v>5.000000000015703E-2</v>
      </c>
      <c r="S243" s="331"/>
      <c r="T243" s="23">
        <f t="shared" si="370"/>
        <v>7.9917625977050717</v>
      </c>
      <c r="U243" s="421"/>
      <c r="V243" s="22">
        <f t="shared" si="336"/>
        <v>4.1109626802594885</v>
      </c>
      <c r="W243" s="130">
        <f t="shared" si="372"/>
        <v>-7.056494504910856E-5</v>
      </c>
      <c r="X243" s="13">
        <f t="shared" si="373"/>
        <v>9.3846353879989408E-5</v>
      </c>
      <c r="Y243" s="13">
        <f t="shared" si="374"/>
        <v>2.2155250670637532</v>
      </c>
      <c r="Z243" s="13">
        <f t="shared" si="375"/>
        <v>126.94023574819172</v>
      </c>
      <c r="AA243" s="13">
        <f t="shared" si="376"/>
        <v>233.05976425180828</v>
      </c>
      <c r="AB243" s="13">
        <v>100</v>
      </c>
      <c r="AC243" s="13">
        <v>13</v>
      </c>
      <c r="AD243" s="13">
        <f t="shared" si="355"/>
        <v>4</v>
      </c>
      <c r="AE243" s="16">
        <f t="shared" si="356"/>
        <v>133.05976425180828</v>
      </c>
      <c r="AF243" s="23">
        <f t="shared" si="337"/>
        <v>0.1560909863555662</v>
      </c>
      <c r="AG243" s="382"/>
      <c r="AH243" s="385"/>
      <c r="AI243" s="388"/>
      <c r="AJ243" s="22">
        <f t="shared" si="338"/>
        <v>1.7398363566355439</v>
      </c>
      <c r="AK243" s="22">
        <f t="shared" si="357"/>
        <v>0.33</v>
      </c>
      <c r="AL243" s="23">
        <f t="shared" si="339"/>
        <v>18.610006994007279</v>
      </c>
      <c r="AM243" s="23">
        <f t="shared" si="358"/>
        <v>10.684861032587152</v>
      </c>
      <c r="AN243" s="23">
        <f t="shared" si="340"/>
        <v>7.1378538700860075</v>
      </c>
      <c r="AO243" s="23">
        <f t="shared" si="359"/>
        <v>3.671712030772242</v>
      </c>
      <c r="AP243" s="23">
        <f t="shared" si="360"/>
        <v>0.1394128813790794</v>
      </c>
      <c r="AQ243" s="24">
        <f t="shared" si="341"/>
        <v>5.5981550919827629E-2</v>
      </c>
      <c r="AR243" s="22">
        <f t="shared" si="342"/>
        <v>218531769.83149239</v>
      </c>
      <c r="AS243" s="22">
        <f t="shared" si="361"/>
        <v>1.8661616183983977E-3</v>
      </c>
      <c r="AT243" s="23">
        <f t="shared" si="343"/>
        <v>421.50280604308142</v>
      </c>
      <c r="AU243" s="22">
        <f t="shared" si="344"/>
        <v>15608.884385339794</v>
      </c>
      <c r="AV243" s="443"/>
      <c r="AW243" s="445"/>
      <c r="AX243" s="388"/>
      <c r="AY243" s="339"/>
      <c r="AZ243" s="339"/>
      <c r="BA243" s="331"/>
      <c r="BB243" s="402"/>
      <c r="BC243" s="385"/>
      <c r="BD243" s="445"/>
      <c r="BE243" s="445"/>
      <c r="BF243" s="445"/>
      <c r="BG243" s="445"/>
      <c r="BH243" s="447"/>
      <c r="BI243" s="385"/>
      <c r="BJ243" s="385"/>
      <c r="BK243" s="385"/>
      <c r="BL243" s="23">
        <f t="shared" si="345"/>
        <v>-4.5177281133279455E-3</v>
      </c>
      <c r="BM243" s="24">
        <f t="shared" si="346"/>
        <v>129.7215615366944</v>
      </c>
      <c r="BN243" s="24">
        <f t="shared" si="347"/>
        <v>4908.5064091361919</v>
      </c>
      <c r="BO243" s="24">
        <f t="shared" si="348"/>
        <v>37.977087189196517</v>
      </c>
      <c r="BP243" s="24">
        <f t="shared" si="362"/>
        <v>43.673650267575994</v>
      </c>
      <c r="BQ243" s="23">
        <f t="shared" si="363"/>
        <v>160.35706711519811</v>
      </c>
      <c r="BR243" s="23">
        <f t="shared" si="349"/>
        <v>2.6244451561998727</v>
      </c>
      <c r="BS243" s="6">
        <f t="shared" si="350"/>
        <v>386.47537598985042</v>
      </c>
      <c r="BT243" s="23">
        <f t="shared" si="351"/>
        <v>394.36262856107186</v>
      </c>
      <c r="BU243" s="22">
        <f t="shared" si="352"/>
        <v>503.01355683810186</v>
      </c>
      <c r="BV243" s="22">
        <f t="shared" si="353"/>
        <v>23.953026516100088</v>
      </c>
      <c r="BW243" s="23">
        <f t="shared" si="354"/>
        <v>5.0461786449528491E-3</v>
      </c>
      <c r="BY243" s="361"/>
      <c r="BZ243" s="366"/>
      <c r="CA243" s="361"/>
    </row>
    <row r="244" spans="3:79" ht="15.75" x14ac:dyDescent="0.3">
      <c r="C244" s="22">
        <v>89</v>
      </c>
      <c r="D244" s="379"/>
      <c r="E244" s="379"/>
      <c r="F244" s="13" t="s">
        <v>128</v>
      </c>
      <c r="G244" s="256"/>
      <c r="H244" s="54">
        <v>1.02708333333334</v>
      </c>
      <c r="I244" s="13">
        <v>-8.7124079999999999</v>
      </c>
      <c r="J244" s="13">
        <v>116.050468</v>
      </c>
      <c r="K244" s="13">
        <f t="shared" si="389"/>
        <v>-0.15206020537709414</v>
      </c>
      <c r="L244" s="13">
        <f t="shared" si="389"/>
        <v>2.0254627650803187</v>
      </c>
      <c r="M244" s="13">
        <v>3443</v>
      </c>
      <c r="N244" s="71">
        <f t="shared" si="335"/>
        <v>0.39536189828635065</v>
      </c>
      <c r="O244" s="421"/>
      <c r="P244" s="421"/>
      <c r="Q244" s="425"/>
      <c r="R244" s="23">
        <f t="shared" si="368"/>
        <v>4.9999999999922551E-2</v>
      </c>
      <c r="S244" s="331"/>
      <c r="T244" s="23">
        <f t="shared" si="370"/>
        <v>7.9072379657392613</v>
      </c>
      <c r="U244" s="421"/>
      <c r="V244" s="22">
        <f t="shared" si="336"/>
        <v>4.0674832095762756</v>
      </c>
      <c r="W244" s="130">
        <f t="shared" si="372"/>
        <v>-7.6552167489893613E-5</v>
      </c>
      <c r="X244" s="13">
        <f t="shared" si="373"/>
        <v>8.7388635647389634E-5</v>
      </c>
      <c r="Y244" s="13">
        <f t="shared" si="374"/>
        <v>2.290190621833335</v>
      </c>
      <c r="Z244" s="13">
        <f t="shared" si="375"/>
        <v>131.21825691149166</v>
      </c>
      <c r="AA244" s="13">
        <f t="shared" si="376"/>
        <v>228.78174308850834</v>
      </c>
      <c r="AB244" s="13">
        <v>100</v>
      </c>
      <c r="AC244" s="13">
        <v>13</v>
      </c>
      <c r="AD244" s="13">
        <f t="shared" si="355"/>
        <v>4</v>
      </c>
      <c r="AE244" s="16">
        <f t="shared" si="356"/>
        <v>128.78174308850834</v>
      </c>
      <c r="AF244" s="23">
        <f t="shared" si="337"/>
        <v>0.15444009482649687</v>
      </c>
      <c r="AG244" s="382"/>
      <c r="AH244" s="385"/>
      <c r="AI244" s="388"/>
      <c r="AJ244" s="22">
        <f t="shared" si="338"/>
        <v>1.7518914316177607</v>
      </c>
      <c r="AK244" s="22">
        <f t="shared" si="357"/>
        <v>0.33</v>
      </c>
      <c r="AL244" s="23">
        <f t="shared" si="339"/>
        <v>18.610006994007279</v>
      </c>
      <c r="AM244" s="23">
        <f t="shared" si="358"/>
        <v>10.758894892398825</v>
      </c>
      <c r="AN244" s="23">
        <f t="shared" si="340"/>
        <v>7.0565065441135193</v>
      </c>
      <c r="AO244" s="23">
        <f t="shared" si="359"/>
        <v>3.6298669662919942</v>
      </c>
      <c r="AP244" s="23">
        <f t="shared" si="360"/>
        <v>0.13782404735239301</v>
      </c>
      <c r="AQ244" s="24">
        <f t="shared" si="341"/>
        <v>5.6027992862297898E-2</v>
      </c>
      <c r="AR244" s="22">
        <f t="shared" si="342"/>
        <v>216041248.80943438</v>
      </c>
      <c r="AS244" s="22">
        <f t="shared" si="361"/>
        <v>1.8690957630248183E-3</v>
      </c>
      <c r="AT244" s="23">
        <f t="shared" si="343"/>
        <v>412.59785156591784</v>
      </c>
      <c r="AU244" s="22">
        <f t="shared" si="344"/>
        <v>15279.120495519917</v>
      </c>
      <c r="AV244" s="443"/>
      <c r="AW244" s="445"/>
      <c r="AX244" s="388"/>
      <c r="AY244" s="339"/>
      <c r="AZ244" s="339"/>
      <c r="BA244" s="331"/>
      <c r="BB244" s="402"/>
      <c r="BC244" s="385"/>
      <c r="BD244" s="445"/>
      <c r="BE244" s="445"/>
      <c r="BF244" s="445"/>
      <c r="BG244" s="445"/>
      <c r="BH244" s="447"/>
      <c r="BI244" s="385"/>
      <c r="BJ244" s="385"/>
      <c r="BK244" s="385"/>
      <c r="BL244" s="23">
        <f t="shared" si="345"/>
        <v>-4.0096344306690818E-3</v>
      </c>
      <c r="BM244" s="24">
        <f t="shared" si="346"/>
        <v>112.2128346137477</v>
      </c>
      <c r="BN244" s="24">
        <f t="shared" si="347"/>
        <v>4797.2632875565896</v>
      </c>
      <c r="BO244" s="24">
        <f t="shared" si="348"/>
        <v>37.152446635647777</v>
      </c>
      <c r="BP244" s="24">
        <f t="shared" si="362"/>
        <v>42.725313630994947</v>
      </c>
      <c r="BQ244" s="23">
        <f t="shared" si="363"/>
        <v>155.0872045736136</v>
      </c>
      <c r="BR244" s="23">
        <f t="shared" si="349"/>
        <v>2.5945353822672583</v>
      </c>
      <c r="BS244" s="6">
        <f t="shared" si="350"/>
        <v>373.77451943383358</v>
      </c>
      <c r="BT244" s="23">
        <f t="shared" si="351"/>
        <v>381.40257085085057</v>
      </c>
      <c r="BU244" s="22">
        <f t="shared" si="352"/>
        <v>486.48287098322771</v>
      </c>
      <c r="BV244" s="22">
        <f t="shared" si="353"/>
        <v>23.165850999201322</v>
      </c>
      <c r="BW244" s="23">
        <f t="shared" si="354"/>
        <v>4.8843932610956615E-3</v>
      </c>
      <c r="BY244" s="361"/>
      <c r="BZ244" s="366"/>
      <c r="CA244" s="361"/>
    </row>
    <row r="245" spans="3:79" ht="15.75" x14ac:dyDescent="0.3">
      <c r="C245" s="22">
        <v>90</v>
      </c>
      <c r="D245" s="379"/>
      <c r="E245" s="379"/>
      <c r="F245" s="19" t="s">
        <v>128</v>
      </c>
      <c r="G245" s="257"/>
      <c r="H245" s="54">
        <v>1.0291666666666801</v>
      </c>
      <c r="I245" s="13">
        <v>-8.7162299999999995</v>
      </c>
      <c r="J245" s="13">
        <v>116.051241</v>
      </c>
      <c r="K245" s="13">
        <f t="shared" si="389"/>
        <v>-0.15212691186110533</v>
      </c>
      <c r="L245" s="13">
        <f t="shared" si="389"/>
        <v>2.0254762564754367</v>
      </c>
      <c r="M245" s="13">
        <v>3443</v>
      </c>
      <c r="N245" s="71">
        <f t="shared" si="335"/>
        <v>0.23421498388501233</v>
      </c>
      <c r="O245" s="421"/>
      <c r="P245" s="421"/>
      <c r="Q245" s="425"/>
      <c r="R245" s="23">
        <f t="shared" si="368"/>
        <v>5.0000000000162359E-2</v>
      </c>
      <c r="S245" s="331"/>
      <c r="T245" s="23">
        <f t="shared" si="370"/>
        <v>4.6842996776850354</v>
      </c>
      <c r="U245" s="421"/>
      <c r="V245" s="22">
        <f t="shared" si="336"/>
        <v>2.4096037542011821</v>
      </c>
      <c r="W245" s="130">
        <f t="shared" si="372"/>
        <v>-6.7493793002488178E-5</v>
      </c>
      <c r="X245" s="13">
        <f t="shared" si="373"/>
        <v>1.3491395117970484E-5</v>
      </c>
      <c r="Y245" s="13">
        <f t="shared" si="374"/>
        <v>2.9443019985003445</v>
      </c>
      <c r="Z245" s="13">
        <f t="shared" si="375"/>
        <v>168.69607812600339</v>
      </c>
      <c r="AA245" s="13">
        <f t="shared" si="376"/>
        <v>191.30392187399661</v>
      </c>
      <c r="AB245" s="13">
        <v>100</v>
      </c>
      <c r="AC245" s="13">
        <v>13</v>
      </c>
      <c r="AD245" s="13">
        <f t="shared" si="355"/>
        <v>4</v>
      </c>
      <c r="AE245" s="16">
        <f t="shared" si="356"/>
        <v>91.303921873996615</v>
      </c>
      <c r="AF245" s="23">
        <f t="shared" si="337"/>
        <v>9.1491325991701025E-2</v>
      </c>
      <c r="AG245" s="382"/>
      <c r="AH245" s="385"/>
      <c r="AI245" s="388"/>
      <c r="AJ245" s="22">
        <f t="shared" si="338"/>
        <v>2.1643824061427579</v>
      </c>
      <c r="AK245" s="22">
        <f t="shared" si="357"/>
        <v>0.33</v>
      </c>
      <c r="AL245" s="23">
        <f t="shared" si="339"/>
        <v>18.610006994007279</v>
      </c>
      <c r="AM245" s="23">
        <f t="shared" si="358"/>
        <v>13.292126666287599</v>
      </c>
      <c r="AN245" s="23">
        <f t="shared" si="340"/>
        <v>4.0616566310986393</v>
      </c>
      <c r="AO245" s="23">
        <f t="shared" si="359"/>
        <v>2.0893161710371397</v>
      </c>
      <c r="AP245" s="23">
        <f t="shared" si="360"/>
        <v>7.933018305221802E-2</v>
      </c>
      <c r="AQ245" s="24">
        <f t="shared" si="341"/>
        <v>5.766489025480704E-2</v>
      </c>
      <c r="AR245" s="22">
        <f t="shared" si="342"/>
        <v>124351244.53326859</v>
      </c>
      <c r="AS245" s="22">
        <f t="shared" si="361"/>
        <v>2.0191273124596904E-3</v>
      </c>
      <c r="AT245" s="23">
        <f t="shared" si="343"/>
        <v>147.66787557000231</v>
      </c>
      <c r="AU245" s="22">
        <f t="shared" si="344"/>
        <v>5468.36406343004</v>
      </c>
      <c r="AV245" s="443"/>
      <c r="AW245" s="445"/>
      <c r="AX245" s="388"/>
      <c r="AY245" s="339"/>
      <c r="AZ245" s="339"/>
      <c r="BA245" s="331"/>
      <c r="BB245" s="402"/>
      <c r="BC245" s="385"/>
      <c r="BD245" s="445"/>
      <c r="BE245" s="445"/>
      <c r="BF245" s="445"/>
      <c r="BG245" s="445"/>
      <c r="BH245" s="447"/>
      <c r="BI245" s="385"/>
      <c r="BJ245" s="385"/>
      <c r="BK245" s="385"/>
      <c r="BL245" s="23">
        <f t="shared" si="345"/>
        <v>-9.7383214104621315E-8</v>
      </c>
      <c r="BM245" s="24">
        <f t="shared" si="346"/>
        <v>1.1904842147413249E-2</v>
      </c>
      <c r="BN245" s="24">
        <f t="shared" si="347"/>
        <v>1589.3533757298669</v>
      </c>
      <c r="BO245" s="24">
        <f t="shared" si="348"/>
        <v>13.129054446963053</v>
      </c>
      <c r="BP245" s="24">
        <f t="shared" si="362"/>
        <v>15.098412614007511</v>
      </c>
      <c r="BQ245" s="23">
        <f t="shared" si="363"/>
        <v>31.545357631437025</v>
      </c>
      <c r="BR245" s="23">
        <f t="shared" si="349"/>
        <v>1.4933893668385612</v>
      </c>
      <c r="BS245" s="6">
        <f t="shared" si="350"/>
        <v>76.027232043260867</v>
      </c>
      <c r="BT245" s="23">
        <f t="shared" si="351"/>
        <v>77.578808207409054</v>
      </c>
      <c r="BU245" s="22">
        <f t="shared" si="352"/>
        <v>98.952561489042168</v>
      </c>
      <c r="BV245" s="22">
        <f t="shared" si="353"/>
        <v>4.7120267375734368</v>
      </c>
      <c r="BW245" s="23">
        <f t="shared" si="354"/>
        <v>1.0225310768866209E-3</v>
      </c>
      <c r="BY245" s="362"/>
      <c r="BZ245" s="451"/>
      <c r="CA245" s="362"/>
    </row>
    <row r="246" spans="3:79" ht="15.75" x14ac:dyDescent="0.3">
      <c r="C246" s="22">
        <v>91</v>
      </c>
      <c r="D246" s="379"/>
      <c r="E246" s="379"/>
      <c r="F246" s="19" t="s">
        <v>128</v>
      </c>
      <c r="G246" s="255">
        <v>1.03125000000001</v>
      </c>
      <c r="H246" s="54">
        <v>1.03125000000002</v>
      </c>
      <c r="I246" s="13">
        <v>-8.7195900000000002</v>
      </c>
      <c r="J246" s="13">
        <v>116.051939</v>
      </c>
      <c r="K246" s="13">
        <f t="shared" si="389"/>
        <v>-0.15218555492397237</v>
      </c>
      <c r="L246" s="13">
        <f t="shared" si="389"/>
        <v>2.0254884388736158</v>
      </c>
      <c r="M246" s="13">
        <v>3443</v>
      </c>
      <c r="N246" s="71">
        <f t="shared" si="335"/>
        <v>0.20612071386788489</v>
      </c>
      <c r="O246" s="422"/>
      <c r="P246" s="422"/>
      <c r="Q246" s="426"/>
      <c r="R246" s="23">
        <f t="shared" si="368"/>
        <v>5.000000000015703E-2</v>
      </c>
      <c r="S246" s="358"/>
      <c r="T246" s="23">
        <f t="shared" si="370"/>
        <v>4.1224142773447507</v>
      </c>
      <c r="U246" s="422"/>
      <c r="V246" s="22">
        <f t="shared" si="336"/>
        <v>2.1205699042661394</v>
      </c>
      <c r="W246" s="130">
        <f t="shared" si="372"/>
        <v>-5.9335775801198301E-5</v>
      </c>
      <c r="X246" s="13">
        <f t="shared" si="373"/>
        <v>1.2182398179128029E-5</v>
      </c>
      <c r="Y246" s="13">
        <f t="shared" si="374"/>
        <v>2.9390938272330618</v>
      </c>
      <c r="Z246" s="13">
        <f t="shared" si="375"/>
        <v>168.39767189340677</v>
      </c>
      <c r="AA246" s="13">
        <f t="shared" si="376"/>
        <v>191.60232810659323</v>
      </c>
      <c r="AB246" s="13">
        <v>100</v>
      </c>
      <c r="AC246" s="13">
        <v>13</v>
      </c>
      <c r="AD246" s="13">
        <f t="shared" si="355"/>
        <v>4</v>
      </c>
      <c r="AE246" s="16">
        <f t="shared" si="356"/>
        <v>91.602328106593234</v>
      </c>
      <c r="AF246" s="23">
        <f t="shared" si="337"/>
        <v>8.0516870070914168E-2</v>
      </c>
      <c r="AG246" s="382"/>
      <c r="AH246" s="385"/>
      <c r="AI246" s="388"/>
      <c r="AJ246" s="22">
        <f t="shared" si="338"/>
        <v>2.2268851708918267</v>
      </c>
      <c r="AK246" s="22">
        <f t="shared" si="357"/>
        <v>0.33</v>
      </c>
      <c r="AL246" s="23">
        <f t="shared" si="339"/>
        <v>18.610006994007279</v>
      </c>
      <c r="AM246" s="23">
        <f t="shared" si="358"/>
        <v>13.675975039698837</v>
      </c>
      <c r="AN246" s="23">
        <f t="shared" si="340"/>
        <v>3.5586339297421015</v>
      </c>
      <c r="AO246" s="23">
        <f t="shared" si="359"/>
        <v>1.8305612934593369</v>
      </c>
      <c r="AP246" s="23">
        <f t="shared" si="360"/>
        <v>6.9505403017269221E-2</v>
      </c>
      <c r="AQ246" s="24">
        <f t="shared" si="341"/>
        <v>5.7921302931774922E-2</v>
      </c>
      <c r="AR246" s="22">
        <f t="shared" si="342"/>
        <v>108950755.36753315</v>
      </c>
      <c r="AS246" s="22">
        <f t="shared" si="361"/>
        <v>2.0577176613525892E-3</v>
      </c>
      <c r="AT246" s="23">
        <f t="shared" si="343"/>
        <v>115.52296516092314</v>
      </c>
      <c r="AU246" s="22">
        <f t="shared" si="344"/>
        <v>4277.9895677946788</v>
      </c>
      <c r="AV246" s="443"/>
      <c r="AW246" s="445"/>
      <c r="AX246" s="388"/>
      <c r="AY246" s="339"/>
      <c r="AZ246" s="339"/>
      <c r="BA246" s="331"/>
      <c r="BB246" s="402"/>
      <c r="BC246" s="385"/>
      <c r="BD246" s="445"/>
      <c r="BE246" s="445"/>
      <c r="BF246" s="445"/>
      <c r="BG246" s="445"/>
      <c r="BH246" s="447"/>
      <c r="BI246" s="385"/>
      <c r="BJ246" s="385"/>
      <c r="BK246" s="385"/>
      <c r="BL246" s="23">
        <f t="shared" si="345"/>
        <v>-7.9372407214538149E-10</v>
      </c>
      <c r="BM246" s="24">
        <f t="shared" si="346"/>
        <v>6.216471013304189E-4</v>
      </c>
      <c r="BN246" s="24">
        <f t="shared" si="347"/>
        <v>1220.0585917480685</v>
      </c>
      <c r="BO246" s="24">
        <f t="shared" si="348"/>
        <v>10.247744513201051</v>
      </c>
      <c r="BP246" s="24">
        <f t="shared" si="362"/>
        <v>11.784906190181207</v>
      </c>
      <c r="BQ246" s="23">
        <f t="shared" si="363"/>
        <v>21.572993118795058</v>
      </c>
      <c r="BR246" s="23">
        <f t="shared" si="349"/>
        <v>1.3084380472876844</v>
      </c>
      <c r="BS246" s="6">
        <f t="shared" si="350"/>
        <v>51.992910426724698</v>
      </c>
      <c r="BT246" s="23">
        <f t="shared" si="351"/>
        <v>53.053990231351733</v>
      </c>
      <c r="BU246" s="22">
        <f t="shared" si="352"/>
        <v>67.67090590733639</v>
      </c>
      <c r="BV246" s="22">
        <f t="shared" si="353"/>
        <v>3.2224240908255424</v>
      </c>
      <c r="BW246" s="23">
        <f t="shared" si="354"/>
        <v>7.0238999769818306E-4</v>
      </c>
      <c r="BY246" s="360">
        <f t="shared" ref="BY246" si="402">(SUM(BW246:BW250))*1000</f>
        <v>11.024817219065179</v>
      </c>
      <c r="BZ246" s="365">
        <v>20</v>
      </c>
      <c r="CA246" s="360">
        <f t="shared" ref="CA246" si="403">AVERAGE(AN246:AN250)</f>
        <v>5.2034846166648592</v>
      </c>
    </row>
    <row r="247" spans="3:79" ht="15.75" x14ac:dyDescent="0.3">
      <c r="C247" s="22">
        <v>92</v>
      </c>
      <c r="D247" s="379"/>
      <c r="E247" s="379"/>
      <c r="F247" s="19" t="s">
        <v>128</v>
      </c>
      <c r="G247" s="256"/>
      <c r="H247" s="54">
        <v>1.0333333333333601</v>
      </c>
      <c r="I247" s="13">
        <v>-8.7253229999999995</v>
      </c>
      <c r="J247" s="13">
        <v>116.052392</v>
      </c>
      <c r="K247" s="13">
        <f t="shared" si="389"/>
        <v>-0.15228561464998919</v>
      </c>
      <c r="L247" s="13">
        <f t="shared" si="389"/>
        <v>2.0254963452151271</v>
      </c>
      <c r="M247" s="13">
        <v>3443</v>
      </c>
      <c r="N247" s="71">
        <f t="shared" si="335"/>
        <v>0.34555477773315535</v>
      </c>
      <c r="O247" s="420">
        <f t="shared" ref="O247" si="404">SUM(N247:N251)</f>
        <v>1.5427696812128522</v>
      </c>
      <c r="P247" s="423">
        <v>1.55</v>
      </c>
      <c r="Q247" s="424">
        <f t="shared" ref="Q247" si="405">ABS((O247-P247)/O247)*100%</f>
        <v>4.6865834059324572E-3</v>
      </c>
      <c r="R247" s="23">
        <f t="shared" si="368"/>
        <v>5.0000000000162359E-2</v>
      </c>
      <c r="S247" s="357">
        <f t="shared" ref="S247" si="406">+SUM(R247:R251)</f>
        <v>0.25000000000080114</v>
      </c>
      <c r="T247" s="23">
        <f t="shared" si="370"/>
        <v>6.9110955546406654</v>
      </c>
      <c r="U247" s="420">
        <f t="shared" ref="U247" si="407">AVERAGE(T247:T251)</f>
        <v>6.1710787248316388</v>
      </c>
      <c r="V247" s="22">
        <f t="shared" si="336"/>
        <v>3.5550675533071581</v>
      </c>
      <c r="W247" s="130">
        <f t="shared" si="372"/>
        <v>-1.0124290626613144E-4</v>
      </c>
      <c r="X247" s="13">
        <f t="shared" si="373"/>
        <v>7.9063415112656799E-6</v>
      </c>
      <c r="Y247" s="13">
        <f t="shared" si="374"/>
        <v>3.063658029594444</v>
      </c>
      <c r="Z247" s="13">
        <f t="shared" si="375"/>
        <v>175.5346749671275</v>
      </c>
      <c r="AA247" s="13">
        <f t="shared" si="376"/>
        <v>184.4653250328725</v>
      </c>
      <c r="AB247" s="13">
        <v>100</v>
      </c>
      <c r="AC247" s="13">
        <v>13</v>
      </c>
      <c r="AD247" s="13">
        <f t="shared" si="355"/>
        <v>4</v>
      </c>
      <c r="AE247" s="16">
        <f t="shared" si="356"/>
        <v>84.465325032872499</v>
      </c>
      <c r="AF247" s="23">
        <f t="shared" si="337"/>
        <v>0.13498395488264489</v>
      </c>
      <c r="AG247" s="382"/>
      <c r="AH247" s="385"/>
      <c r="AI247" s="388"/>
      <c r="AJ247" s="22">
        <f t="shared" si="338"/>
        <v>1.8891996172553993</v>
      </c>
      <c r="AK247" s="22">
        <f t="shared" si="357"/>
        <v>0.33</v>
      </c>
      <c r="AL247" s="23">
        <f t="shared" si="339"/>
        <v>18.610006994007279</v>
      </c>
      <c r="AM247" s="23">
        <f t="shared" si="358"/>
        <v>11.602145969765623</v>
      </c>
      <c r="AN247" s="23">
        <f t="shared" si="340"/>
        <v>6.1092601602812726</v>
      </c>
      <c r="AO247" s="23">
        <f t="shared" si="359"/>
        <v>3.1426034264486864</v>
      </c>
      <c r="AP247" s="23">
        <f t="shared" si="360"/>
        <v>0.11932291940139787</v>
      </c>
      <c r="AQ247" s="24">
        <f t="shared" si="341"/>
        <v>5.6562459064968984E-2</v>
      </c>
      <c r="AR247" s="22">
        <f t="shared" si="342"/>
        <v>187040454.94436643</v>
      </c>
      <c r="AS247" s="22">
        <f t="shared" si="361"/>
        <v>1.9065934185677495E-3</v>
      </c>
      <c r="AT247" s="23">
        <f t="shared" si="343"/>
        <v>315.4650425764753</v>
      </c>
      <c r="AU247" s="22">
        <f t="shared" si="344"/>
        <v>11682.146136624331</v>
      </c>
      <c r="AV247" s="443"/>
      <c r="AW247" s="445"/>
      <c r="AX247" s="388"/>
      <c r="AY247" s="339"/>
      <c r="AZ247" s="339"/>
      <c r="BA247" s="331"/>
      <c r="BB247" s="402"/>
      <c r="BC247" s="385"/>
      <c r="BD247" s="445"/>
      <c r="BE247" s="445"/>
      <c r="BF247" s="445"/>
      <c r="BG247" s="445"/>
      <c r="BH247" s="447"/>
      <c r="BI247" s="385"/>
      <c r="BJ247" s="385"/>
      <c r="BK247" s="385"/>
      <c r="BL247" s="23">
        <f t="shared" si="345"/>
        <v>-6.9048234941711424E-4</v>
      </c>
      <c r="BM247" s="24">
        <f t="shared" si="346"/>
        <v>15.694361487066825</v>
      </c>
      <c r="BN247" s="24">
        <f t="shared" si="347"/>
        <v>3595.7649661922333</v>
      </c>
      <c r="BO247" s="24">
        <f t="shared" si="348"/>
        <v>28.263866089426973</v>
      </c>
      <c r="BP247" s="24">
        <f t="shared" si="362"/>
        <v>32.503446002841017</v>
      </c>
      <c r="BQ247" s="23">
        <f t="shared" si="363"/>
        <v>102.14544077991803</v>
      </c>
      <c r="BR247" s="23">
        <f t="shared" si="349"/>
        <v>2.2462519585626999</v>
      </c>
      <c r="BS247" s="6">
        <f t="shared" si="350"/>
        <v>246.17996787574293</v>
      </c>
      <c r="BT247" s="23">
        <f t="shared" si="351"/>
        <v>251.20404885279891</v>
      </c>
      <c r="BU247" s="22">
        <f t="shared" si="352"/>
        <v>320.41332761836588</v>
      </c>
      <c r="BV247" s="22">
        <f t="shared" si="353"/>
        <v>15.257777505636472</v>
      </c>
      <c r="BW247" s="23">
        <f t="shared" si="354"/>
        <v>3.2477071383293496E-3</v>
      </c>
      <c r="BY247" s="361"/>
      <c r="BZ247" s="366"/>
      <c r="CA247" s="361"/>
    </row>
    <row r="248" spans="3:79" ht="15.75" x14ac:dyDescent="0.3">
      <c r="C248" s="22">
        <v>93</v>
      </c>
      <c r="D248" s="379"/>
      <c r="E248" s="379"/>
      <c r="F248" s="19" t="s">
        <v>128</v>
      </c>
      <c r="G248" s="256"/>
      <c r="H248" s="54">
        <v>1.0354166666667</v>
      </c>
      <c r="I248" s="13">
        <v>-8.7304220000000008</v>
      </c>
      <c r="J248" s="13">
        <v>116.052629</v>
      </c>
      <c r="K248" s="13">
        <f t="shared" si="389"/>
        <v>-0.1523746089885484</v>
      </c>
      <c r="L248" s="13">
        <f t="shared" si="389"/>
        <v>2.0255004816454543</v>
      </c>
      <c r="M248" s="13">
        <v>3443</v>
      </c>
      <c r="N248" s="71">
        <f t="shared" si="335"/>
        <v>0.30673069200088948</v>
      </c>
      <c r="O248" s="421"/>
      <c r="P248" s="421"/>
      <c r="Q248" s="425"/>
      <c r="R248" s="23">
        <f t="shared" si="368"/>
        <v>5.000000000015703E-2</v>
      </c>
      <c r="S248" s="331"/>
      <c r="T248" s="23">
        <f t="shared" si="370"/>
        <v>6.1346138399985231</v>
      </c>
      <c r="U248" s="421"/>
      <c r="V248" s="22">
        <f t="shared" si="336"/>
        <v>3.15564535929524</v>
      </c>
      <c r="W248" s="130">
        <f t="shared" si="372"/>
        <v>-9.0047986740016397E-5</v>
      </c>
      <c r="X248" s="13">
        <f t="shared" si="373"/>
        <v>4.1364303271507197E-6</v>
      </c>
      <c r="Y248" s="13">
        <f t="shared" si="374"/>
        <v>3.0956890778959116</v>
      </c>
      <c r="Z248" s="13">
        <f t="shared" si="375"/>
        <v>177.36991884818127</v>
      </c>
      <c r="AA248" s="13">
        <f t="shared" si="376"/>
        <v>182.63008115181873</v>
      </c>
      <c r="AB248" s="13">
        <v>100</v>
      </c>
      <c r="AC248" s="13">
        <v>13</v>
      </c>
      <c r="AD248" s="13">
        <f t="shared" si="355"/>
        <v>4</v>
      </c>
      <c r="AE248" s="16">
        <f t="shared" si="356"/>
        <v>82.630081151818729</v>
      </c>
      <c r="AF248" s="23">
        <f t="shared" si="337"/>
        <v>0.11981811440080203</v>
      </c>
      <c r="AG248" s="382"/>
      <c r="AH248" s="385"/>
      <c r="AI248" s="388"/>
      <c r="AJ248" s="22">
        <f t="shared" si="338"/>
        <v>1.9901389624696937</v>
      </c>
      <c r="AK248" s="22">
        <f t="shared" si="357"/>
        <v>0.33</v>
      </c>
      <c r="AL248" s="23">
        <f t="shared" si="339"/>
        <v>18.610006994007279</v>
      </c>
      <c r="AM248" s="23">
        <f t="shared" si="358"/>
        <v>12.222045003500439</v>
      </c>
      <c r="AN248" s="23">
        <f t="shared" si="340"/>
        <v>5.3848385756829371</v>
      </c>
      <c r="AO248" s="23">
        <f t="shared" si="359"/>
        <v>2.7699609633313025</v>
      </c>
      <c r="AP248" s="23">
        <f t="shared" si="360"/>
        <v>0.10517389053639035</v>
      </c>
      <c r="AQ248" s="24">
        <f t="shared" si="341"/>
        <v>5.6961910313530262E-2</v>
      </c>
      <c r="AR248" s="22">
        <f t="shared" si="342"/>
        <v>164861641.27463508</v>
      </c>
      <c r="AS248" s="22">
        <f t="shared" si="361"/>
        <v>1.9403622491850252E-3</v>
      </c>
      <c r="AT248" s="23">
        <f t="shared" si="343"/>
        <v>249.42736918285385</v>
      </c>
      <c r="AU248" s="22">
        <f t="shared" si="344"/>
        <v>9236.671529339008</v>
      </c>
      <c r="AV248" s="443"/>
      <c r="AW248" s="445"/>
      <c r="AX248" s="388"/>
      <c r="AY248" s="339"/>
      <c r="AZ248" s="339"/>
      <c r="BA248" s="331"/>
      <c r="BB248" s="402"/>
      <c r="BC248" s="385"/>
      <c r="BD248" s="445"/>
      <c r="BE248" s="445"/>
      <c r="BF248" s="445"/>
      <c r="BG248" s="445"/>
      <c r="BH248" s="447"/>
      <c r="BI248" s="385"/>
      <c r="BJ248" s="385"/>
      <c r="BK248" s="385"/>
      <c r="BL248" s="23">
        <f t="shared" si="345"/>
        <v>-9.1885416302641426E-5</v>
      </c>
      <c r="BM248" s="24">
        <f t="shared" si="346"/>
        <v>2.2393413681344172</v>
      </c>
      <c r="BN248" s="24">
        <f t="shared" si="347"/>
        <v>2793.5692054971123</v>
      </c>
      <c r="BO248" s="24">
        <f t="shared" si="348"/>
        <v>22.287619469521374</v>
      </c>
      <c r="BP248" s="24">
        <f t="shared" si="362"/>
        <v>25.630762389949581</v>
      </c>
      <c r="BQ248" s="23">
        <f t="shared" si="363"/>
        <v>70.996211280580454</v>
      </c>
      <c r="BR248" s="23">
        <f t="shared" si="349"/>
        <v>1.9798967272356078</v>
      </c>
      <c r="BS248" s="6">
        <f t="shared" si="350"/>
        <v>171.10744130039456</v>
      </c>
      <c r="BT248" s="23">
        <f t="shared" si="351"/>
        <v>174.59942989836179</v>
      </c>
      <c r="BU248" s="22">
        <f t="shared" si="352"/>
        <v>222.70335446219613</v>
      </c>
      <c r="BV248" s="22">
        <f t="shared" si="353"/>
        <v>10.604921641056958</v>
      </c>
      <c r="BW248" s="23">
        <f t="shared" si="354"/>
        <v>2.2732610438089135E-3</v>
      </c>
      <c r="BY248" s="361"/>
      <c r="BZ248" s="366"/>
      <c r="CA248" s="361"/>
    </row>
    <row r="249" spans="3:79" ht="15.75" x14ac:dyDescent="0.3">
      <c r="C249" s="22">
        <v>94</v>
      </c>
      <c r="D249" s="379"/>
      <c r="E249" s="379"/>
      <c r="F249" s="13" t="s">
        <v>128</v>
      </c>
      <c r="G249" s="256"/>
      <c r="H249" s="54">
        <v>1.0375000000000401</v>
      </c>
      <c r="I249" s="13">
        <v>-8.735379</v>
      </c>
      <c r="J249" s="13">
        <v>116.053304</v>
      </c>
      <c r="K249" s="13">
        <f t="shared" si="389"/>
        <v>-0.15246112495956973</v>
      </c>
      <c r="L249" s="13">
        <f t="shared" si="389"/>
        <v>2.0255122626179052</v>
      </c>
      <c r="M249" s="13">
        <v>3443</v>
      </c>
      <c r="N249" s="71">
        <f t="shared" si="335"/>
        <v>0.30056039498887266</v>
      </c>
      <c r="O249" s="421"/>
      <c r="P249" s="421"/>
      <c r="Q249" s="425"/>
      <c r="R249" s="23">
        <f t="shared" si="368"/>
        <v>5.0000000000162359E-2</v>
      </c>
      <c r="S249" s="331"/>
      <c r="T249" s="23">
        <f t="shared" si="370"/>
        <v>6.0112078997579337</v>
      </c>
      <c r="U249" s="421"/>
      <c r="V249" s="22">
        <f t="shared" si="336"/>
        <v>3.092165343635481</v>
      </c>
      <c r="W249" s="130">
        <f t="shared" si="372"/>
        <v>-8.7541462544545533E-5</v>
      </c>
      <c r="X249" s="13">
        <f t="shared" si="373"/>
        <v>1.1780972450914362E-5</v>
      </c>
      <c r="Y249" s="13">
        <f t="shared" si="374"/>
        <v>3.0078204431022106</v>
      </c>
      <c r="Z249" s="13">
        <f t="shared" si="375"/>
        <v>172.33541692292584</v>
      </c>
      <c r="AA249" s="13">
        <f t="shared" si="376"/>
        <v>187.66458307707416</v>
      </c>
      <c r="AB249" s="13">
        <v>100</v>
      </c>
      <c r="AC249" s="13">
        <v>13</v>
      </c>
      <c r="AD249" s="13">
        <f t="shared" si="355"/>
        <v>4</v>
      </c>
      <c r="AE249" s="16">
        <f t="shared" si="356"/>
        <v>87.664583077074155</v>
      </c>
      <c r="AF249" s="23">
        <f t="shared" si="337"/>
        <v>0.1174078132064421</v>
      </c>
      <c r="AG249" s="382"/>
      <c r="AH249" s="385"/>
      <c r="AI249" s="388"/>
      <c r="AJ249" s="22">
        <f t="shared" si="338"/>
        <v>2.0056897937539064</v>
      </c>
      <c r="AK249" s="22">
        <f t="shared" si="357"/>
        <v>0.33</v>
      </c>
      <c r="AL249" s="23">
        <f t="shared" si="339"/>
        <v>18.610006994007279</v>
      </c>
      <c r="AM249" s="23">
        <f t="shared" si="358"/>
        <v>12.317547359557841</v>
      </c>
      <c r="AN249" s="23">
        <f t="shared" si="340"/>
        <v>5.2707745198237683</v>
      </c>
      <c r="AO249" s="23">
        <f t="shared" si="359"/>
        <v>2.7112864129973464</v>
      </c>
      <c r="AP249" s="23">
        <f t="shared" si="360"/>
        <v>0.10294605021091739</v>
      </c>
      <c r="AQ249" s="24">
        <f t="shared" si="341"/>
        <v>5.7023952335362296E-2</v>
      </c>
      <c r="AR249" s="22">
        <f t="shared" si="342"/>
        <v>161369468.35336989</v>
      </c>
      <c r="AS249" s="22">
        <f t="shared" si="361"/>
        <v>1.9461792616127327E-3</v>
      </c>
      <c r="AT249" s="23">
        <f t="shared" si="343"/>
        <v>239.68873755421512</v>
      </c>
      <c r="AU249" s="22">
        <f t="shared" si="344"/>
        <v>8876.0353177089037</v>
      </c>
      <c r="AV249" s="443"/>
      <c r="AW249" s="445"/>
      <c r="AX249" s="388"/>
      <c r="AY249" s="339"/>
      <c r="AZ249" s="339"/>
      <c r="BA249" s="331"/>
      <c r="BB249" s="402"/>
      <c r="BC249" s="385"/>
      <c r="BD249" s="445"/>
      <c r="BE249" s="445"/>
      <c r="BF249" s="445"/>
      <c r="BG249" s="445"/>
      <c r="BH249" s="447"/>
      <c r="BI249" s="385"/>
      <c r="BJ249" s="385"/>
      <c r="BK249" s="385"/>
      <c r="BL249" s="23">
        <f t="shared" si="345"/>
        <v>-6.1869525797675608E-5</v>
      </c>
      <c r="BM249" s="24">
        <f t="shared" si="346"/>
        <v>1.5738987988711395</v>
      </c>
      <c r="BN249" s="24">
        <f t="shared" si="347"/>
        <v>2676.4734076259465</v>
      </c>
      <c r="BO249" s="24">
        <f t="shared" si="348"/>
        <v>21.408820789714511</v>
      </c>
      <c r="BP249" s="24">
        <f t="shared" si="362"/>
        <v>24.620143908171688</v>
      </c>
      <c r="BQ249" s="23">
        <f t="shared" si="363"/>
        <v>66.752261664265291</v>
      </c>
      <c r="BR249" s="23">
        <f t="shared" si="349"/>
        <v>1.9379576704344215</v>
      </c>
      <c r="BS249" s="6">
        <f t="shared" si="350"/>
        <v>160.87912986296286</v>
      </c>
      <c r="BT249" s="23">
        <f t="shared" si="351"/>
        <v>164.16237741118658</v>
      </c>
      <c r="BU249" s="22">
        <f t="shared" si="352"/>
        <v>209.39078751426857</v>
      </c>
      <c r="BV249" s="22">
        <f t="shared" si="353"/>
        <v>9.9709898816318372</v>
      </c>
      <c r="BW249" s="23">
        <f t="shared" si="354"/>
        <v>2.1397000193726303E-3</v>
      </c>
      <c r="BY249" s="361"/>
      <c r="BZ249" s="366"/>
      <c r="CA249" s="361"/>
    </row>
    <row r="250" spans="3:79" ht="15.75" x14ac:dyDescent="0.3">
      <c r="C250" s="22">
        <v>95</v>
      </c>
      <c r="D250" s="379"/>
      <c r="E250" s="379"/>
      <c r="F250" s="19" t="s">
        <v>128</v>
      </c>
      <c r="G250" s="257"/>
      <c r="H250" s="54">
        <v>1.0395833333333799</v>
      </c>
      <c r="I250" s="13">
        <v>-8.7406760000000006</v>
      </c>
      <c r="J250" s="13">
        <v>116.054264</v>
      </c>
      <c r="K250" s="13">
        <f t="shared" si="389"/>
        <v>-0.15255357505004791</v>
      </c>
      <c r="L250" s="13">
        <f t="shared" si="389"/>
        <v>2.0255290177787244</v>
      </c>
      <c r="M250" s="13">
        <v>3443</v>
      </c>
      <c r="N250" s="71">
        <f t="shared" si="335"/>
        <v>0.32337222789026543</v>
      </c>
      <c r="O250" s="421"/>
      <c r="P250" s="421"/>
      <c r="Q250" s="425"/>
      <c r="R250" s="23">
        <f t="shared" si="368"/>
        <v>5.000000000015703E-2</v>
      </c>
      <c r="S250" s="331"/>
      <c r="T250" s="23">
        <f t="shared" si="370"/>
        <v>6.4674445577849973</v>
      </c>
      <c r="U250" s="421"/>
      <c r="V250" s="22">
        <f t="shared" si="336"/>
        <v>3.3268534805246026</v>
      </c>
      <c r="W250" s="130">
        <f t="shared" si="372"/>
        <v>-9.3547213383261748E-5</v>
      </c>
      <c r="X250" s="13">
        <f t="shared" si="373"/>
        <v>1.6755160819226234E-5</v>
      </c>
      <c r="Y250" s="13">
        <f t="shared" si="374"/>
        <v>2.964362752404186</v>
      </c>
      <c r="Z250" s="13">
        <f t="shared" si="375"/>
        <v>169.84547465854408</v>
      </c>
      <c r="AA250" s="13">
        <f t="shared" si="376"/>
        <v>190.15452534145592</v>
      </c>
      <c r="AB250" s="13">
        <v>100</v>
      </c>
      <c r="AC250" s="13">
        <v>13</v>
      </c>
      <c r="AD250" s="13">
        <f t="shared" si="355"/>
        <v>4</v>
      </c>
      <c r="AE250" s="16">
        <f t="shared" si="356"/>
        <v>90.154525341455923</v>
      </c>
      <c r="AF250" s="23">
        <f t="shared" si="337"/>
        <v>0.12631879236684179</v>
      </c>
      <c r="AG250" s="382"/>
      <c r="AH250" s="385"/>
      <c r="AI250" s="388"/>
      <c r="AJ250" s="22">
        <f t="shared" si="338"/>
        <v>1.9475257955044847</v>
      </c>
      <c r="AK250" s="22">
        <f t="shared" si="357"/>
        <v>0.33</v>
      </c>
      <c r="AL250" s="23">
        <f t="shared" si="339"/>
        <v>18.610006994007279</v>
      </c>
      <c r="AM250" s="23">
        <f t="shared" si="358"/>
        <v>11.960344662864856</v>
      </c>
      <c r="AN250" s="23">
        <f t="shared" si="340"/>
        <v>5.6939158977942155</v>
      </c>
      <c r="AO250" s="23">
        <f t="shared" si="359"/>
        <v>2.9289503378253441</v>
      </c>
      <c r="AP250" s="23">
        <f t="shared" si="360"/>
        <v>0.11121062942579886</v>
      </c>
      <c r="AQ250" s="24">
        <f t="shared" si="341"/>
        <v>5.6792589440166769E-2</v>
      </c>
      <c r="AR250" s="22">
        <f t="shared" si="342"/>
        <v>174324319.47526655</v>
      </c>
      <c r="AS250" s="22">
        <f t="shared" si="361"/>
        <v>1.9253206910384818E-3</v>
      </c>
      <c r="AT250" s="23">
        <f t="shared" si="343"/>
        <v>276.72034234237935</v>
      </c>
      <c r="AU250" s="22">
        <f t="shared" si="344"/>
        <v>10247.371473613335</v>
      </c>
      <c r="AV250" s="443"/>
      <c r="AW250" s="445"/>
      <c r="AX250" s="388"/>
      <c r="AY250" s="339"/>
      <c r="AZ250" s="339"/>
      <c r="BA250" s="331"/>
      <c r="BB250" s="402"/>
      <c r="BC250" s="385"/>
      <c r="BD250" s="445"/>
      <c r="BE250" s="445"/>
      <c r="BF250" s="445"/>
      <c r="BG250" s="445"/>
      <c r="BH250" s="447"/>
      <c r="BI250" s="385"/>
      <c r="BJ250" s="385"/>
      <c r="BK250" s="385"/>
      <c r="BL250" s="23">
        <f t="shared" si="345"/>
        <v>-2.3873621498568165E-4</v>
      </c>
      <c r="BM250" s="24">
        <f t="shared" si="346"/>
        <v>5.4419733140406761</v>
      </c>
      <c r="BN250" s="24">
        <f t="shared" si="347"/>
        <v>3123.461472719192</v>
      </c>
      <c r="BO250" s="24">
        <f t="shared" si="348"/>
        <v>24.753557585075129</v>
      </c>
      <c r="BP250" s="24">
        <f t="shared" si="362"/>
        <v>28.466591222836399</v>
      </c>
      <c r="BQ250" s="23">
        <f t="shared" si="363"/>
        <v>83.377231978862653</v>
      </c>
      <c r="BR250" s="23">
        <f t="shared" si="349"/>
        <v>2.0935382356875594</v>
      </c>
      <c r="BS250" s="6">
        <f t="shared" si="350"/>
        <v>200.94684729345437</v>
      </c>
      <c r="BT250" s="23">
        <f t="shared" si="351"/>
        <v>205.04780336066773</v>
      </c>
      <c r="BU250" s="22">
        <f t="shared" si="352"/>
        <v>261.54056551105577</v>
      </c>
      <c r="BV250" s="22">
        <f t="shared" si="353"/>
        <v>12.454312643383608</v>
      </c>
      <c r="BW250" s="23">
        <f t="shared" si="354"/>
        <v>2.6617590198561025E-3</v>
      </c>
      <c r="BY250" s="362"/>
      <c r="BZ250" s="451"/>
      <c r="CA250" s="362"/>
    </row>
    <row r="251" spans="3:79" ht="15.75" x14ac:dyDescent="0.3">
      <c r="C251" s="22">
        <v>96</v>
      </c>
      <c r="D251" s="379"/>
      <c r="E251" s="379"/>
      <c r="F251" s="19" t="s">
        <v>128</v>
      </c>
      <c r="G251" s="54">
        <v>1.04166666666672</v>
      </c>
      <c r="H251" s="54">
        <v>1.04166666666672</v>
      </c>
      <c r="I251" s="13">
        <v>-8.7441089999999999</v>
      </c>
      <c r="J251" s="13">
        <v>116.057106</v>
      </c>
      <c r="K251" s="13">
        <f t="shared" si="389"/>
        <v>-0.15261349220326884</v>
      </c>
      <c r="L251" s="13">
        <f t="shared" si="389"/>
        <v>2.0255786200360664</v>
      </c>
      <c r="M251" s="13">
        <v>3443</v>
      </c>
      <c r="N251" s="71">
        <f t="shared" si="335"/>
        <v>0.2665515885996691</v>
      </c>
      <c r="O251" s="422"/>
      <c r="P251" s="422"/>
      <c r="Q251" s="426"/>
      <c r="R251" s="23">
        <f t="shared" si="368"/>
        <v>5.0000000000162359E-2</v>
      </c>
      <c r="S251" s="358"/>
      <c r="T251" s="23">
        <f t="shared" si="370"/>
        <v>5.3310317719760709</v>
      </c>
      <c r="U251" s="422"/>
      <c r="V251" s="22">
        <f t="shared" si="336"/>
        <v>2.7422827435044907</v>
      </c>
      <c r="W251" s="130">
        <f t="shared" si="372"/>
        <v>-6.0628915399308807E-5</v>
      </c>
      <c r="X251" s="13">
        <f t="shared" si="373"/>
        <v>4.9602257341962996E-5</v>
      </c>
      <c r="Y251" s="13">
        <f t="shared" si="374"/>
        <v>2.4558949459812611</v>
      </c>
      <c r="Z251" s="13">
        <f t="shared" si="375"/>
        <v>140.71241533223557</v>
      </c>
      <c r="AA251" s="13">
        <f t="shared" si="376"/>
        <v>219.28758466776443</v>
      </c>
      <c r="AB251" s="13">
        <v>100</v>
      </c>
      <c r="AC251" s="13">
        <v>13</v>
      </c>
      <c r="AD251" s="13">
        <f t="shared" si="355"/>
        <v>4</v>
      </c>
      <c r="AE251" s="16">
        <f t="shared" si="356"/>
        <v>119.28758466776443</v>
      </c>
      <c r="AF251" s="23">
        <f t="shared" si="337"/>
        <v>0.10412296379018586</v>
      </c>
      <c r="AG251" s="382"/>
      <c r="AH251" s="385"/>
      <c r="AI251" s="388"/>
      <c r="AJ251" s="22">
        <f t="shared" si="338"/>
        <v>2.088982571550265</v>
      </c>
      <c r="AK251" s="22">
        <f t="shared" si="357"/>
        <v>0.33</v>
      </c>
      <c r="AL251" s="23">
        <f t="shared" si="339"/>
        <v>18.610006994007279</v>
      </c>
      <c r="AM251" s="23">
        <f t="shared" si="358"/>
        <v>12.829073488080216</v>
      </c>
      <c r="AN251" s="23">
        <f t="shared" si="340"/>
        <v>4.6471097882763557</v>
      </c>
      <c r="AO251" s="23">
        <f t="shared" si="359"/>
        <v>2.3904732750893571</v>
      </c>
      <c r="AP251" s="23">
        <f t="shared" si="360"/>
        <v>9.0764952247575761E-2</v>
      </c>
      <c r="AQ251" s="24">
        <f t="shared" si="341"/>
        <v>5.735857355298999E-2</v>
      </c>
      <c r="AR251" s="22">
        <f t="shared" si="342"/>
        <v>142275415.70853806</v>
      </c>
      <c r="AS251" s="22">
        <f t="shared" si="361"/>
        <v>1.9809298726431008E-3</v>
      </c>
      <c r="AT251" s="23">
        <f t="shared" si="343"/>
        <v>189.64914054236817</v>
      </c>
      <c r="AU251" s="22">
        <f t="shared" si="344"/>
        <v>7022.9935982972365</v>
      </c>
      <c r="AV251" s="443"/>
      <c r="AW251" s="445"/>
      <c r="AX251" s="388"/>
      <c r="AY251" s="339"/>
      <c r="AZ251" s="339"/>
      <c r="BA251" s="331"/>
      <c r="BB251" s="402"/>
      <c r="BC251" s="385"/>
      <c r="BD251" s="445"/>
      <c r="BE251" s="445"/>
      <c r="BF251" s="445"/>
      <c r="BG251" s="445"/>
      <c r="BH251" s="447"/>
      <c r="BI251" s="385"/>
      <c r="BJ251" s="385"/>
      <c r="BK251" s="385"/>
      <c r="BL251" s="23">
        <f t="shared" si="345"/>
        <v>-4.1470937200922027E-6</v>
      </c>
      <c r="BM251" s="24">
        <f t="shared" si="346"/>
        <v>0.17132652379928159</v>
      </c>
      <c r="BN251" s="24">
        <f t="shared" si="347"/>
        <v>2080.5584583525542</v>
      </c>
      <c r="BO251" s="24">
        <f t="shared" si="348"/>
        <v>16.901096937071735</v>
      </c>
      <c r="BP251" s="24">
        <f t="shared" si="362"/>
        <v>19.436261477632495</v>
      </c>
      <c r="BQ251" s="23">
        <f t="shared" si="363"/>
        <v>46.461863629929262</v>
      </c>
      <c r="BR251" s="23">
        <f t="shared" si="349"/>
        <v>1.7086487053599404</v>
      </c>
      <c r="BS251" s="6">
        <f t="shared" si="350"/>
        <v>111.97739231951957</v>
      </c>
      <c r="BT251" s="23">
        <f t="shared" si="351"/>
        <v>114.26264522399956</v>
      </c>
      <c r="BU251" s="22">
        <f t="shared" si="352"/>
        <v>145.74316992857086</v>
      </c>
      <c r="BV251" s="22">
        <f t="shared" si="353"/>
        <v>6.9401509489795652</v>
      </c>
      <c r="BW251" s="23">
        <f t="shared" si="354"/>
        <v>1.4980439635291379E-3</v>
      </c>
      <c r="BY251" s="205">
        <f>BW251*1000</f>
        <v>1.4980439635291378</v>
      </c>
      <c r="BZ251" s="205">
        <v>0</v>
      </c>
      <c r="CA251" s="89">
        <f>AN251</f>
        <v>4.6471097882763557</v>
      </c>
    </row>
    <row r="252" spans="3:79" ht="15.75" x14ac:dyDescent="0.3">
      <c r="C252" s="22"/>
      <c r="D252" s="379"/>
      <c r="E252" s="379"/>
      <c r="F252" s="19" t="s">
        <v>128</v>
      </c>
      <c r="G252" s="1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6"/>
      <c r="U252" s="16"/>
      <c r="V252" s="13">
        <f t="shared" ref="V252:V254" si="408">T252*0.5144</f>
        <v>0</v>
      </c>
      <c r="W252" s="13"/>
      <c r="X252" s="13"/>
      <c r="Y252" s="13"/>
      <c r="Z252" s="13"/>
      <c r="AA252" s="16"/>
      <c r="AB252" s="16"/>
      <c r="AC252" s="16"/>
      <c r="AD252" s="22">
        <f t="shared" ref="AD252:AD254" si="409">IF(AC252&lt;=0.6,0,IF(AC252&lt;=3,1,IF(AC252&lt;=6.4,2,IF(AC252&lt;=10.6,3,IF(AC252&lt;=15.5,4,IF(AC252&lt;=21,5,IF(AC252&lt;=26.9,IF(AC252&lt;=33.4,7,8))))))))</f>
        <v>0</v>
      </c>
      <c r="AE252" s="16"/>
      <c r="AF252" s="23">
        <f t="shared" si="337"/>
        <v>0</v>
      </c>
      <c r="AG252" s="382"/>
      <c r="AH252" s="385"/>
      <c r="AI252" s="388"/>
      <c r="AJ252" s="22">
        <f t="shared" si="338"/>
        <v>2.6</v>
      </c>
      <c r="AK252" s="22">
        <f t="shared" si="357"/>
        <v>1</v>
      </c>
      <c r="AL252" s="23">
        <f t="shared" ref="AL252:AL254" si="410">IF($T$21="ALL SHIP TYPE LOADED",(0.5*AD252+AD252^6.5)/(2.2*$G$5^(2/3)),IF($T$22="ALL SHIP TYPE BALLAST",(0.7*AD252+AD252^6.5)/(2.7*J114^(2/3)),IF($T$23="CONTAINER NORMAL",(0.7*AD252+AD252^6.5)/(2.2*$G$5^(2/3)))))</f>
        <v>0</v>
      </c>
      <c r="AM252" s="23">
        <f t="shared" si="358"/>
        <v>0</v>
      </c>
      <c r="AN252" s="23">
        <f t="shared" ref="AN252:AN254" si="411">T252-((AM252)*0.01*T252)</f>
        <v>0</v>
      </c>
      <c r="AO252" s="23">
        <f t="shared" si="359"/>
        <v>0</v>
      </c>
      <c r="AP252" s="23">
        <f t="shared" si="360"/>
        <v>0</v>
      </c>
      <c r="AQ252" s="24" t="e">
        <f t="shared" si="341"/>
        <v>#DIV/0!</v>
      </c>
      <c r="AR252" s="22">
        <f t="shared" si="342"/>
        <v>0</v>
      </c>
      <c r="AS252" s="22" t="e">
        <f t="shared" si="361"/>
        <v>#NUM!</v>
      </c>
      <c r="AT252" s="23" t="e">
        <f t="shared" ref="AT252:AT254" si="412">0.5*1024*(AO252^2)*$W$5*$W$6*AS252</f>
        <v>#NUM!</v>
      </c>
      <c r="AU252" s="22" t="e">
        <f t="shared" si="344"/>
        <v>#NUM!</v>
      </c>
      <c r="AV252" s="443"/>
      <c r="AW252" s="445"/>
      <c r="AX252" s="388"/>
      <c r="AY252" s="339"/>
      <c r="AZ252" s="339"/>
      <c r="BA252" s="331"/>
      <c r="BB252" s="402"/>
      <c r="BC252" s="385"/>
      <c r="BD252" s="445"/>
      <c r="BE252" s="445"/>
      <c r="BF252" s="445"/>
      <c r="BG252" s="445"/>
      <c r="BH252" s="447"/>
      <c r="BI252" s="385"/>
      <c r="BJ252" s="385"/>
      <c r="BK252" s="385"/>
      <c r="BL252" s="23" t="e">
        <f t="shared" si="345"/>
        <v>#DIV/0!</v>
      </c>
      <c r="BM252" s="24" t="e">
        <f t="shared" ref="BM252:BM254" si="413">$BC$156*$BD$156*$BG$156*($D$3*$D$4*$AI$31*$AH$156)*1025*9.81*(EXP(($BK$156*(AP252^-0.9))+(BL252*COS($Y$10*(AP252^-2)))))</f>
        <v>#DIV/0!</v>
      </c>
      <c r="BN252" s="24">
        <f t="shared" si="347"/>
        <v>0</v>
      </c>
      <c r="BO252" s="24" t="e">
        <f t="shared" ref="BO252:BO254" si="414">((AU252*$U$8)+AT252+BM252+BN252)/1000</f>
        <v>#NUM!</v>
      </c>
      <c r="BP252" s="24" t="e">
        <f t="shared" si="362"/>
        <v>#NUM!</v>
      </c>
      <c r="BQ252" s="23" t="e">
        <f t="shared" si="363"/>
        <v>#NUM!</v>
      </c>
      <c r="BR252" s="23">
        <f t="shared" si="349"/>
        <v>0</v>
      </c>
      <c r="BS252" s="6" t="e">
        <f t="shared" si="350"/>
        <v>#NUM!</v>
      </c>
      <c r="BT252" s="23" t="e">
        <f t="shared" ref="BT252:BT254" si="415">BS252/$AO$5</f>
        <v>#NUM!</v>
      </c>
      <c r="BU252" s="22" t="e">
        <f t="shared" ref="BU252:BU254" si="416">((BT252/$AO$6)/80%)</f>
        <v>#NUM!</v>
      </c>
      <c r="BV252" s="22" t="e">
        <f t="shared" ref="BV252:BV254" si="417">(BU252/$AK$19)*100</f>
        <v>#NUM!</v>
      </c>
      <c r="BW252" s="23" t="e">
        <f t="shared" si="354"/>
        <v>#NUM!</v>
      </c>
    </row>
    <row r="253" spans="3:79" ht="15.75" x14ac:dyDescent="0.3">
      <c r="C253" s="13"/>
      <c r="D253" s="379"/>
      <c r="E253" s="379"/>
      <c r="F253" s="19" t="s">
        <v>128</v>
      </c>
      <c r="G253" s="1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6"/>
      <c r="U253" s="16"/>
      <c r="V253" s="13">
        <f t="shared" si="408"/>
        <v>0</v>
      </c>
      <c r="W253" s="13"/>
      <c r="X253" s="13"/>
      <c r="Y253" s="13"/>
      <c r="Z253" s="13"/>
      <c r="AA253" s="16"/>
      <c r="AB253" s="16"/>
      <c r="AC253" s="16"/>
      <c r="AD253" s="22">
        <f t="shared" si="409"/>
        <v>0</v>
      </c>
      <c r="AE253" s="16"/>
      <c r="AF253" s="23">
        <f t="shared" si="337"/>
        <v>0</v>
      </c>
      <c r="AG253" s="382"/>
      <c r="AH253" s="385"/>
      <c r="AI253" s="388"/>
      <c r="AJ253" s="22">
        <f t="shared" si="338"/>
        <v>2.6</v>
      </c>
      <c r="AK253" s="22">
        <f t="shared" si="357"/>
        <v>1</v>
      </c>
      <c r="AL253" s="23">
        <f t="shared" si="410"/>
        <v>0</v>
      </c>
      <c r="AM253" s="23">
        <f t="shared" si="358"/>
        <v>0</v>
      </c>
      <c r="AN253" s="23">
        <f t="shared" si="411"/>
        <v>0</v>
      </c>
      <c r="AO253" s="23">
        <f t="shared" si="359"/>
        <v>0</v>
      </c>
      <c r="AP253" s="23">
        <f t="shared" si="360"/>
        <v>0</v>
      </c>
      <c r="AQ253" s="24" t="e">
        <f t="shared" si="341"/>
        <v>#DIV/0!</v>
      </c>
      <c r="AR253" s="22">
        <f t="shared" si="342"/>
        <v>0</v>
      </c>
      <c r="AS253" s="22" t="e">
        <f t="shared" si="361"/>
        <v>#NUM!</v>
      </c>
      <c r="AT253" s="23" t="e">
        <f t="shared" si="412"/>
        <v>#NUM!</v>
      </c>
      <c r="AU253" s="22" t="e">
        <f t="shared" si="344"/>
        <v>#NUM!</v>
      </c>
      <c r="AV253" s="443"/>
      <c r="AW253" s="445"/>
      <c r="AX253" s="388"/>
      <c r="AY253" s="339"/>
      <c r="AZ253" s="339"/>
      <c r="BA253" s="331"/>
      <c r="BB253" s="402"/>
      <c r="BC253" s="385"/>
      <c r="BD253" s="445"/>
      <c r="BE253" s="445"/>
      <c r="BF253" s="445"/>
      <c r="BG253" s="445"/>
      <c r="BH253" s="447"/>
      <c r="BI253" s="385"/>
      <c r="BJ253" s="385"/>
      <c r="BK253" s="385"/>
      <c r="BL253" s="23" t="e">
        <f t="shared" si="345"/>
        <v>#DIV/0!</v>
      </c>
      <c r="BM253" s="24" t="e">
        <f t="shared" si="413"/>
        <v>#DIV/0!</v>
      </c>
      <c r="BN253" s="24">
        <f t="shared" si="347"/>
        <v>0</v>
      </c>
      <c r="BO253" s="24" t="e">
        <f t="shared" si="414"/>
        <v>#NUM!</v>
      </c>
      <c r="BP253" s="24" t="e">
        <f t="shared" si="362"/>
        <v>#NUM!</v>
      </c>
      <c r="BQ253" s="23" t="e">
        <f t="shared" si="363"/>
        <v>#NUM!</v>
      </c>
      <c r="BR253" s="23">
        <f t="shared" si="349"/>
        <v>0</v>
      </c>
      <c r="BS253" s="6" t="e">
        <f t="shared" si="350"/>
        <v>#NUM!</v>
      </c>
      <c r="BT253" s="23" t="e">
        <f t="shared" si="415"/>
        <v>#NUM!</v>
      </c>
      <c r="BU253" s="22" t="e">
        <f t="shared" si="416"/>
        <v>#NUM!</v>
      </c>
      <c r="BV253" s="22" t="e">
        <f t="shared" si="417"/>
        <v>#NUM!</v>
      </c>
      <c r="BW253" s="23" t="e">
        <f t="shared" si="354"/>
        <v>#NUM!</v>
      </c>
    </row>
    <row r="254" spans="3:79" ht="15.75" x14ac:dyDescent="0.3">
      <c r="C254" s="13"/>
      <c r="D254" s="379"/>
      <c r="E254" s="379"/>
      <c r="F254" s="13" t="s">
        <v>128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6"/>
      <c r="U254" s="16"/>
      <c r="V254" s="13">
        <f t="shared" si="408"/>
        <v>0</v>
      </c>
      <c r="W254" s="13"/>
      <c r="X254" s="13"/>
      <c r="Y254" s="13"/>
      <c r="Z254" s="13"/>
      <c r="AA254" s="16"/>
      <c r="AB254" s="16"/>
      <c r="AC254" s="16"/>
      <c r="AD254" s="22">
        <f t="shared" si="409"/>
        <v>0</v>
      </c>
      <c r="AE254" s="16"/>
      <c r="AF254" s="23">
        <f t="shared" si="337"/>
        <v>0</v>
      </c>
      <c r="AG254" s="382"/>
      <c r="AH254" s="385"/>
      <c r="AI254" s="388"/>
      <c r="AJ254" s="22">
        <f t="shared" si="338"/>
        <v>2.6</v>
      </c>
      <c r="AK254" s="22">
        <f t="shared" si="357"/>
        <v>1</v>
      </c>
      <c r="AL254" s="23">
        <f t="shared" si="410"/>
        <v>0</v>
      </c>
      <c r="AM254" s="23">
        <f t="shared" si="358"/>
        <v>0</v>
      </c>
      <c r="AN254" s="23">
        <f t="shared" si="411"/>
        <v>0</v>
      </c>
      <c r="AO254" s="23">
        <f t="shared" si="359"/>
        <v>0</v>
      </c>
      <c r="AP254" s="23">
        <f t="shared" si="360"/>
        <v>0</v>
      </c>
      <c r="AQ254" s="24" t="e">
        <f t="shared" si="341"/>
        <v>#DIV/0!</v>
      </c>
      <c r="AR254" s="22">
        <f t="shared" si="342"/>
        <v>0</v>
      </c>
      <c r="AS254" s="22" t="e">
        <f t="shared" si="361"/>
        <v>#NUM!</v>
      </c>
      <c r="AT254" s="23" t="e">
        <f t="shared" si="412"/>
        <v>#NUM!</v>
      </c>
      <c r="AU254" s="22" t="e">
        <f t="shared" si="344"/>
        <v>#NUM!</v>
      </c>
      <c r="AV254" s="443"/>
      <c r="AW254" s="445"/>
      <c r="AX254" s="388"/>
      <c r="AY254" s="339"/>
      <c r="AZ254" s="339"/>
      <c r="BA254" s="331"/>
      <c r="BB254" s="402"/>
      <c r="BC254" s="385"/>
      <c r="BD254" s="445"/>
      <c r="BE254" s="445"/>
      <c r="BF254" s="445"/>
      <c r="BG254" s="445"/>
      <c r="BH254" s="447"/>
      <c r="BI254" s="385"/>
      <c r="BJ254" s="385"/>
      <c r="BK254" s="385"/>
      <c r="BL254" s="23" t="e">
        <f t="shared" si="345"/>
        <v>#DIV/0!</v>
      </c>
      <c r="BM254" s="24" t="e">
        <f t="shared" si="413"/>
        <v>#DIV/0!</v>
      </c>
      <c r="BN254" s="24">
        <f t="shared" si="347"/>
        <v>0</v>
      </c>
      <c r="BO254" s="24" t="e">
        <f t="shared" si="414"/>
        <v>#NUM!</v>
      </c>
      <c r="BP254" s="24" t="e">
        <f t="shared" si="362"/>
        <v>#NUM!</v>
      </c>
      <c r="BQ254" s="23" t="e">
        <f t="shared" si="363"/>
        <v>#NUM!</v>
      </c>
      <c r="BR254" s="23">
        <f t="shared" si="349"/>
        <v>0</v>
      </c>
      <c r="BS254" s="6" t="e">
        <f t="shared" si="350"/>
        <v>#NUM!</v>
      </c>
      <c r="BT254" s="23" t="e">
        <f t="shared" si="415"/>
        <v>#NUM!</v>
      </c>
      <c r="BU254" s="22" t="e">
        <f t="shared" si="416"/>
        <v>#NUM!</v>
      </c>
      <c r="BV254" s="22" t="e">
        <f t="shared" si="417"/>
        <v>#NUM!</v>
      </c>
      <c r="BW254" s="23" t="e">
        <f t="shared" si="354"/>
        <v>#NUM!</v>
      </c>
    </row>
    <row r="255" spans="3:79" x14ac:dyDescent="0.25">
      <c r="BJ255" s="89"/>
    </row>
    <row r="256" spans="3:79" x14ac:dyDescent="0.25">
      <c r="BJ256" s="89"/>
      <c r="BW256" s="89">
        <f>SUM(BW157:BW251)</f>
        <v>0.7523819347650047</v>
      </c>
      <c r="BZ256" s="188">
        <f>SUM(BZ156:BZ251)</f>
        <v>770</v>
      </c>
    </row>
    <row r="257" spans="62:62" x14ac:dyDescent="0.25">
      <c r="BJ257" s="89"/>
    </row>
    <row r="258" spans="62:62" x14ac:dyDescent="0.25">
      <c r="BJ258" s="89"/>
    </row>
    <row r="259" spans="62:62" x14ac:dyDescent="0.25">
      <c r="BJ259" s="89"/>
    </row>
    <row r="260" spans="62:62" x14ac:dyDescent="0.25">
      <c r="BJ260" s="89"/>
    </row>
    <row r="261" spans="62:62" x14ac:dyDescent="0.25">
      <c r="BJ261" s="89"/>
    </row>
    <row r="262" spans="62:62" x14ac:dyDescent="0.25">
      <c r="BJ262" s="89"/>
    </row>
    <row r="263" spans="62:62" x14ac:dyDescent="0.25">
      <c r="BJ263" s="89"/>
    </row>
    <row r="264" spans="62:62" x14ac:dyDescent="0.25">
      <c r="BJ264" s="89"/>
    </row>
    <row r="265" spans="62:62" x14ac:dyDescent="0.25">
      <c r="BJ265" s="89"/>
    </row>
    <row r="266" spans="62:62" x14ac:dyDescent="0.25">
      <c r="BJ266" s="89"/>
    </row>
    <row r="267" spans="62:62" x14ac:dyDescent="0.25">
      <c r="BJ267" s="89"/>
    </row>
    <row r="268" spans="62:62" x14ac:dyDescent="0.25">
      <c r="BJ268" s="89"/>
    </row>
    <row r="269" spans="62:62" x14ac:dyDescent="0.25">
      <c r="BJ269" s="89"/>
    </row>
    <row r="270" spans="62:62" x14ac:dyDescent="0.25">
      <c r="BJ270" s="89"/>
    </row>
    <row r="271" spans="62:62" x14ac:dyDescent="0.25">
      <c r="BJ271" s="89"/>
    </row>
    <row r="272" spans="62:62" x14ac:dyDescent="0.25">
      <c r="BJ272" s="89"/>
    </row>
    <row r="273" spans="62:62" x14ac:dyDescent="0.25">
      <c r="BJ273" s="89"/>
    </row>
    <row r="274" spans="62:62" x14ac:dyDescent="0.25">
      <c r="BJ274" s="89"/>
    </row>
    <row r="275" spans="62:62" x14ac:dyDescent="0.25">
      <c r="BJ275" s="89"/>
    </row>
    <row r="276" spans="62:62" x14ac:dyDescent="0.25">
      <c r="BJ276" s="89"/>
    </row>
    <row r="277" spans="62:62" x14ac:dyDescent="0.25">
      <c r="BJ277" s="89"/>
    </row>
    <row r="278" spans="62:62" x14ac:dyDescent="0.25">
      <c r="BJ278" s="89"/>
    </row>
  </sheetData>
  <mergeCells count="534">
    <mergeCell ref="BY201:BY205"/>
    <mergeCell ref="BY206:BY210"/>
    <mergeCell ref="CA241:CA245"/>
    <mergeCell ref="CA246:CA250"/>
    <mergeCell ref="CA196:CA200"/>
    <mergeCell ref="CA201:CA205"/>
    <mergeCell ref="CA206:CA210"/>
    <mergeCell ref="CA211:CA215"/>
    <mergeCell ref="CA216:CA220"/>
    <mergeCell ref="CA221:CA225"/>
    <mergeCell ref="CA226:CA230"/>
    <mergeCell ref="CA231:CA235"/>
    <mergeCell ref="CA236:CA240"/>
    <mergeCell ref="CA191:CA195"/>
    <mergeCell ref="BZ144:BZ150"/>
    <mergeCell ref="BY241:BY245"/>
    <mergeCell ref="BY246:BY250"/>
    <mergeCell ref="BZ156:BZ160"/>
    <mergeCell ref="BZ161:BZ165"/>
    <mergeCell ref="BZ166:BZ170"/>
    <mergeCell ref="BZ171:BZ175"/>
    <mergeCell ref="BZ176:BZ180"/>
    <mergeCell ref="BZ181:BZ185"/>
    <mergeCell ref="BZ186:BZ190"/>
    <mergeCell ref="BZ191:BZ195"/>
    <mergeCell ref="BZ196:BZ200"/>
    <mergeCell ref="BZ201:BZ205"/>
    <mergeCell ref="BZ206:BZ210"/>
    <mergeCell ref="BZ211:BZ215"/>
    <mergeCell ref="BZ216:BZ220"/>
    <mergeCell ref="BZ221:BZ225"/>
    <mergeCell ref="BZ226:BZ230"/>
    <mergeCell ref="BZ231:BZ235"/>
    <mergeCell ref="BZ236:BZ240"/>
    <mergeCell ref="BZ241:BZ245"/>
    <mergeCell ref="BZ246:BZ250"/>
    <mergeCell ref="BY196:BY200"/>
    <mergeCell ref="BZ67:BZ73"/>
    <mergeCell ref="BZ60:BZ66"/>
    <mergeCell ref="BY211:BY215"/>
    <mergeCell ref="BY216:BY220"/>
    <mergeCell ref="BY221:BY225"/>
    <mergeCell ref="BY226:BY230"/>
    <mergeCell ref="BY231:BY235"/>
    <mergeCell ref="BY236:BY240"/>
    <mergeCell ref="CA144:CA150"/>
    <mergeCell ref="BY156:BY160"/>
    <mergeCell ref="BY161:BY165"/>
    <mergeCell ref="BY166:BY170"/>
    <mergeCell ref="BY171:BY175"/>
    <mergeCell ref="BY176:BY180"/>
    <mergeCell ref="BY181:BY185"/>
    <mergeCell ref="BY186:BY190"/>
    <mergeCell ref="BY191:BY195"/>
    <mergeCell ref="CA156:CA160"/>
    <mergeCell ref="CA161:CA165"/>
    <mergeCell ref="CA166:CA170"/>
    <mergeCell ref="CA171:CA175"/>
    <mergeCell ref="CA176:CA180"/>
    <mergeCell ref="CA181:CA185"/>
    <mergeCell ref="CA186:CA190"/>
    <mergeCell ref="BY130:BY136"/>
    <mergeCell ref="BY137:BY143"/>
    <mergeCell ref="BZ39:BZ45"/>
    <mergeCell ref="BZ32:BZ38"/>
    <mergeCell ref="CF32:CF38"/>
    <mergeCell ref="BZ137:BZ143"/>
    <mergeCell ref="CA32:CA38"/>
    <mergeCell ref="CA39:CA45"/>
    <mergeCell ref="CA46:CA52"/>
    <mergeCell ref="CA53:CA59"/>
    <mergeCell ref="CA60:CA66"/>
    <mergeCell ref="CA67:CA73"/>
    <mergeCell ref="CA74:CA80"/>
    <mergeCell ref="CA81:CA87"/>
    <mergeCell ref="CA88:CA94"/>
    <mergeCell ref="CA95:CA101"/>
    <mergeCell ref="CA102:CA108"/>
    <mergeCell ref="CA109:CA115"/>
    <mergeCell ref="CA116:CA122"/>
    <mergeCell ref="CA123:CA129"/>
    <mergeCell ref="CA130:CA136"/>
    <mergeCell ref="CA137:CA143"/>
    <mergeCell ref="BZ81:BZ87"/>
    <mergeCell ref="BZ74:BZ80"/>
    <mergeCell ref="BY144:BY150"/>
    <mergeCell ref="BZ88:BZ94"/>
    <mergeCell ref="BZ95:BZ101"/>
    <mergeCell ref="BZ102:BZ108"/>
    <mergeCell ref="BZ109:BZ115"/>
    <mergeCell ref="BZ116:BZ122"/>
    <mergeCell ref="BZ123:BZ129"/>
    <mergeCell ref="BZ130:BZ136"/>
    <mergeCell ref="BY32:BY38"/>
    <mergeCell ref="BY39:BY45"/>
    <mergeCell ref="BY46:BY52"/>
    <mergeCell ref="BY53:BY59"/>
    <mergeCell ref="BY60:BY66"/>
    <mergeCell ref="BY67:BY73"/>
    <mergeCell ref="BY74:BY80"/>
    <mergeCell ref="BY81:BY87"/>
    <mergeCell ref="BY88:BY94"/>
    <mergeCell ref="BZ53:BZ59"/>
    <mergeCell ref="BZ46:BZ52"/>
    <mergeCell ref="BY95:BY101"/>
    <mergeCell ref="BY102:BY108"/>
    <mergeCell ref="BY109:BY115"/>
    <mergeCell ref="BY116:BY122"/>
    <mergeCell ref="BY123:BY129"/>
    <mergeCell ref="G236:G240"/>
    <mergeCell ref="G241:G245"/>
    <mergeCell ref="G196:G200"/>
    <mergeCell ref="G201:G205"/>
    <mergeCell ref="G206:G210"/>
    <mergeCell ref="G211:G215"/>
    <mergeCell ref="G216:G220"/>
    <mergeCell ref="G221:G225"/>
    <mergeCell ref="BJ156:BJ254"/>
    <mergeCell ref="O157:O161"/>
    <mergeCell ref="P157:P161"/>
    <mergeCell ref="Q157:Q161"/>
    <mergeCell ref="S157:S161"/>
    <mergeCell ref="U157:U161"/>
    <mergeCell ref="O162:O166"/>
    <mergeCell ref="P162:P166"/>
    <mergeCell ref="Q162:Q166"/>
    <mergeCell ref="S162:S166"/>
    <mergeCell ref="U162:U166"/>
    <mergeCell ref="O167:O171"/>
    <mergeCell ref="P167:P171"/>
    <mergeCell ref="Q167:Q171"/>
    <mergeCell ref="S167:S171"/>
    <mergeCell ref="U167:U171"/>
    <mergeCell ref="O172:O176"/>
    <mergeCell ref="P172:P176"/>
    <mergeCell ref="Q172:Q176"/>
    <mergeCell ref="S172:S176"/>
    <mergeCell ref="U172:U176"/>
    <mergeCell ref="O177:O181"/>
    <mergeCell ref="P177:P181"/>
    <mergeCell ref="Q177:Q181"/>
    <mergeCell ref="BK156:BK254"/>
    <mergeCell ref="U177:U181"/>
    <mergeCell ref="O182:O186"/>
    <mergeCell ref="P182:P186"/>
    <mergeCell ref="Q182:Q186"/>
    <mergeCell ref="S182:S186"/>
    <mergeCell ref="U182:U186"/>
    <mergeCell ref="O187:O191"/>
    <mergeCell ref="P187:P191"/>
    <mergeCell ref="Q187:Q191"/>
    <mergeCell ref="S187:S191"/>
    <mergeCell ref="U187:U191"/>
    <mergeCell ref="O192:O196"/>
    <mergeCell ref="P192:P196"/>
    <mergeCell ref="Q192:Q196"/>
    <mergeCell ref="S192:S196"/>
    <mergeCell ref="BX156:BX206"/>
    <mergeCell ref="G161:G165"/>
    <mergeCell ref="G166:G170"/>
    <mergeCell ref="G171:G175"/>
    <mergeCell ref="G176:G180"/>
    <mergeCell ref="G181:G185"/>
    <mergeCell ref="G186:G190"/>
    <mergeCell ref="G191:G195"/>
    <mergeCell ref="BD156:BD254"/>
    <mergeCell ref="BE156:BE254"/>
    <mergeCell ref="BF156:BF254"/>
    <mergeCell ref="BG156:BG254"/>
    <mergeCell ref="BH156:BH254"/>
    <mergeCell ref="BI156:BI254"/>
    <mergeCell ref="AX156:AX254"/>
    <mergeCell ref="AY156:AY254"/>
    <mergeCell ref="AZ156:AZ254"/>
    <mergeCell ref="BA156:BA254"/>
    <mergeCell ref="BB156:BB254"/>
    <mergeCell ref="BC156:BC254"/>
    <mergeCell ref="G226:G230"/>
    <mergeCell ref="G231:G235"/>
    <mergeCell ref="G246:G250"/>
    <mergeCell ref="S177:S181"/>
    <mergeCell ref="BW154:BW155"/>
    <mergeCell ref="BX154:BX155"/>
    <mergeCell ref="D156:D254"/>
    <mergeCell ref="E156:E254"/>
    <mergeCell ref="G156:G160"/>
    <mergeCell ref="AG156:AG254"/>
    <mergeCell ref="AH156:AH254"/>
    <mergeCell ref="AI156:AI254"/>
    <mergeCell ref="AV156:AV254"/>
    <mergeCell ref="AW156:AW254"/>
    <mergeCell ref="BQ154:BQ155"/>
    <mergeCell ref="BR154:BR155"/>
    <mergeCell ref="BS154:BS155"/>
    <mergeCell ref="BT154:BT155"/>
    <mergeCell ref="BU154:BU155"/>
    <mergeCell ref="BV154:BV155"/>
    <mergeCell ref="BK154:BK155"/>
    <mergeCell ref="BL154:BL155"/>
    <mergeCell ref="BM154:BM155"/>
    <mergeCell ref="BN154:BN155"/>
    <mergeCell ref="BO154:BO155"/>
    <mergeCell ref="BP154:BP155"/>
    <mergeCell ref="BE154:BE155"/>
    <mergeCell ref="BF154:BF155"/>
    <mergeCell ref="BG154:BG155"/>
    <mergeCell ref="BH154:BH155"/>
    <mergeCell ref="BI154:BI155"/>
    <mergeCell ref="BJ154:BJ155"/>
    <mergeCell ref="AX154:AX155"/>
    <mergeCell ref="AZ154:AZ155"/>
    <mergeCell ref="BA154:BA155"/>
    <mergeCell ref="BB154:BB155"/>
    <mergeCell ref="BC154:BC155"/>
    <mergeCell ref="BD154:BD155"/>
    <mergeCell ref="AP154:AP155"/>
    <mergeCell ref="AQ154:AQ155"/>
    <mergeCell ref="AR154:AR155"/>
    <mergeCell ref="AV154:AV155"/>
    <mergeCell ref="AW154:AW155"/>
    <mergeCell ref="AI154:AI155"/>
    <mergeCell ref="AJ154:AJ155"/>
    <mergeCell ref="AK154:AK155"/>
    <mergeCell ref="AL154:AL155"/>
    <mergeCell ref="AM154:AM155"/>
    <mergeCell ref="AN154:AN155"/>
    <mergeCell ref="AH154:AH155"/>
    <mergeCell ref="S145:S150"/>
    <mergeCell ref="U145:U150"/>
    <mergeCell ref="C154:C155"/>
    <mergeCell ref="D154:D155"/>
    <mergeCell ref="E154:E155"/>
    <mergeCell ref="F154:F155"/>
    <mergeCell ref="I154:J154"/>
    <mergeCell ref="AO154:AO155"/>
    <mergeCell ref="G144:G150"/>
    <mergeCell ref="O145:O150"/>
    <mergeCell ref="P145:P150"/>
    <mergeCell ref="Q145:Q150"/>
    <mergeCell ref="AB154:AB155"/>
    <mergeCell ref="AD154:AD155"/>
    <mergeCell ref="AF154:AF155"/>
    <mergeCell ref="AG154:AG155"/>
    <mergeCell ref="AI31:AI153"/>
    <mergeCell ref="K154:L154"/>
    <mergeCell ref="G116:G122"/>
    <mergeCell ref="O117:O123"/>
    <mergeCell ref="P117:P123"/>
    <mergeCell ref="Q117:Q123"/>
    <mergeCell ref="G154:H154"/>
    <mergeCell ref="S117:S123"/>
    <mergeCell ref="U117:U123"/>
    <mergeCell ref="G123:G129"/>
    <mergeCell ref="O124:O130"/>
    <mergeCell ref="P124:P130"/>
    <mergeCell ref="Q124:Q130"/>
    <mergeCell ref="S124:S130"/>
    <mergeCell ref="U124:U130"/>
    <mergeCell ref="G130:G136"/>
    <mergeCell ref="O131:O137"/>
    <mergeCell ref="P131:P137"/>
    <mergeCell ref="Q131:Q137"/>
    <mergeCell ref="S131:S137"/>
    <mergeCell ref="U131:U137"/>
    <mergeCell ref="G137:G143"/>
    <mergeCell ref="O138:O144"/>
    <mergeCell ref="P138:P144"/>
    <mergeCell ref="Q138:Q144"/>
    <mergeCell ref="S138:S144"/>
    <mergeCell ref="U138:U144"/>
    <mergeCell ref="G88:G94"/>
    <mergeCell ref="O89:O95"/>
    <mergeCell ref="P89:P95"/>
    <mergeCell ref="Q89:Q95"/>
    <mergeCell ref="S89:S95"/>
    <mergeCell ref="U89:U95"/>
    <mergeCell ref="G95:G101"/>
    <mergeCell ref="O96:O102"/>
    <mergeCell ref="P96:P102"/>
    <mergeCell ref="Q96:Q102"/>
    <mergeCell ref="S96:S102"/>
    <mergeCell ref="U96:U102"/>
    <mergeCell ref="G102:G108"/>
    <mergeCell ref="O103:O109"/>
    <mergeCell ref="P103:P109"/>
    <mergeCell ref="Q103:Q109"/>
    <mergeCell ref="S103:S109"/>
    <mergeCell ref="U103:U109"/>
    <mergeCell ref="G109:G115"/>
    <mergeCell ref="O110:O116"/>
    <mergeCell ref="P110:P116"/>
    <mergeCell ref="Q110:Q116"/>
    <mergeCell ref="S110:S116"/>
    <mergeCell ref="U110:U116"/>
    <mergeCell ref="G60:G66"/>
    <mergeCell ref="O61:O67"/>
    <mergeCell ref="P61:P67"/>
    <mergeCell ref="Q61:Q67"/>
    <mergeCell ref="S61:S67"/>
    <mergeCell ref="U61:U67"/>
    <mergeCell ref="G67:G73"/>
    <mergeCell ref="O68:O74"/>
    <mergeCell ref="P68:P74"/>
    <mergeCell ref="Q68:Q74"/>
    <mergeCell ref="S68:S74"/>
    <mergeCell ref="U68:U74"/>
    <mergeCell ref="G74:G80"/>
    <mergeCell ref="O75:O81"/>
    <mergeCell ref="P75:P81"/>
    <mergeCell ref="Q75:Q81"/>
    <mergeCell ref="S75:S81"/>
    <mergeCell ref="U75:U81"/>
    <mergeCell ref="G81:G87"/>
    <mergeCell ref="O82:O88"/>
    <mergeCell ref="P82:P88"/>
    <mergeCell ref="Q82:Q88"/>
    <mergeCell ref="S82:S88"/>
    <mergeCell ref="U82:U88"/>
    <mergeCell ref="G32:G38"/>
    <mergeCell ref="O33:O39"/>
    <mergeCell ref="P33:P39"/>
    <mergeCell ref="Q33:Q39"/>
    <mergeCell ref="S33:S39"/>
    <mergeCell ref="U33:U39"/>
    <mergeCell ref="G39:G45"/>
    <mergeCell ref="O40:O46"/>
    <mergeCell ref="P40:P46"/>
    <mergeCell ref="Q40:Q46"/>
    <mergeCell ref="S40:S46"/>
    <mergeCell ref="U40:U46"/>
    <mergeCell ref="G46:G52"/>
    <mergeCell ref="O47:O53"/>
    <mergeCell ref="P47:P53"/>
    <mergeCell ref="Q47:Q53"/>
    <mergeCell ref="S47:S53"/>
    <mergeCell ref="U47:U53"/>
    <mergeCell ref="G53:G59"/>
    <mergeCell ref="O54:O60"/>
    <mergeCell ref="P54:P60"/>
    <mergeCell ref="Q54:Q60"/>
    <mergeCell ref="S54:S60"/>
    <mergeCell ref="U54:U60"/>
    <mergeCell ref="BG31:BG153"/>
    <mergeCell ref="BH31:BH153"/>
    <mergeCell ref="BI31:BI153"/>
    <mergeCell ref="BJ31:BJ153"/>
    <mergeCell ref="BK31:BK153"/>
    <mergeCell ref="BX31:BX153"/>
    <mergeCell ref="BA31:BA153"/>
    <mergeCell ref="BB31:BB153"/>
    <mergeCell ref="BC31:BC153"/>
    <mergeCell ref="BD31:BD153"/>
    <mergeCell ref="BE31:BE153"/>
    <mergeCell ref="BF31:BF153"/>
    <mergeCell ref="AV31:AV153"/>
    <mergeCell ref="AW31:AW153"/>
    <mergeCell ref="AX31:AX153"/>
    <mergeCell ref="AY31:AY153"/>
    <mergeCell ref="AZ31:AZ153"/>
    <mergeCell ref="BX29:BX30"/>
    <mergeCell ref="D31:D153"/>
    <mergeCell ref="E31:E153"/>
    <mergeCell ref="O31:O32"/>
    <mergeCell ref="P31:P32"/>
    <mergeCell ref="Q31:Q32"/>
    <mergeCell ref="S31:S32"/>
    <mergeCell ref="U31:U32"/>
    <mergeCell ref="AG31:AG153"/>
    <mergeCell ref="AH31:AH153"/>
    <mergeCell ref="BR29:BR30"/>
    <mergeCell ref="BS29:BS30"/>
    <mergeCell ref="BT29:BT30"/>
    <mergeCell ref="BU29:BU30"/>
    <mergeCell ref="BV29:BV30"/>
    <mergeCell ref="BW29:BW30"/>
    <mergeCell ref="BL29:BL30"/>
    <mergeCell ref="BM29:BM30"/>
    <mergeCell ref="BN29:BN30"/>
    <mergeCell ref="BO29:BO30"/>
    <mergeCell ref="BP29:BP30"/>
    <mergeCell ref="BQ29:BQ30"/>
    <mergeCell ref="BF29:BF30"/>
    <mergeCell ref="BG29:BG30"/>
    <mergeCell ref="BH29:BH30"/>
    <mergeCell ref="BI29:BI30"/>
    <mergeCell ref="BJ29:BJ30"/>
    <mergeCell ref="BK29:BK30"/>
    <mergeCell ref="AZ29:AZ30"/>
    <mergeCell ref="BA29:BA30"/>
    <mergeCell ref="BB29:BB30"/>
    <mergeCell ref="BC29:BC30"/>
    <mergeCell ref="BD29:BD30"/>
    <mergeCell ref="BE29:BE30"/>
    <mergeCell ref="AP29:AP30"/>
    <mergeCell ref="AQ29:AQ30"/>
    <mergeCell ref="AR29:AR30"/>
    <mergeCell ref="AV29:AV30"/>
    <mergeCell ref="AW29:AW30"/>
    <mergeCell ref="AX29:AX30"/>
    <mergeCell ref="AL29:AL30"/>
    <mergeCell ref="AM29:AM30"/>
    <mergeCell ref="AN29:AN30"/>
    <mergeCell ref="AO29:AO30"/>
    <mergeCell ref="AB29:AB30"/>
    <mergeCell ref="AD29:AD30"/>
    <mergeCell ref="AF29:AF30"/>
    <mergeCell ref="AG29:AG30"/>
    <mergeCell ref="AH29:AH30"/>
    <mergeCell ref="AI29:AI30"/>
    <mergeCell ref="C29:C30"/>
    <mergeCell ref="D29:D30"/>
    <mergeCell ref="E29:E30"/>
    <mergeCell ref="F29:F30"/>
    <mergeCell ref="I29:J29"/>
    <mergeCell ref="K29:L29"/>
    <mergeCell ref="AJ29:AJ30"/>
    <mergeCell ref="AK29:AK30"/>
    <mergeCell ref="W29:AA29"/>
    <mergeCell ref="G29:H29"/>
    <mergeCell ref="E24:H24"/>
    <mergeCell ref="H27:V27"/>
    <mergeCell ref="AB27:AD27"/>
    <mergeCell ref="E21:H21"/>
    <mergeCell ref="T16:V16"/>
    <mergeCell ref="X16:Y16"/>
    <mergeCell ref="AJ27:AM27"/>
    <mergeCell ref="D28:AK28"/>
    <mergeCell ref="AL28:BX28"/>
    <mergeCell ref="AI22:AJ22"/>
    <mergeCell ref="AM22:AN22"/>
    <mergeCell ref="AI23:AJ23"/>
    <mergeCell ref="AM23:AN23"/>
    <mergeCell ref="AI20:AJ20"/>
    <mergeCell ref="AM20:AN20"/>
    <mergeCell ref="T22:W22"/>
    <mergeCell ref="X22:Y22"/>
    <mergeCell ref="E22:H22"/>
    <mergeCell ref="T17:V17"/>
    <mergeCell ref="X17:Y17"/>
    <mergeCell ref="T23:W23"/>
    <mergeCell ref="X23:Y23"/>
    <mergeCell ref="T20:W20"/>
    <mergeCell ref="X20:Y20"/>
    <mergeCell ref="E20:H20"/>
    <mergeCell ref="T21:W21"/>
    <mergeCell ref="X21:Y21"/>
    <mergeCell ref="E23:H23"/>
    <mergeCell ref="T18:V18"/>
    <mergeCell ref="X18:Y18"/>
    <mergeCell ref="AI21:AJ21"/>
    <mergeCell ref="AM21:AN21"/>
    <mergeCell ref="AK6:AM6"/>
    <mergeCell ref="AI17:AJ17"/>
    <mergeCell ref="AM17:AN17"/>
    <mergeCell ref="AK7:AM7"/>
    <mergeCell ref="AI18:AJ18"/>
    <mergeCell ref="AM18:AN18"/>
    <mergeCell ref="AI14:AP14"/>
    <mergeCell ref="C2:J2"/>
    <mergeCell ref="AI4:AP4"/>
    <mergeCell ref="AI15:AL15"/>
    <mergeCell ref="AM15:AP15"/>
    <mergeCell ref="AI16:AJ16"/>
    <mergeCell ref="AM16:AN16"/>
    <mergeCell ref="AI19:AJ19"/>
    <mergeCell ref="AM19:AN19"/>
    <mergeCell ref="E16:H16"/>
    <mergeCell ref="E17:H17"/>
    <mergeCell ref="E18:H18"/>
    <mergeCell ref="E19:H19"/>
    <mergeCell ref="T14:V14"/>
    <mergeCell ref="X14:Y14"/>
    <mergeCell ref="AK10:AN10"/>
    <mergeCell ref="E14:H14"/>
    <mergeCell ref="E15:H15"/>
    <mergeCell ref="T15:V15"/>
    <mergeCell ref="X15:Y15"/>
    <mergeCell ref="U192:U196"/>
    <mergeCell ref="O197:O201"/>
    <mergeCell ref="P197:P201"/>
    <mergeCell ref="Q197:Q201"/>
    <mergeCell ref="S197:S201"/>
    <mergeCell ref="U197:U201"/>
    <mergeCell ref="O202:O206"/>
    <mergeCell ref="P202:P206"/>
    <mergeCell ref="Q202:Q206"/>
    <mergeCell ref="S202:S206"/>
    <mergeCell ref="U202:U206"/>
    <mergeCell ref="O207:O211"/>
    <mergeCell ref="P207:P211"/>
    <mergeCell ref="Q207:Q211"/>
    <mergeCell ref="S207:S211"/>
    <mergeCell ref="U207:U211"/>
    <mergeCell ref="S222:S226"/>
    <mergeCell ref="U222:U226"/>
    <mergeCell ref="O227:O231"/>
    <mergeCell ref="P227:P231"/>
    <mergeCell ref="Q227:Q231"/>
    <mergeCell ref="S227:S231"/>
    <mergeCell ref="U227:U231"/>
    <mergeCell ref="O212:O216"/>
    <mergeCell ref="P212:P216"/>
    <mergeCell ref="Q212:Q216"/>
    <mergeCell ref="S212:S216"/>
    <mergeCell ref="U212:U216"/>
    <mergeCell ref="O217:O221"/>
    <mergeCell ref="P217:P221"/>
    <mergeCell ref="Q217:Q221"/>
    <mergeCell ref="S217:S221"/>
    <mergeCell ref="U217:U221"/>
    <mergeCell ref="W154:AA154"/>
    <mergeCell ref="O242:O246"/>
    <mergeCell ref="P242:P246"/>
    <mergeCell ref="Q242:Q246"/>
    <mergeCell ref="S242:S246"/>
    <mergeCell ref="U242:U246"/>
    <mergeCell ref="O247:O251"/>
    <mergeCell ref="P247:P251"/>
    <mergeCell ref="Q247:Q251"/>
    <mergeCell ref="S247:S251"/>
    <mergeCell ref="U247:U251"/>
    <mergeCell ref="O232:O236"/>
    <mergeCell ref="P232:P236"/>
    <mergeCell ref="Q232:Q236"/>
    <mergeCell ref="S232:S236"/>
    <mergeCell ref="U232:U236"/>
    <mergeCell ref="O237:O241"/>
    <mergeCell ref="P237:P241"/>
    <mergeCell ref="Q237:Q241"/>
    <mergeCell ref="S237:S241"/>
    <mergeCell ref="U237:U241"/>
    <mergeCell ref="O222:O226"/>
    <mergeCell ref="P222:P226"/>
    <mergeCell ref="Q222:Q226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93D6-1DB1-425D-AED9-09EE4411F854}">
  <dimension ref="B2:D42"/>
  <sheetViews>
    <sheetView topLeftCell="A17" workbookViewId="0">
      <selection activeCell="C23" sqref="C23:C42"/>
    </sheetView>
  </sheetViews>
  <sheetFormatPr defaultRowHeight="15" x14ac:dyDescent="0.25"/>
  <sheetData>
    <row r="2" spans="2:4" x14ac:dyDescent="0.25">
      <c r="B2" t="s">
        <v>268</v>
      </c>
      <c r="C2" t="s">
        <v>269</v>
      </c>
      <c r="D2" t="s">
        <v>270</v>
      </c>
    </row>
    <row r="3" spans="2:4" x14ac:dyDescent="0.25">
      <c r="B3">
        <v>0.57291666666666663</v>
      </c>
      <c r="C3">
        <v>0</v>
      </c>
      <c r="D3">
        <v>0</v>
      </c>
    </row>
    <row r="4" spans="2:4" x14ac:dyDescent="0.25">
      <c r="B4">
        <v>22.167856348678953</v>
      </c>
      <c r="C4">
        <v>20</v>
      </c>
      <c r="D4">
        <v>6</v>
      </c>
    </row>
    <row r="5" spans="2:4" x14ac:dyDescent="0.25">
      <c r="B5">
        <v>48.551977236095233</v>
      </c>
      <c r="C5">
        <v>45</v>
      </c>
      <c r="D5">
        <v>8.4088806589644349</v>
      </c>
    </row>
    <row r="6" spans="2:4" x14ac:dyDescent="0.25">
      <c r="B6">
        <v>68.960500613334318</v>
      </c>
      <c r="C6">
        <v>65</v>
      </c>
      <c r="D6">
        <v>9.4188785056608086</v>
      </c>
    </row>
    <row r="7" spans="2:4" x14ac:dyDescent="0.25">
      <c r="B7">
        <v>96.456170445854525</v>
      </c>
      <c r="C7">
        <v>70</v>
      </c>
      <c r="D7">
        <v>10.314037178596811</v>
      </c>
    </row>
    <row r="8" spans="2:4" x14ac:dyDescent="0.25">
      <c r="B8">
        <v>150.28688993858967</v>
      </c>
      <c r="C8">
        <v>125</v>
      </c>
      <c r="D8">
        <v>11.588721375940461</v>
      </c>
    </row>
    <row r="9" spans="2:4" x14ac:dyDescent="0.25">
      <c r="B9">
        <v>65.69703125965647</v>
      </c>
      <c r="C9">
        <v>80</v>
      </c>
      <c r="D9">
        <v>9.1971932962624265</v>
      </c>
    </row>
    <row r="10" spans="2:4" x14ac:dyDescent="0.25">
      <c r="B10">
        <v>49.233216536806012</v>
      </c>
      <c r="C10">
        <v>80</v>
      </c>
      <c r="D10">
        <v>8.4980278600715629</v>
      </c>
    </row>
    <row r="11" spans="2:4" x14ac:dyDescent="0.25">
      <c r="B11">
        <v>78.981860711418804</v>
      </c>
      <c r="C11">
        <v>60</v>
      </c>
      <c r="D11">
        <v>9.616615729143831</v>
      </c>
    </row>
    <row r="12" spans="2:4" x14ac:dyDescent="0.25">
      <c r="B12">
        <v>77.463433781916862</v>
      </c>
      <c r="C12">
        <v>80</v>
      </c>
      <c r="D12">
        <v>10.282887860979118</v>
      </c>
    </row>
    <row r="13" spans="2:4" x14ac:dyDescent="0.25">
      <c r="B13">
        <v>60.875719254442075</v>
      </c>
      <c r="C13">
        <v>60</v>
      </c>
      <c r="D13">
        <v>9.645384390578684</v>
      </c>
    </row>
    <row r="14" spans="2:4" x14ac:dyDescent="0.25">
      <c r="B14">
        <v>38.400706886542125</v>
      </c>
      <c r="C14">
        <v>60</v>
      </c>
      <c r="D14">
        <v>8.3105050515529104</v>
      </c>
    </row>
    <row r="15" spans="2:4" x14ac:dyDescent="0.25">
      <c r="B15">
        <v>11.838759659971586</v>
      </c>
      <c r="C15">
        <v>60</v>
      </c>
      <c r="D15">
        <v>5.5962618367245858</v>
      </c>
    </row>
    <row r="16" spans="2:4" x14ac:dyDescent="0.25">
      <c r="B16">
        <v>12.83244250905086</v>
      </c>
      <c r="C16">
        <v>30</v>
      </c>
      <c r="D16">
        <v>5.4725421775750149</v>
      </c>
    </row>
    <row r="17" spans="2:4" x14ac:dyDescent="0.25">
      <c r="B17">
        <v>0.93986478015658714</v>
      </c>
      <c r="C17">
        <v>20</v>
      </c>
      <c r="D17">
        <v>2.6067501590021207</v>
      </c>
    </row>
    <row r="18" spans="2:4" x14ac:dyDescent="0.25">
      <c r="B18">
        <v>0.69906900120506754</v>
      </c>
      <c r="C18">
        <v>20</v>
      </c>
      <c r="D18">
        <v>2.0014051647332685</v>
      </c>
    </row>
    <row r="19" spans="2:4" x14ac:dyDescent="0.25">
      <c r="B19">
        <v>0.63759096734489673</v>
      </c>
      <c r="C19">
        <v>10</v>
      </c>
      <c r="D19">
        <v>2.0814405988730269</v>
      </c>
    </row>
    <row r="20" spans="2:4" x14ac:dyDescent="0.25">
      <c r="B20" t="e">
        <v>#DIV/0!</v>
      </c>
      <c r="C20">
        <v>0</v>
      </c>
      <c r="D20" t="e">
        <v>#DIV/0!</v>
      </c>
    </row>
    <row r="22" spans="2:4" x14ac:dyDescent="0.25">
      <c r="B22" t="s">
        <v>268</v>
      </c>
      <c r="C22" t="s">
        <v>269</v>
      </c>
      <c r="D22" t="s">
        <v>270</v>
      </c>
    </row>
    <row r="23" spans="2:4" x14ac:dyDescent="0.25">
      <c r="B23">
        <v>4.2093091035837592E-3</v>
      </c>
      <c r="C23">
        <v>0</v>
      </c>
      <c r="D23">
        <v>3.2717748847678636</v>
      </c>
    </row>
    <row r="24" spans="2:4" x14ac:dyDescent="0.25">
      <c r="B24">
        <v>20.32167018778792</v>
      </c>
      <c r="C24">
        <v>30</v>
      </c>
      <c r="D24">
        <v>6.7927523414142899</v>
      </c>
    </row>
    <row r="25" spans="2:4" x14ac:dyDescent="0.25">
      <c r="B25">
        <v>21.490914646934616</v>
      </c>
      <c r="C25">
        <v>30</v>
      </c>
      <c r="D25">
        <v>6.6748623186444176</v>
      </c>
    </row>
    <row r="26" spans="2:4" x14ac:dyDescent="0.25">
      <c r="B26">
        <v>16.848077534571907</v>
      </c>
      <c r="C26">
        <v>20</v>
      </c>
      <c r="D26">
        <v>6.1660647809123166</v>
      </c>
    </row>
    <row r="27" spans="2:4" x14ac:dyDescent="0.25">
      <c r="B27">
        <v>20.888595639570873</v>
      </c>
      <c r="C27">
        <v>20</v>
      </c>
      <c r="D27">
        <v>6.711203583258043</v>
      </c>
    </row>
    <row r="28" spans="2:4" x14ac:dyDescent="0.25">
      <c r="B28">
        <v>35.393626938293067</v>
      </c>
      <c r="C28">
        <v>40</v>
      </c>
      <c r="D28">
        <v>7.7948533057112339</v>
      </c>
    </row>
    <row r="29" spans="2:4" x14ac:dyDescent="0.25">
      <c r="B29">
        <v>110.24366276204908</v>
      </c>
      <c r="C29">
        <v>100</v>
      </c>
      <c r="D29">
        <v>10.592610450417272</v>
      </c>
    </row>
    <row r="30" spans="2:4" x14ac:dyDescent="0.25">
      <c r="B30">
        <v>45.283164746356256</v>
      </c>
      <c r="C30">
        <v>55</v>
      </c>
      <c r="D30">
        <v>8.5940701450335073</v>
      </c>
    </row>
    <row r="31" spans="2:4" x14ac:dyDescent="0.25">
      <c r="B31">
        <v>46.01325147303907</v>
      </c>
      <c r="C31">
        <v>50</v>
      </c>
      <c r="D31">
        <v>8.978284328990199</v>
      </c>
    </row>
    <row r="32" spans="2:4" x14ac:dyDescent="0.25">
      <c r="B32">
        <v>46.075485137505311</v>
      </c>
      <c r="C32">
        <v>50</v>
      </c>
      <c r="D32">
        <v>8.9004087832773529</v>
      </c>
    </row>
    <row r="33" spans="2:4" x14ac:dyDescent="0.25">
      <c r="B33">
        <v>70.295098214036273</v>
      </c>
      <c r="C33">
        <v>50</v>
      </c>
      <c r="D33">
        <v>10.03625441087784</v>
      </c>
    </row>
    <row r="34" spans="2:4" x14ac:dyDescent="0.25">
      <c r="B34">
        <v>45.962562964151637</v>
      </c>
      <c r="C34">
        <v>50</v>
      </c>
      <c r="D34">
        <v>8.8127654464543941</v>
      </c>
    </row>
    <row r="35" spans="2:4" x14ac:dyDescent="0.25">
      <c r="B35">
        <v>16.797591221226337</v>
      </c>
      <c r="C35">
        <v>20</v>
      </c>
      <c r="D35">
        <v>5.2677610491057232</v>
      </c>
    </row>
    <row r="36" spans="2:4" x14ac:dyDescent="0.25">
      <c r="B36">
        <v>89.111544427565775</v>
      </c>
      <c r="C36">
        <v>100</v>
      </c>
      <c r="D36">
        <v>8.1127250010714711</v>
      </c>
    </row>
    <row r="37" spans="2:4" x14ac:dyDescent="0.25">
      <c r="B37">
        <v>46.995676064348856</v>
      </c>
      <c r="C37">
        <v>50</v>
      </c>
      <c r="D37">
        <v>8.7354676867907095</v>
      </c>
    </row>
    <row r="38" spans="2:4" x14ac:dyDescent="0.25">
      <c r="B38">
        <v>19.553927860514108</v>
      </c>
      <c r="C38">
        <v>25</v>
      </c>
      <c r="D38">
        <v>6.4266625987796901</v>
      </c>
    </row>
    <row r="39" spans="2:4" x14ac:dyDescent="0.25">
      <c r="B39">
        <v>32.285431030814941</v>
      </c>
      <c r="C39">
        <v>30</v>
      </c>
      <c r="D39">
        <v>7.7004795822576053</v>
      </c>
    </row>
    <row r="40" spans="2:4" x14ac:dyDescent="0.25">
      <c r="B40">
        <v>27.355822739950916</v>
      </c>
      <c r="C40">
        <v>30</v>
      </c>
      <c r="D40">
        <v>6.9115237039229642</v>
      </c>
    </row>
    <row r="41" spans="2:4" x14ac:dyDescent="0.25">
      <c r="B41">
        <v>10.656255015520848</v>
      </c>
      <c r="C41">
        <v>20</v>
      </c>
      <c r="D41">
        <v>5.2034846166648592</v>
      </c>
    </row>
    <row r="42" spans="2:4" x14ac:dyDescent="0.25">
      <c r="B42">
        <v>1.4479640054460419</v>
      </c>
      <c r="C42">
        <v>0</v>
      </c>
      <c r="D42">
        <v>4.6471097882763557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851B-B1DA-48AE-8BE2-F3A7C6C0180A}">
  <dimension ref="A1:K18"/>
  <sheetViews>
    <sheetView workbookViewId="0">
      <selection activeCell="D1" sqref="D1:K8"/>
    </sheetView>
  </sheetViews>
  <sheetFormatPr defaultRowHeight="15" x14ac:dyDescent="0.25"/>
  <cols>
    <col min="1" max="1" width="14.42578125" customWidth="1"/>
  </cols>
  <sheetData>
    <row r="1" spans="1:11" x14ac:dyDescent="0.25">
      <c r="A1" t="s">
        <v>271</v>
      </c>
      <c r="D1" t="s">
        <v>295</v>
      </c>
    </row>
    <row r="2" spans="1:11" ht="15.75" thickBot="1" x14ac:dyDescent="0.3">
      <c r="D2" t="s">
        <v>296</v>
      </c>
    </row>
    <row r="3" spans="1:11" x14ac:dyDescent="0.25">
      <c r="A3" s="192" t="s">
        <v>272</v>
      </c>
      <c r="B3" s="192"/>
      <c r="J3" s="275" t="s">
        <v>297</v>
      </c>
      <c r="K3" s="275"/>
    </row>
    <row r="4" spans="1:11" x14ac:dyDescent="0.25">
      <c r="A4" t="s">
        <v>273</v>
      </c>
      <c r="B4">
        <v>0.88313610002642207</v>
      </c>
      <c r="D4" s="415" t="s">
        <v>313</v>
      </c>
      <c r="E4" s="415"/>
      <c r="F4" s="415"/>
      <c r="G4" s="415"/>
      <c r="H4" s="415"/>
      <c r="J4" s="16" t="s">
        <v>298</v>
      </c>
      <c r="K4" s="16" t="s">
        <v>299</v>
      </c>
    </row>
    <row r="5" spans="1:11" x14ac:dyDescent="0.25">
      <c r="A5" t="s">
        <v>274</v>
      </c>
      <c r="B5">
        <v>0.77992937116987859</v>
      </c>
      <c r="D5" s="415"/>
      <c r="E5" s="415"/>
      <c r="F5" s="415"/>
      <c r="G5" s="415"/>
      <c r="H5" s="415"/>
      <c r="J5" s="16" t="s">
        <v>300</v>
      </c>
      <c r="K5" s="16" t="s">
        <v>301</v>
      </c>
    </row>
    <row r="6" spans="1:11" x14ac:dyDescent="0.25">
      <c r="A6" t="s">
        <v>275</v>
      </c>
      <c r="B6">
        <v>0.76525799591453714</v>
      </c>
      <c r="D6" s="416" t="s">
        <v>314</v>
      </c>
      <c r="E6" s="416"/>
      <c r="F6" s="416"/>
      <c r="G6" s="416"/>
      <c r="H6" s="416"/>
      <c r="J6" s="16" t="s">
        <v>302</v>
      </c>
      <c r="K6" s="16" t="s">
        <v>303</v>
      </c>
    </row>
    <row r="7" spans="1:11" x14ac:dyDescent="0.25">
      <c r="A7" t="s">
        <v>276</v>
      </c>
      <c r="B7">
        <v>20.177152482029232</v>
      </c>
      <c r="D7" s="416"/>
      <c r="E7" s="416"/>
      <c r="F7" s="416"/>
      <c r="G7" s="416"/>
      <c r="H7" s="416"/>
      <c r="J7" s="16" t="s">
        <v>304</v>
      </c>
      <c r="K7" s="16" t="s">
        <v>305</v>
      </c>
    </row>
    <row r="8" spans="1:11" ht="15.75" thickBot="1" x14ac:dyDescent="0.3">
      <c r="A8" s="190" t="s">
        <v>277</v>
      </c>
      <c r="B8" s="190">
        <v>17</v>
      </c>
      <c r="J8" s="16" t="s">
        <v>306</v>
      </c>
      <c r="K8" s="16" t="s">
        <v>307</v>
      </c>
    </row>
    <row r="10" spans="1:11" ht="15.75" thickBot="1" x14ac:dyDescent="0.3">
      <c r="A10" t="s">
        <v>278</v>
      </c>
    </row>
    <row r="11" spans="1:11" x14ac:dyDescent="0.25">
      <c r="A11" s="191"/>
      <c r="B11" s="191" t="s">
        <v>282</v>
      </c>
      <c r="C11" s="191" t="s">
        <v>283</v>
      </c>
      <c r="D11" s="191" t="s">
        <v>284</v>
      </c>
      <c r="E11" s="191" t="s">
        <v>285</v>
      </c>
      <c r="F11" s="191" t="s">
        <v>286</v>
      </c>
    </row>
    <row r="12" spans="1:11" x14ac:dyDescent="0.25">
      <c r="A12" t="s">
        <v>279</v>
      </c>
      <c r="B12">
        <v>1</v>
      </c>
      <c r="C12">
        <v>21642.339346046574</v>
      </c>
      <c r="D12">
        <v>21642.339346046574</v>
      </c>
      <c r="E12">
        <v>53.159936106598359</v>
      </c>
      <c r="F12">
        <v>2.6478099606005921E-6</v>
      </c>
    </row>
    <row r="13" spans="1:11" x14ac:dyDescent="0.25">
      <c r="A13" t="s">
        <v>280</v>
      </c>
      <c r="B13">
        <v>15</v>
      </c>
      <c r="C13">
        <v>6106.7622342458762</v>
      </c>
      <c r="D13">
        <v>407.11748228305839</v>
      </c>
    </row>
    <row r="14" spans="1:11" ht="15.75" thickBot="1" x14ac:dyDescent="0.3">
      <c r="A14" s="190" t="s">
        <v>213</v>
      </c>
      <c r="B14" s="190">
        <v>16</v>
      </c>
      <c r="C14" s="190">
        <v>27749.101580292452</v>
      </c>
      <c r="D14" s="190"/>
      <c r="E14" s="190"/>
      <c r="F14" s="190"/>
    </row>
    <row r="15" spans="1:11" ht="15.75" thickBot="1" x14ac:dyDescent="0.3"/>
    <row r="16" spans="1:11" x14ac:dyDescent="0.25">
      <c r="A16" s="191"/>
      <c r="B16" s="191" t="s">
        <v>287</v>
      </c>
      <c r="C16" s="191" t="s">
        <v>276</v>
      </c>
      <c r="D16" s="191" t="s">
        <v>288</v>
      </c>
      <c r="E16" s="191" t="s">
        <v>289</v>
      </c>
      <c r="F16" s="191" t="s">
        <v>290</v>
      </c>
      <c r="G16" s="191" t="s">
        <v>291</v>
      </c>
      <c r="H16" s="191" t="s">
        <v>292</v>
      </c>
      <c r="I16" s="191" t="s">
        <v>293</v>
      </c>
    </row>
    <row r="17" spans="1:9" x14ac:dyDescent="0.25">
      <c r="A17" t="s">
        <v>281</v>
      </c>
      <c r="B17">
        <v>-27.415511153743815</v>
      </c>
      <c r="C17">
        <v>11.214249638034389</v>
      </c>
      <c r="D17">
        <v>-2.4447031267041734</v>
      </c>
      <c r="E17">
        <v>2.7324143378456071E-2</v>
      </c>
      <c r="F17">
        <v>-51.318118448526079</v>
      </c>
      <c r="G17">
        <v>-3.512903858961554</v>
      </c>
      <c r="H17">
        <v>-51.318118448526079</v>
      </c>
      <c r="I17">
        <v>-3.512903858961554</v>
      </c>
    </row>
    <row r="18" spans="1:9" ht="15.75" thickBot="1" x14ac:dyDescent="0.3">
      <c r="A18" s="190" t="s">
        <v>270</v>
      </c>
      <c r="B18" s="190">
        <v>10.506255164405614</v>
      </c>
      <c r="C18" s="190">
        <v>1.440972587749449</v>
      </c>
      <c r="D18" s="190">
        <v>7.291086071813881</v>
      </c>
      <c r="E18" s="190">
        <v>2.6478099606005921E-6</v>
      </c>
      <c r="F18" s="190">
        <v>7.4348947970829595</v>
      </c>
      <c r="G18" s="190">
        <v>13.577615531728268</v>
      </c>
      <c r="H18" s="190">
        <v>7.4348947970829595</v>
      </c>
      <c r="I18" s="190">
        <v>13.577615531728268</v>
      </c>
    </row>
  </sheetData>
  <mergeCells count="3">
    <mergeCell ref="J3:K3"/>
    <mergeCell ref="D4:H5"/>
    <mergeCell ref="D6:H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2E4A-2603-470B-B497-A8304598D52B}">
  <dimension ref="A1:K18"/>
  <sheetViews>
    <sheetView workbookViewId="0">
      <selection activeCell="N12" sqref="N12"/>
    </sheetView>
  </sheetViews>
  <sheetFormatPr defaultRowHeight="15" x14ac:dyDescent="0.25"/>
  <sheetData>
    <row r="1" spans="1:11" x14ac:dyDescent="0.25">
      <c r="A1" t="s">
        <v>271</v>
      </c>
      <c r="D1" t="s">
        <v>295</v>
      </c>
    </row>
    <row r="2" spans="1:11" ht="15.75" thickBot="1" x14ac:dyDescent="0.3">
      <c r="D2" t="s">
        <v>296</v>
      </c>
    </row>
    <row r="3" spans="1:11" x14ac:dyDescent="0.25">
      <c r="A3" s="192" t="s">
        <v>272</v>
      </c>
      <c r="B3" s="192"/>
      <c r="J3" s="275" t="s">
        <v>297</v>
      </c>
      <c r="K3" s="275"/>
    </row>
    <row r="4" spans="1:11" x14ac:dyDescent="0.25">
      <c r="A4" t="s">
        <v>273</v>
      </c>
      <c r="B4">
        <v>0.85739783143919746</v>
      </c>
      <c r="D4" s="415" t="s">
        <v>315</v>
      </c>
      <c r="E4" s="415"/>
      <c r="F4" s="415"/>
      <c r="G4" s="415"/>
      <c r="H4" s="415"/>
      <c r="J4" s="16" t="s">
        <v>298</v>
      </c>
      <c r="K4" s="16" t="s">
        <v>299</v>
      </c>
    </row>
    <row r="5" spans="1:11" x14ac:dyDescent="0.25">
      <c r="A5" t="s">
        <v>274</v>
      </c>
      <c r="B5">
        <v>0.73513104135663843</v>
      </c>
      <c r="D5" s="415"/>
      <c r="E5" s="415"/>
      <c r="F5" s="415"/>
      <c r="G5" s="415"/>
      <c r="H5" s="415"/>
      <c r="J5" s="16" t="s">
        <v>300</v>
      </c>
      <c r="K5" s="16" t="s">
        <v>301</v>
      </c>
    </row>
    <row r="6" spans="1:11" x14ac:dyDescent="0.25">
      <c r="A6" t="s">
        <v>275</v>
      </c>
      <c r="B6">
        <v>0.720416099209785</v>
      </c>
      <c r="D6" s="416" t="s">
        <v>316</v>
      </c>
      <c r="E6" s="416"/>
      <c r="F6" s="416"/>
      <c r="G6" s="416"/>
      <c r="H6" s="416"/>
      <c r="J6" s="16" t="s">
        <v>302</v>
      </c>
      <c r="K6" s="16" t="s">
        <v>303</v>
      </c>
    </row>
    <row r="7" spans="1:11" x14ac:dyDescent="0.25">
      <c r="A7" t="s">
        <v>276</v>
      </c>
      <c r="B7">
        <v>14.82117877877187</v>
      </c>
      <c r="D7" s="416"/>
      <c r="E7" s="416"/>
      <c r="F7" s="416"/>
      <c r="G7" s="416"/>
      <c r="H7" s="416"/>
      <c r="J7" s="16" t="s">
        <v>304</v>
      </c>
      <c r="K7" s="16" t="s">
        <v>305</v>
      </c>
    </row>
    <row r="8" spans="1:11" ht="15.75" thickBot="1" x14ac:dyDescent="0.3">
      <c r="A8" s="190" t="s">
        <v>277</v>
      </c>
      <c r="B8" s="190">
        <v>20</v>
      </c>
      <c r="J8" s="16" t="s">
        <v>306</v>
      </c>
      <c r="K8" s="16" t="s">
        <v>307</v>
      </c>
    </row>
    <row r="10" spans="1:11" ht="15.75" thickBot="1" x14ac:dyDescent="0.3">
      <c r="A10" t="s">
        <v>278</v>
      </c>
    </row>
    <row r="11" spans="1:11" x14ac:dyDescent="0.25">
      <c r="A11" s="191"/>
      <c r="B11" s="191" t="s">
        <v>282</v>
      </c>
      <c r="C11" s="191" t="s">
        <v>283</v>
      </c>
      <c r="D11" s="191" t="s">
        <v>284</v>
      </c>
      <c r="E11" s="191" t="s">
        <v>285</v>
      </c>
      <c r="F11" s="191" t="s">
        <v>286</v>
      </c>
    </row>
    <row r="12" spans="1:11" x14ac:dyDescent="0.25">
      <c r="A12" t="s">
        <v>279</v>
      </c>
      <c r="B12">
        <v>1</v>
      </c>
      <c r="C12">
        <v>10974.170274205168</v>
      </c>
      <c r="D12">
        <v>10974.170274205168</v>
      </c>
      <c r="E12">
        <v>49.958133305596135</v>
      </c>
      <c r="F12">
        <v>1.3640852742597477E-6</v>
      </c>
    </row>
    <row r="13" spans="1:11" x14ac:dyDescent="0.25">
      <c r="A13" t="s">
        <v>280</v>
      </c>
      <c r="B13">
        <v>18</v>
      </c>
      <c r="C13">
        <v>3954.0121270617174</v>
      </c>
      <c r="D13">
        <v>219.66734039231764</v>
      </c>
    </row>
    <row r="14" spans="1:11" ht="15.75" thickBot="1" x14ac:dyDescent="0.3">
      <c r="A14" s="190" t="s">
        <v>213</v>
      </c>
      <c r="B14" s="190">
        <v>19</v>
      </c>
      <c r="C14" s="190">
        <v>14928.182401266884</v>
      </c>
      <c r="D14" s="190"/>
      <c r="E14" s="190"/>
      <c r="F14" s="190"/>
    </row>
    <row r="15" spans="1:11" ht="15.75" thickBot="1" x14ac:dyDescent="0.3"/>
    <row r="16" spans="1:11" x14ac:dyDescent="0.25">
      <c r="A16" s="191"/>
      <c r="B16" s="191" t="s">
        <v>287</v>
      </c>
      <c r="C16" s="191" t="s">
        <v>276</v>
      </c>
      <c r="D16" s="191" t="s">
        <v>288</v>
      </c>
      <c r="E16" s="191" t="s">
        <v>289</v>
      </c>
      <c r="F16" s="191" t="s">
        <v>290</v>
      </c>
      <c r="G16" s="191" t="s">
        <v>291</v>
      </c>
      <c r="H16" s="191" t="s">
        <v>292</v>
      </c>
      <c r="I16" s="191" t="s">
        <v>293</v>
      </c>
    </row>
    <row r="17" spans="1:9" x14ac:dyDescent="0.25">
      <c r="A17" t="s">
        <v>281</v>
      </c>
      <c r="B17">
        <v>-58.355884311603141</v>
      </c>
      <c r="C17">
        <v>13.775519849973822</v>
      </c>
      <c r="D17">
        <v>-4.2362019689379657</v>
      </c>
      <c r="E17">
        <v>4.9664281416380229E-4</v>
      </c>
      <c r="F17">
        <v>-87.297177580191061</v>
      </c>
      <c r="G17">
        <v>-29.414591043015225</v>
      </c>
      <c r="H17">
        <v>-87.297177580191061</v>
      </c>
      <c r="I17">
        <v>-29.414591043015225</v>
      </c>
    </row>
    <row r="18" spans="1:9" ht="15.75" thickBot="1" x14ac:dyDescent="0.3">
      <c r="A18" s="190" t="s">
        <v>270</v>
      </c>
      <c r="B18" s="190">
        <v>12.916884894788593</v>
      </c>
      <c r="C18" s="190">
        <v>1.827488649500403</v>
      </c>
      <c r="D18" s="190">
        <v>7.0681067695385131</v>
      </c>
      <c r="E18" s="190">
        <v>1.364085274259743E-6</v>
      </c>
      <c r="F18" s="190">
        <v>9.0774737127628669</v>
      </c>
      <c r="G18" s="190">
        <v>16.756296076814319</v>
      </c>
      <c r="H18" s="190">
        <v>9.0774737127628669</v>
      </c>
      <c r="I18" s="190">
        <v>16.756296076814319</v>
      </c>
    </row>
  </sheetData>
  <mergeCells count="3">
    <mergeCell ref="J3:K3"/>
    <mergeCell ref="D4:H5"/>
    <mergeCell ref="D6:H7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FE49-0BE8-4EDB-821C-7584BAA57A90}">
  <dimension ref="E2:U117"/>
  <sheetViews>
    <sheetView workbookViewId="0">
      <selection activeCell="W49" sqref="W49"/>
    </sheetView>
  </sheetViews>
  <sheetFormatPr defaultRowHeight="15" x14ac:dyDescent="0.25"/>
  <cols>
    <col min="20" max="20" width="9.42578125" bestFit="1" customWidth="1"/>
  </cols>
  <sheetData>
    <row r="2" spans="5:21" x14ac:dyDescent="0.25">
      <c r="E2" t="e">
        <v>#NUM!</v>
      </c>
      <c r="F2" t="e">
        <v>#NUM!</v>
      </c>
      <c r="G2" t="e">
        <v>#DIV/0!</v>
      </c>
      <c r="H2" t="e">
        <v>#DIV/0!</v>
      </c>
      <c r="J2" t="e">
        <v>#DIV/0!</v>
      </c>
      <c r="L2">
        <v>0</v>
      </c>
      <c r="N2" t="e">
        <v>#DIV/0!</v>
      </c>
      <c r="O2" t="e">
        <v>#DIV/0!</v>
      </c>
      <c r="P2" t="e">
        <v>#DIV/0!</v>
      </c>
      <c r="T2">
        <v>0</v>
      </c>
    </row>
    <row r="3" spans="5:21" x14ac:dyDescent="0.25">
      <c r="E3" t="e">
        <v>#DIV/0!</v>
      </c>
      <c r="F3" t="e">
        <v>#DIV/0!</v>
      </c>
      <c r="G3" t="e">
        <v>#DIV/0!</v>
      </c>
      <c r="H3" t="e">
        <v>#DIV/0!</v>
      </c>
      <c r="J3" t="e">
        <v>#DIV/0!</v>
      </c>
      <c r="K3" t="e">
        <v>#DIV/0!</v>
      </c>
      <c r="L3" t="e">
        <v>#DIV/0!</v>
      </c>
      <c r="N3" t="e">
        <v>#DIV/0!</v>
      </c>
      <c r="O3" t="e">
        <v>#DIV/0!</v>
      </c>
      <c r="P3" t="e">
        <v>#DIV/0!</v>
      </c>
      <c r="T3" t="e">
        <v>#DIV/0!</v>
      </c>
    </row>
    <row r="4" spans="5:21" x14ac:dyDescent="0.25">
      <c r="E4">
        <v>0.79220007056426633</v>
      </c>
      <c r="F4">
        <v>0.91103008114890627</v>
      </c>
      <c r="G4">
        <v>0.19143982395805254</v>
      </c>
      <c r="H4">
        <v>0.2201557975517604</v>
      </c>
      <c r="J4">
        <v>-1.7581323971441906E-154</v>
      </c>
      <c r="K4">
        <v>8.0211362716948266E-36</v>
      </c>
      <c r="L4">
        <v>72.684484586115389</v>
      </c>
      <c r="N4">
        <v>0</v>
      </c>
      <c r="O4">
        <v>6.1691132151629219E-71</v>
      </c>
      <c r="P4">
        <v>16.885988782897805</v>
      </c>
      <c r="T4" s="89">
        <v>0.43969690268217365</v>
      </c>
      <c r="U4" s="89">
        <v>0.50571011225569207</v>
      </c>
    </row>
    <row r="5" spans="5:21" x14ac:dyDescent="0.25">
      <c r="E5">
        <v>0.8963062358929742</v>
      </c>
      <c r="F5">
        <v>1.0307521712769203</v>
      </c>
      <c r="G5">
        <v>0.18719477412352103</v>
      </c>
      <c r="H5">
        <v>0.21527399024204918</v>
      </c>
      <c r="J5">
        <v>-2.4985152620548907E-135</v>
      </c>
      <c r="K5">
        <v>2.6945189440529431E-33</v>
      </c>
      <c r="L5">
        <v>83.035646871159813</v>
      </c>
      <c r="N5">
        <v>0</v>
      </c>
      <c r="O5">
        <v>8.4627921108504487E-72</v>
      </c>
      <c r="P5">
        <v>16.480445543549667</v>
      </c>
      <c r="T5" s="89">
        <v>0.38548298886956039</v>
      </c>
      <c r="U5" s="89">
        <v>1.7843141978862014</v>
      </c>
    </row>
    <row r="6" spans="5:21" x14ac:dyDescent="0.25">
      <c r="E6">
        <v>0.61427309465425406</v>
      </c>
      <c r="F6">
        <v>0.70641405885239217</v>
      </c>
      <c r="G6">
        <v>1.1292279653445141</v>
      </c>
      <c r="H6">
        <v>1.2986121601461913</v>
      </c>
      <c r="J6">
        <v>-5.1463207505854604E-203</v>
      </c>
      <c r="K6">
        <v>1.5576006511704271E-41</v>
      </c>
      <c r="L6">
        <v>55.235916837523007</v>
      </c>
      <c r="N6">
        <v>-2.1460106227882089E-96</v>
      </c>
      <c r="O6">
        <v>1.2993667875968725E-25</v>
      </c>
      <c r="P6">
        <v>114.77883741103435</v>
      </c>
      <c r="T6" s="89">
        <v>0.38330398317358999</v>
      </c>
      <c r="U6" s="89">
        <v>7.4968056533860414</v>
      </c>
    </row>
    <row r="7" spans="5:21" x14ac:dyDescent="0.25">
      <c r="E7">
        <v>0.82326544324350748</v>
      </c>
      <c r="F7">
        <v>0.9467552597300336</v>
      </c>
      <c r="G7">
        <v>81.089274414768667</v>
      </c>
      <c r="H7">
        <v>93.252665576983972</v>
      </c>
      <c r="J7">
        <v>-3.0795050897215943E-148</v>
      </c>
      <c r="K7">
        <v>5.1012668195472365E-35</v>
      </c>
      <c r="L7">
        <v>75.763259711970989</v>
      </c>
      <c r="N7">
        <v>-6.3056946414287815E-2</v>
      </c>
      <c r="O7">
        <v>6683.7762061357998</v>
      </c>
      <c r="P7">
        <v>10065.37217705315</v>
      </c>
      <c r="T7" s="89">
        <v>0.36814757197370801</v>
      </c>
      <c r="U7" s="89">
        <v>6.5432081723030917</v>
      </c>
    </row>
    <row r="8" spans="5:21" x14ac:dyDescent="0.25">
      <c r="E8">
        <v>0.6236614286796397</v>
      </c>
      <c r="F8">
        <v>0.71721064298158566</v>
      </c>
      <c r="G8">
        <v>62.792021478578526</v>
      </c>
      <c r="H8">
        <v>72.210824700365308</v>
      </c>
      <c r="J8">
        <v>-9.8973661190889838E-200</v>
      </c>
      <c r="K8">
        <v>3.5756717388481244E-41</v>
      </c>
      <c r="L8">
        <v>56.14796153538903</v>
      </c>
      <c r="N8">
        <v>-3.4174472043805762E-2</v>
      </c>
      <c r="O8">
        <v>2223.4706934664368</v>
      </c>
      <c r="P8">
        <v>8090.2412505084048</v>
      </c>
      <c r="T8" s="89">
        <v>0.38645554728200954</v>
      </c>
      <c r="U8" s="89">
        <v>5.0632395193628392</v>
      </c>
    </row>
    <row r="9" spans="5:21" x14ac:dyDescent="0.25">
      <c r="E9">
        <v>0.75190297992156907</v>
      </c>
      <c r="F9">
        <v>0.86468842690980441</v>
      </c>
      <c r="G9">
        <v>103.84283839433483</v>
      </c>
      <c r="H9">
        <v>119.41926415348506</v>
      </c>
      <c r="J9">
        <v>-2.2091906194631477E-163</v>
      </c>
      <c r="K9">
        <v>6.1556607382870516E-37</v>
      </c>
      <c r="L9">
        <v>68.704241430400387</v>
      </c>
      <c r="N9">
        <v>-9.5781969399987357E-2</v>
      </c>
      <c r="O9">
        <v>15494.588047312966</v>
      </c>
      <c r="P9">
        <v>12077.620536209022</v>
      </c>
      <c r="T9" s="89">
        <v>0.4274883888757135</v>
      </c>
      <c r="U9" s="89">
        <v>6.256422333005129</v>
      </c>
    </row>
    <row r="10" spans="5:21" x14ac:dyDescent="0.25">
      <c r="E10">
        <v>0.72315591946705227</v>
      </c>
      <c r="F10">
        <v>0.83162930738711016</v>
      </c>
      <c r="G10">
        <v>51.543327163881116</v>
      </c>
      <c r="H10">
        <v>59.274826238463284</v>
      </c>
      <c r="J10">
        <v>-2.3018260104613433E-170</v>
      </c>
      <c r="K10">
        <v>8.6687970089114019E-38</v>
      </c>
      <c r="L10">
        <v>65.874510196340481</v>
      </c>
      <c r="N10">
        <v>-1.7905502720332481E-2</v>
      </c>
      <c r="O10">
        <v>808.47304742701203</v>
      </c>
      <c r="P10">
        <v>6702.4258579437974</v>
      </c>
      <c r="T10" s="89">
        <v>0.4185923126219665</v>
      </c>
      <c r="U10" s="89">
        <v>5.356933884297395</v>
      </c>
    </row>
    <row r="11" spans="5:21" x14ac:dyDescent="0.25">
      <c r="E11">
        <v>2.6814087721509843</v>
      </c>
      <c r="F11">
        <v>3.0836200879736317</v>
      </c>
      <c r="G11">
        <v>126.88568056962762</v>
      </c>
      <c r="H11">
        <v>145.91853265507177</v>
      </c>
      <c r="J11">
        <v>-3.2653147889885894E-42</v>
      </c>
      <c r="K11">
        <v>1.8809222555243114E-16</v>
      </c>
      <c r="L11">
        <v>269.92915221517393</v>
      </c>
      <c r="N11">
        <v>-0.12386702625461135</v>
      </c>
      <c r="O11">
        <v>26903.408346380078</v>
      </c>
      <c r="P11">
        <v>13771.039117642213</v>
      </c>
      <c r="T11" s="89">
        <v>0.69742620917306586</v>
      </c>
      <c r="U11" s="89">
        <v>5.4361410791279861</v>
      </c>
    </row>
    <row r="12" spans="5:21" x14ac:dyDescent="0.25">
      <c r="E12">
        <v>65.902265721790656</v>
      </c>
      <c r="F12">
        <v>75.78760558005925</v>
      </c>
      <c r="G12">
        <v>69.787727644890765</v>
      </c>
      <c r="H12">
        <v>80.255886791624377</v>
      </c>
      <c r="J12">
        <v>-3.1652318384599809E-2</v>
      </c>
      <c r="K12">
        <v>1353.6998082499447</v>
      </c>
      <c r="L12">
        <v>8065.8990121430343</v>
      </c>
      <c r="N12">
        <v>-4.5227237414002093E-2</v>
      </c>
      <c r="O12">
        <v>3609.4022966080815</v>
      </c>
      <c r="P12">
        <v>8888.1017107245461</v>
      </c>
      <c r="T12" s="89">
        <v>4.0132616651703978</v>
      </c>
      <c r="U12" s="89">
        <v>5.655702235694176</v>
      </c>
    </row>
    <row r="13" spans="5:21" x14ac:dyDescent="0.25">
      <c r="E13">
        <v>45.123316857268193</v>
      </c>
      <c r="F13">
        <v>51.891814385858424</v>
      </c>
      <c r="G13">
        <v>91.024019074884507</v>
      </c>
      <c r="H13">
        <v>104.67762193611718</v>
      </c>
      <c r="J13">
        <v>-7.1185293959339828E-3</v>
      </c>
      <c r="K13">
        <v>137.64209956896477</v>
      </c>
      <c r="L13">
        <v>5494.2938648535965</v>
      </c>
      <c r="N13">
        <v>-7.7975099923114216E-2</v>
      </c>
      <c r="O13">
        <v>10152.864549019396</v>
      </c>
      <c r="P13">
        <v>10995.999846849059</v>
      </c>
      <c r="T13" s="89">
        <v>3.8228608555903461</v>
      </c>
      <c r="U13" s="89">
        <v>6.7226687279717385</v>
      </c>
    </row>
    <row r="14" spans="5:21" x14ac:dyDescent="0.25">
      <c r="E14">
        <v>74.927959911002645</v>
      </c>
      <c r="F14">
        <v>86.167153897653037</v>
      </c>
      <c r="G14">
        <v>157.75105277007054</v>
      </c>
      <c r="H14">
        <v>181.41371068558112</v>
      </c>
      <c r="J14">
        <v>-4.5480681429613028E-2</v>
      </c>
      <c r="K14">
        <v>2614.5271623123649</v>
      </c>
      <c r="L14">
        <v>9100.6704766279036</v>
      </c>
      <c r="N14">
        <v>-0.15526860771104506</v>
      </c>
      <c r="O14">
        <v>44569.285925202807</v>
      </c>
      <c r="P14">
        <v>15706.126850479734</v>
      </c>
      <c r="T14" s="89">
        <v>4.285973181030303</v>
      </c>
      <c r="U14" s="89">
        <v>5.4262558802528984</v>
      </c>
    </row>
    <row r="15" spans="5:21" x14ac:dyDescent="0.25">
      <c r="E15">
        <v>47.740233358847362</v>
      </c>
      <c r="F15">
        <v>54.901268362674465</v>
      </c>
      <c r="G15">
        <v>130.17811456691305</v>
      </c>
      <c r="H15">
        <v>149.70483175195</v>
      </c>
      <c r="J15">
        <v>-9.2980602429882184E-3</v>
      </c>
      <c r="K15">
        <v>199.48095252809856</v>
      </c>
      <c r="L15">
        <v>5826.850737742182</v>
      </c>
      <c r="N15">
        <v>-0.12751919627143415</v>
      </c>
      <c r="O15">
        <v>28678.617425377386</v>
      </c>
      <c r="P15">
        <v>13992.754818389003</v>
      </c>
      <c r="T15" s="89">
        <v>2.8916714564509678</v>
      </c>
      <c r="U15" s="89">
        <v>5.1318148974663584</v>
      </c>
    </row>
    <row r="16" spans="5:21" x14ac:dyDescent="0.25">
      <c r="E16">
        <v>51.592213162256421</v>
      </c>
      <c r="F16">
        <v>59.331045136594881</v>
      </c>
      <c r="G16">
        <v>174.43730774129261</v>
      </c>
      <c r="H16">
        <v>200.6029039024865</v>
      </c>
      <c r="J16">
        <v>-1.3066169374742392E-2</v>
      </c>
      <c r="K16">
        <v>326.5342868596108</v>
      </c>
      <c r="L16">
        <v>6313.6060342839619</v>
      </c>
      <c r="N16">
        <v>-0.17002986790400867</v>
      </c>
      <c r="O16">
        <v>54874.929058610163</v>
      </c>
      <c r="P16">
        <v>16646.311876889115</v>
      </c>
      <c r="T16" s="89">
        <v>3.1956034350006095</v>
      </c>
      <c r="U16" s="89">
        <v>6.8549667225430628</v>
      </c>
    </row>
    <row r="17" spans="5:21" x14ac:dyDescent="0.25">
      <c r="E17">
        <v>67.96314369673027</v>
      </c>
      <c r="F17">
        <v>78.157615251239804</v>
      </c>
      <c r="G17">
        <v>203.43756382088338</v>
      </c>
      <c r="H17">
        <v>233.95319839401589</v>
      </c>
      <c r="J17">
        <v>-3.4730977104991387E-2</v>
      </c>
      <c r="K17">
        <v>1594.6569837406817</v>
      </c>
      <c r="L17">
        <v>8307.7909777950572</v>
      </c>
      <c r="N17">
        <v>-0.19291950141011602</v>
      </c>
      <c r="O17">
        <v>73656.887415442063</v>
      </c>
      <c r="P17">
        <v>18157.923437640227</v>
      </c>
      <c r="T17" s="89">
        <v>3.7268948860763218</v>
      </c>
      <c r="U17" s="89">
        <v>6.8280381668194705</v>
      </c>
    </row>
    <row r="18" spans="5:21" x14ac:dyDescent="0.25">
      <c r="E18">
        <v>74.321021063738101</v>
      </c>
      <c r="F18">
        <v>85.469174223298822</v>
      </c>
      <c r="G18">
        <v>173.78248100302116</v>
      </c>
      <c r="H18">
        <v>199.84985315347433</v>
      </c>
      <c r="J18">
        <v>-4.4530287843338089E-2</v>
      </c>
      <c r="K18">
        <v>2512.6460560090272</v>
      </c>
      <c r="L18">
        <v>9033.1546266390778</v>
      </c>
      <c r="N18">
        <v>-0.16947483071910169</v>
      </c>
      <c r="O18">
        <v>54462.686042886067</v>
      </c>
      <c r="P18">
        <v>16610.513428690883</v>
      </c>
      <c r="T18" s="89">
        <v>3.9092292376884057</v>
      </c>
      <c r="U18" s="89">
        <v>4.7147551785572999</v>
      </c>
    </row>
    <row r="19" spans="5:21" x14ac:dyDescent="0.25">
      <c r="E19">
        <v>84.972692695839342</v>
      </c>
      <c r="F19">
        <v>97.71859660021525</v>
      </c>
      <c r="G19">
        <v>186.04513030766682</v>
      </c>
      <c r="H19">
        <v>213.95189985381685</v>
      </c>
      <c r="J19">
        <v>-6.1252969284072714E-2</v>
      </c>
      <c r="K19">
        <v>4667.8579206606246</v>
      </c>
      <c r="L19">
        <v>10172.579765131088</v>
      </c>
      <c r="N19">
        <v>-0.17957228119733681</v>
      </c>
      <c r="O19">
        <v>62275.747678597516</v>
      </c>
      <c r="P19">
        <v>17267.800979214513</v>
      </c>
      <c r="T19" s="89">
        <v>4.3449231555051808</v>
      </c>
      <c r="U19" s="89">
        <v>6.1868021349626439</v>
      </c>
    </row>
    <row r="20" spans="5:21" x14ac:dyDescent="0.25">
      <c r="E20">
        <v>171.81802789100402</v>
      </c>
      <c r="F20">
        <v>197.59073207465462</v>
      </c>
      <c r="G20">
        <v>260.74458886647784</v>
      </c>
      <c r="H20">
        <v>299.85627719644953</v>
      </c>
      <c r="J20">
        <v>-0.16653899908421424</v>
      </c>
      <c r="K20">
        <v>42747.381314770857</v>
      </c>
      <c r="L20">
        <v>16833.609586748502</v>
      </c>
      <c r="N20">
        <v>-0.23065619999745751</v>
      </c>
      <c r="O20">
        <v>112983.23942266297</v>
      </c>
      <c r="P20">
        <v>20834.089116915806</v>
      </c>
      <c r="T20" s="89">
        <v>5.8407185224835283</v>
      </c>
      <c r="U20" s="89">
        <v>5.2618888345487305</v>
      </c>
    </row>
    <row r="21" spans="5:21" x14ac:dyDescent="0.25">
      <c r="E21">
        <v>107.9590577709547</v>
      </c>
      <c r="F21">
        <v>124.15291643659791</v>
      </c>
      <c r="G21">
        <v>258.67981524382924</v>
      </c>
      <c r="H21">
        <v>297.48178753040361</v>
      </c>
      <c r="J21">
        <v>-9.5177508552233211E-2</v>
      </c>
      <c r="K21">
        <v>11775.011839415278</v>
      </c>
      <c r="L21">
        <v>12320.823049571256</v>
      </c>
      <c r="N21">
        <v>-0.22943225085040894</v>
      </c>
      <c r="O21">
        <v>111528.04960086748</v>
      </c>
      <c r="P21">
        <v>20743.044030326611</v>
      </c>
      <c r="T21" s="89">
        <v>4.8497346495589637</v>
      </c>
      <c r="U21" s="89">
        <v>5.3522260091997245</v>
      </c>
    </row>
    <row r="22" spans="5:21" x14ac:dyDescent="0.25">
      <c r="E22">
        <v>76.047196148436541</v>
      </c>
      <c r="F22">
        <v>87.454275570702023</v>
      </c>
      <c r="G22">
        <v>108.12478694086801</v>
      </c>
      <c r="H22">
        <v>124.34350498199821</v>
      </c>
      <c r="J22">
        <v>-4.7236862215604455E-2</v>
      </c>
      <c r="K22">
        <v>2809.0282105675319</v>
      </c>
      <c r="L22">
        <v>9224.3613492256209</v>
      </c>
      <c r="N22">
        <v>-0.10136425339176006</v>
      </c>
      <c r="O22">
        <v>17459.43490130196</v>
      </c>
      <c r="P22">
        <v>12413.912169567544</v>
      </c>
      <c r="T22" s="89">
        <v>4.1116108013841055</v>
      </c>
      <c r="U22" s="89">
        <v>5.4366122891968409</v>
      </c>
    </row>
    <row r="23" spans="5:21" x14ac:dyDescent="0.25">
      <c r="E23">
        <v>115.11863122334988</v>
      </c>
      <c r="F23">
        <v>132.38642590685237</v>
      </c>
      <c r="G23">
        <v>95.424433843550759</v>
      </c>
      <c r="H23">
        <v>109.73809892008337</v>
      </c>
      <c r="J23">
        <v>-0.1047858353901189</v>
      </c>
      <c r="K23">
        <v>14563.372353480614</v>
      </c>
      <c r="L23">
        <v>12916.032054772964</v>
      </c>
      <c r="N23">
        <v>-8.4275881743547151E-2</v>
      </c>
      <c r="O23">
        <v>11886.970363864624</v>
      </c>
      <c r="P23">
        <v>11381.060790627342</v>
      </c>
      <c r="T23" s="89">
        <v>4.9849454238392878</v>
      </c>
      <c r="U23" s="89">
        <v>6.5626752125574068</v>
      </c>
    </row>
    <row r="24" spans="5:21" x14ac:dyDescent="0.25">
      <c r="E24">
        <v>123.09604341006163</v>
      </c>
      <c r="F24">
        <v>141.56044992157086</v>
      </c>
      <c r="G24">
        <v>145.45620391920548</v>
      </c>
      <c r="H24">
        <v>167.27463450708629</v>
      </c>
      <c r="J24">
        <v>-0.11494238313242525</v>
      </c>
      <c r="K24">
        <v>17930.201497797414</v>
      </c>
      <c r="L24">
        <v>13545.483450205642</v>
      </c>
      <c r="N24">
        <v>-0.14347359905476925</v>
      </c>
      <c r="O24">
        <v>37280.784063659245</v>
      </c>
      <c r="P24">
        <v>14970.561717985087</v>
      </c>
      <c r="T24" s="89">
        <v>5.126144750971747</v>
      </c>
      <c r="U24" s="89">
        <v>5.1841703595849449</v>
      </c>
    </row>
    <row r="25" spans="5:21" x14ac:dyDescent="0.25">
      <c r="E25">
        <v>89.789699569587427</v>
      </c>
      <c r="F25">
        <v>103.25815450502554</v>
      </c>
      <c r="G25">
        <v>126.96477060049186</v>
      </c>
      <c r="H25">
        <v>146.00948619056564</v>
      </c>
      <c r="J25">
        <v>-6.8701602540524834E-2</v>
      </c>
      <c r="K25">
        <v>5893.6654845707308</v>
      </c>
      <c r="L25">
        <v>10656.385523536848</v>
      </c>
      <c r="N25">
        <v>-0.12395571829114189</v>
      </c>
      <c r="O25">
        <v>26945.687916452083</v>
      </c>
      <c r="P25">
        <v>13776.416029095304</v>
      </c>
      <c r="T25" s="89">
        <v>4.4612360022804305</v>
      </c>
      <c r="U25" s="89">
        <v>5.4773154151816881</v>
      </c>
    </row>
    <row r="26" spans="5:21" x14ac:dyDescent="0.25">
      <c r="E26">
        <v>180.08136411939739</v>
      </c>
      <c r="F26">
        <v>207.09356873730701</v>
      </c>
      <c r="G26">
        <v>238.52759569303606</v>
      </c>
      <c r="H26">
        <v>274.30673504699149</v>
      </c>
      <c r="J26">
        <v>-0.17388133880770656</v>
      </c>
      <c r="K26">
        <v>47476.874929313708</v>
      </c>
      <c r="L26">
        <v>17322.883982538242</v>
      </c>
      <c r="N26">
        <v>-0.21700224883814476</v>
      </c>
      <c r="O26">
        <v>97459.625298919927</v>
      </c>
      <c r="P26">
        <v>19835.579747686919</v>
      </c>
      <c r="T26" s="89">
        <v>5.944551934570125</v>
      </c>
      <c r="U26" s="89">
        <v>6.7235834459865709</v>
      </c>
    </row>
    <row r="27" spans="5:21" x14ac:dyDescent="0.25">
      <c r="E27">
        <v>74.382426750325223</v>
      </c>
      <c r="F27">
        <v>85.539790762874006</v>
      </c>
      <c r="G27">
        <v>202.76378568071266</v>
      </c>
      <c r="H27">
        <v>233.17835353281956</v>
      </c>
      <c r="J27">
        <v>-4.4626368943660184E-2</v>
      </c>
      <c r="K27">
        <v>2522.8390193483469</v>
      </c>
      <c r="L27">
        <v>9039.9994290540999</v>
      </c>
      <c r="N27">
        <v>-0.19242175379836271</v>
      </c>
      <c r="O27">
        <v>73210.165251526356</v>
      </c>
      <c r="P27">
        <v>18124.258579498059</v>
      </c>
      <c r="T27" s="89">
        <v>4.0653359543666507</v>
      </c>
      <c r="U27" s="89">
        <v>6.2804322564446577</v>
      </c>
    </row>
    <row r="28" spans="5:21" x14ac:dyDescent="0.25">
      <c r="E28">
        <v>119.79995803335468</v>
      </c>
      <c r="F28">
        <v>137.76995173835789</v>
      </c>
      <c r="G28">
        <v>184.39612583017336</v>
      </c>
      <c r="H28">
        <v>212.05554470469937</v>
      </c>
      <c r="J28">
        <v>-0.11081445179097282</v>
      </c>
      <c r="K28">
        <v>16508.096936991333</v>
      </c>
      <c r="L28">
        <v>13289.442202594275</v>
      </c>
      <c r="N28">
        <v>-0.17824964124722475</v>
      </c>
      <c r="O28">
        <v>61214.122289212028</v>
      </c>
      <c r="P28">
        <v>17180.955452052967</v>
      </c>
      <c r="T28" s="89">
        <v>5.068918743837421</v>
      </c>
      <c r="U28" s="89">
        <v>4.9711468155844809</v>
      </c>
    </row>
    <row r="29" spans="5:21" x14ac:dyDescent="0.25">
      <c r="E29">
        <v>55.981826879742492</v>
      </c>
      <c r="F29">
        <v>64.379100911703858</v>
      </c>
      <c r="G29">
        <v>133.33868162821386</v>
      </c>
      <c r="H29">
        <v>153.33948387244595</v>
      </c>
      <c r="J29">
        <v>-1.8095703042684066E-2</v>
      </c>
      <c r="K29">
        <v>536.71930188957424</v>
      </c>
      <c r="L29">
        <v>6862.3058612811419</v>
      </c>
      <c r="N29">
        <v>-0.13095004882709832</v>
      </c>
      <c r="O29">
        <v>30410.827205262543</v>
      </c>
      <c r="P29">
        <v>14201.659146284768</v>
      </c>
      <c r="T29" s="89">
        <v>3.6781838903245272</v>
      </c>
      <c r="U29" s="89">
        <v>5.1300814256819356</v>
      </c>
    </row>
    <row r="30" spans="5:21" x14ac:dyDescent="0.25">
      <c r="E30">
        <v>308.74998299671091</v>
      </c>
      <c r="F30">
        <v>355.06248044621753</v>
      </c>
      <c r="G30">
        <v>184.33788317414377</v>
      </c>
      <c r="H30">
        <v>211.98856565026534</v>
      </c>
      <c r="J30">
        <v>-0.25865657581152462</v>
      </c>
      <c r="K30">
        <v>130885.43618851528</v>
      </c>
      <c r="L30">
        <v>23650.296147753717</v>
      </c>
      <c r="N30">
        <v>-0.17820273300593531</v>
      </c>
      <c r="O30">
        <v>61176.685377192</v>
      </c>
      <c r="P30">
        <v>17177.879702640297</v>
      </c>
      <c r="T30" s="89">
        <v>7.2618050428802601</v>
      </c>
      <c r="U30" s="89">
        <v>6.1433475228823502</v>
      </c>
    </row>
    <row r="31" spans="5:21" x14ac:dyDescent="0.25">
      <c r="E31">
        <v>103.80921676980816</v>
      </c>
      <c r="F31">
        <v>119.38059928527939</v>
      </c>
      <c r="G31">
        <v>155.06318716020041</v>
      </c>
      <c r="H31">
        <v>178.32266523423047</v>
      </c>
      <c r="J31">
        <v>-8.9389740605664153E-2</v>
      </c>
      <c r="K31">
        <v>10271.497759027194</v>
      </c>
      <c r="L31">
        <v>11961.252612616348</v>
      </c>
      <c r="N31">
        <v>-0.15276169344981425</v>
      </c>
      <c r="O31">
        <v>42951.617024864951</v>
      </c>
      <c r="P31">
        <v>15548.726392627863</v>
      </c>
      <c r="T31" s="89">
        <v>4.7671774292460185</v>
      </c>
      <c r="U31" s="89">
        <v>5.6250345239248087</v>
      </c>
    </row>
    <row r="32" spans="5:21" x14ac:dyDescent="0.25">
      <c r="E32">
        <v>137.14164175857175</v>
      </c>
      <c r="F32">
        <v>157.7128880223575</v>
      </c>
      <c r="G32">
        <v>129.31929258797166</v>
      </c>
      <c r="H32">
        <v>148.7171864761674</v>
      </c>
      <c r="J32">
        <v>-0.13151712886956426</v>
      </c>
      <c r="K32">
        <v>24422.865784308255</v>
      </c>
      <c r="L32">
        <v>14580.104132311662</v>
      </c>
      <c r="N32">
        <v>-0.1265743592716001</v>
      </c>
      <c r="O32">
        <v>28212.608533271909</v>
      </c>
      <c r="P32">
        <v>13935.333616592776</v>
      </c>
      <c r="T32" s="89">
        <v>5.3547339607313678</v>
      </c>
      <c r="U32" s="89">
        <v>5.3425802769281336</v>
      </c>
    </row>
    <row r="33" spans="5:21" x14ac:dyDescent="0.25">
      <c r="E33">
        <v>105.6501454760097</v>
      </c>
      <c r="F33">
        <v>121.49766729741116</v>
      </c>
      <c r="G33">
        <v>323.5637881155821</v>
      </c>
      <c r="H33">
        <v>372.09835633291942</v>
      </c>
      <c r="J33">
        <v>-9.1977093542333813E-2</v>
      </c>
      <c r="K33">
        <v>10927.72462180553</v>
      </c>
      <c r="L33">
        <v>12122.151238164803</v>
      </c>
      <c r="N33">
        <v>-0.26424302753365425</v>
      </c>
      <c r="O33">
        <v>158242.15903363616</v>
      </c>
      <c r="P33">
        <v>23465.652890007721</v>
      </c>
      <c r="T33" s="89">
        <v>4.8042050696422187</v>
      </c>
      <c r="U33" s="89">
        <v>5.388651290112036</v>
      </c>
    </row>
    <row r="34" spans="5:21" x14ac:dyDescent="0.25">
      <c r="E34">
        <v>209.96391453136911</v>
      </c>
      <c r="F34">
        <v>241.45850171107449</v>
      </c>
      <c r="G34">
        <v>219.55495018159411</v>
      </c>
      <c r="H34">
        <v>252.48819270883322</v>
      </c>
      <c r="J34">
        <v>-0.19794607882152121</v>
      </c>
      <c r="K34">
        <v>65427.89587456025</v>
      </c>
      <c r="L34">
        <v>18980.332152169885</v>
      </c>
      <c r="N34">
        <v>-0.20440775885423615</v>
      </c>
      <c r="O34">
        <v>84466.307320488602</v>
      </c>
      <c r="P34">
        <v>18945.86483886011</v>
      </c>
      <c r="T34" s="89">
        <v>6.2930856328141962</v>
      </c>
      <c r="U34" s="89">
        <v>5.3425611295548556</v>
      </c>
    </row>
    <row r="35" spans="5:21" x14ac:dyDescent="0.25">
      <c r="E35">
        <v>103.79531809197157</v>
      </c>
      <c r="F35">
        <v>119.3646158057673</v>
      </c>
      <c r="G35">
        <v>259.07182186137663</v>
      </c>
      <c r="H35">
        <v>297.93259514058315</v>
      </c>
      <c r="J35">
        <v>-8.9370086814756694E-2</v>
      </c>
      <c r="K35">
        <v>10266.610089166812</v>
      </c>
      <c r="L35">
        <v>11960.029253343497</v>
      </c>
      <c r="N35">
        <v>-0.22966529755454221</v>
      </c>
      <c r="O35">
        <v>111804.13846940176</v>
      </c>
      <c r="P35">
        <v>20760.355412424025</v>
      </c>
      <c r="T35" s="89">
        <v>4.7668953560715783</v>
      </c>
      <c r="U35" s="89">
        <v>5.4947885697132834</v>
      </c>
    </row>
    <row r="36" spans="5:21" x14ac:dyDescent="0.25">
      <c r="E36">
        <v>108.76659630253019</v>
      </c>
      <c r="F36">
        <v>125.08158574790971</v>
      </c>
      <c r="G36">
        <v>177.98586219295299</v>
      </c>
      <c r="H36">
        <v>204.68374152189594</v>
      </c>
      <c r="J36">
        <v>-9.6285092655997412E-2</v>
      </c>
      <c r="K36">
        <v>12077.543165864285</v>
      </c>
      <c r="L36">
        <v>12389.507761882667</v>
      </c>
      <c r="N36">
        <v>-0.17300570116634378</v>
      </c>
      <c r="O36">
        <v>57119.010668271352</v>
      </c>
      <c r="P36">
        <v>16838.886102799217</v>
      </c>
      <c r="T36" s="89">
        <v>4.8654272934410239</v>
      </c>
      <c r="U36" s="89">
        <v>4.6751196487806466</v>
      </c>
    </row>
    <row r="37" spans="5:21" x14ac:dyDescent="0.25">
      <c r="E37">
        <v>112.89460408256718</v>
      </c>
      <c r="F37">
        <v>129.82879469495225</v>
      </c>
      <c r="G37">
        <v>181.20036555161107</v>
      </c>
      <c r="H37">
        <v>208.38042038435273</v>
      </c>
      <c r="J37">
        <v>-0.10185195614059661</v>
      </c>
      <c r="K37">
        <v>13672.181129602372</v>
      </c>
      <c r="L37">
        <v>12734.381244826676</v>
      </c>
      <c r="N37">
        <v>-0.17565603588468442</v>
      </c>
      <c r="O37">
        <v>59166.099335967563</v>
      </c>
      <c r="P37">
        <v>17011.32801063759</v>
      </c>
      <c r="T37" s="89">
        <v>4.9438635828352053</v>
      </c>
      <c r="U37" s="89">
        <v>4.5286618245174326</v>
      </c>
    </row>
    <row r="38" spans="5:21" x14ac:dyDescent="0.25">
      <c r="E38">
        <v>343.81992832011724</v>
      </c>
      <c r="F38">
        <v>395.39291756813481</v>
      </c>
      <c r="G38">
        <v>142.2759326500499</v>
      </c>
      <c r="H38">
        <v>163.61732254755736</v>
      </c>
      <c r="J38">
        <v>-0.2756134235420607</v>
      </c>
      <c r="K38">
        <v>155563.29442038163</v>
      </c>
      <c r="L38">
        <v>25117.218245229051</v>
      </c>
      <c r="N38">
        <v>-0.14027868919600575</v>
      </c>
      <c r="O38">
        <v>35445.030879168255</v>
      </c>
      <c r="P38">
        <v>14773.346237076481</v>
      </c>
      <c r="T38" s="89">
        <v>7.5662358210457681</v>
      </c>
      <c r="U38" s="89">
        <v>6.7539412094452533</v>
      </c>
    </row>
    <row r="39" spans="5:21" x14ac:dyDescent="0.25">
      <c r="E39">
        <v>124.94455627420652</v>
      </c>
      <c r="F39">
        <v>143.68623971533751</v>
      </c>
      <c r="G39">
        <v>216.68576147176034</v>
      </c>
      <c r="H39">
        <v>249.1886256925244</v>
      </c>
      <c r="J39">
        <v>-0.11721625649603221</v>
      </c>
      <c r="K39">
        <v>18745.809327506238</v>
      </c>
      <c r="L39">
        <v>13686.723553007248</v>
      </c>
      <c r="N39">
        <v>-0.20241900324797882</v>
      </c>
      <c r="O39">
        <v>82525.536243246082</v>
      </c>
      <c r="P39">
        <v>18807.916358243954</v>
      </c>
      <c r="T39" s="89">
        <v>5.157594927678149</v>
      </c>
      <c r="U39" s="89">
        <v>5.9355879056954644</v>
      </c>
    </row>
    <row r="40" spans="5:21" x14ac:dyDescent="0.25">
      <c r="E40">
        <v>110.07903862492665</v>
      </c>
      <c r="F40">
        <v>126.59089441866566</v>
      </c>
      <c r="G40">
        <v>273.75445018384818</v>
      </c>
      <c r="H40">
        <v>314.81761771142538</v>
      </c>
      <c r="J40">
        <v>-9.8072191579248846E-2</v>
      </c>
      <c r="K40">
        <v>12575.908262380022</v>
      </c>
      <c r="L40">
        <v>12500.272686809079</v>
      </c>
      <c r="N40">
        <v>-0.23817315319231694</v>
      </c>
      <c r="O40">
        <v>122205.56324869154</v>
      </c>
      <c r="P40">
        <v>21400.255643454671</v>
      </c>
      <c r="T40" s="89">
        <v>4.8906835442517789</v>
      </c>
      <c r="U40" s="89">
        <v>4.8609610482243859</v>
      </c>
    </row>
    <row r="41" spans="5:21" x14ac:dyDescent="0.25">
      <c r="E41">
        <v>132.55788693703309</v>
      </c>
      <c r="F41">
        <v>152.44156997758805</v>
      </c>
      <c r="G41">
        <v>133.8218319764492</v>
      </c>
      <c r="H41">
        <v>153.89510677291659</v>
      </c>
      <c r="J41">
        <v>-0.12628150646749228</v>
      </c>
      <c r="K41">
        <v>22232.330585877709</v>
      </c>
      <c r="L41">
        <v>14251.822074059693</v>
      </c>
      <c r="N41">
        <v>-0.13146822755003323</v>
      </c>
      <c r="O41">
        <v>30677.952269240686</v>
      </c>
      <c r="P41">
        <v>14233.268544690869</v>
      </c>
      <c r="T41" s="89">
        <v>5.2826376328272202</v>
      </c>
      <c r="U41" s="89">
        <v>5.8200962904401736</v>
      </c>
    </row>
    <row r="42" spans="5:21" x14ac:dyDescent="0.25">
      <c r="E42">
        <v>106.43207107872855</v>
      </c>
      <c r="F42">
        <v>122.39688174053784</v>
      </c>
      <c r="G42">
        <v>143.29989261975535</v>
      </c>
      <c r="H42">
        <v>164.79487651271864</v>
      </c>
      <c r="J42">
        <v>-9.3066506845869743E-2</v>
      </c>
      <c r="K42">
        <v>11211.685982631512</v>
      </c>
      <c r="L42">
        <v>12189.817037243934</v>
      </c>
      <c r="N42">
        <v>-0.14131420866274963</v>
      </c>
      <c r="O42">
        <v>36033.692759847516</v>
      </c>
      <c r="P42">
        <v>14837.180703167633</v>
      </c>
      <c r="T42" s="89">
        <v>4.8197353853338889</v>
      </c>
      <c r="U42" s="89">
        <v>4.9530388268812127</v>
      </c>
    </row>
    <row r="43" spans="5:21" x14ac:dyDescent="0.25">
      <c r="E43">
        <v>118.34812789826252</v>
      </c>
      <c r="F43">
        <v>136.10034708300191</v>
      </c>
      <c r="G43">
        <v>128.85013308188169</v>
      </c>
      <c r="H43">
        <v>148.17765304416395</v>
      </c>
      <c r="J43">
        <v>-0.10896584655756851</v>
      </c>
      <c r="K43">
        <v>15895.295741308753</v>
      </c>
      <c r="L43">
        <v>13174.894007174982</v>
      </c>
      <c r="N43">
        <v>-0.12605589912807785</v>
      </c>
      <c r="O43">
        <v>27958.904933705246</v>
      </c>
      <c r="P43">
        <v>13903.843859447246</v>
      </c>
      <c r="T43" s="89">
        <v>5.0432252907489952</v>
      </c>
      <c r="U43" s="89">
        <v>4.7026738040890637</v>
      </c>
    </row>
    <row r="44" spans="5:21" x14ac:dyDescent="0.25">
      <c r="E44">
        <v>98.850246421611189</v>
      </c>
      <c r="F44">
        <v>113.67778338485286</v>
      </c>
      <c r="G44">
        <v>169.2911940891411</v>
      </c>
      <c r="H44">
        <v>194.68487320251228</v>
      </c>
      <c r="J44">
        <v>-8.226497482674211E-2</v>
      </c>
      <c r="K44">
        <v>8593.4424111468979</v>
      </c>
      <c r="L44">
        <v>11516.291105908085</v>
      </c>
      <c r="N44">
        <v>-0.16561687696690952</v>
      </c>
      <c r="O44">
        <v>51651.501316264512</v>
      </c>
      <c r="P44">
        <v>16362.693168015117</v>
      </c>
      <c r="T44" s="89">
        <v>4.6640228227946805</v>
      </c>
      <c r="U44" s="89">
        <v>4.8510927365151044</v>
      </c>
    </row>
    <row r="45" spans="5:21" x14ac:dyDescent="0.25">
      <c r="E45">
        <v>133.24677897622152</v>
      </c>
      <c r="F45">
        <v>153.23379582265474</v>
      </c>
      <c r="G45">
        <v>157.83019346824116</v>
      </c>
      <c r="H45">
        <v>181.50472248847734</v>
      </c>
      <c r="J45">
        <v>-0.12707873314368023</v>
      </c>
      <c r="K45">
        <v>22557.358836104893</v>
      </c>
      <c r="L45">
        <v>14301.707281061506</v>
      </c>
      <c r="N45">
        <v>-0.15534184225116116</v>
      </c>
      <c r="O45">
        <v>44617.109078317531</v>
      </c>
      <c r="P45">
        <v>15710.734208128115</v>
      </c>
      <c r="T45" s="89">
        <v>5.2936181058375542</v>
      </c>
      <c r="U45" s="89">
        <v>5.5228309271457245</v>
      </c>
    </row>
    <row r="46" spans="5:21" x14ac:dyDescent="0.25">
      <c r="E46">
        <v>44.353722206543083</v>
      </c>
      <c r="F46">
        <v>51.006780537524548</v>
      </c>
      <c r="G46">
        <v>84.370342358023834</v>
      </c>
      <c r="H46">
        <v>97.025893711727406</v>
      </c>
      <c r="J46">
        <v>-6.5385313950167088E-3</v>
      </c>
      <c r="K46">
        <v>122.62934873753322</v>
      </c>
      <c r="L46">
        <v>5396.2981503851479</v>
      </c>
      <c r="N46">
        <v>-6.8083615504287862E-2</v>
      </c>
      <c r="O46">
        <v>7756.220052344418</v>
      </c>
      <c r="P46">
        <v>10382.756166986923</v>
      </c>
      <c r="T46" s="89">
        <v>3.0636855845878008</v>
      </c>
      <c r="U46" s="89">
        <v>5.0050407583911047</v>
      </c>
    </row>
    <row r="47" spans="5:21" x14ac:dyDescent="0.25">
      <c r="E47">
        <v>133.61983785708463</v>
      </c>
      <c r="F47">
        <v>153.66281353564733</v>
      </c>
      <c r="G47">
        <v>124.85960863400531</v>
      </c>
      <c r="H47">
        <v>143.58854992910611</v>
      </c>
      <c r="J47">
        <v>-0.12750890948539642</v>
      </c>
      <c r="K47">
        <v>22734.003054265748</v>
      </c>
      <c r="L47">
        <v>14328.639439597873</v>
      </c>
      <c r="N47">
        <v>-0.12157849304905807</v>
      </c>
      <c r="O47">
        <v>25826.635740254937</v>
      </c>
      <c r="P47">
        <v>13632.414415060013</v>
      </c>
      <c r="T47" s="89">
        <v>5.2995425167819663</v>
      </c>
      <c r="U47" s="89">
        <v>4.5163904553243244</v>
      </c>
    </row>
    <row r="48" spans="5:21" x14ac:dyDescent="0.25">
      <c r="E48">
        <v>117.65644966872847</v>
      </c>
      <c r="F48">
        <v>135.30491711903773</v>
      </c>
      <c r="G48">
        <v>207.33979960798868</v>
      </c>
      <c r="H48">
        <v>238.440769549187</v>
      </c>
      <c r="J48">
        <v>-0.10807851527400247</v>
      </c>
      <c r="K48">
        <v>15606.362327777191</v>
      </c>
      <c r="L48">
        <v>13119.928907069572</v>
      </c>
      <c r="N48">
        <v>-0.19577362334492601</v>
      </c>
      <c r="O48">
        <v>76252.614112726733</v>
      </c>
      <c r="P48">
        <v>18351.700516016877</v>
      </c>
      <c r="T48" s="89">
        <v>5.0308758649221685</v>
      </c>
      <c r="U48" s="89">
        <v>6.4582311431838875</v>
      </c>
    </row>
    <row r="49" spans="5:21" x14ac:dyDescent="0.25">
      <c r="E49">
        <v>109.53980925675125</v>
      </c>
      <c r="F49">
        <v>125.97078064526394</v>
      </c>
      <c r="G49">
        <v>229.255902243565</v>
      </c>
      <c r="H49">
        <v>263.64428758009973</v>
      </c>
      <c r="J49">
        <v>-9.7339890056941589E-2</v>
      </c>
      <c r="K49">
        <v>12370.158176018644</v>
      </c>
      <c r="L49">
        <v>12454.892244152885</v>
      </c>
      <c r="N49">
        <v>-0.21096406852632685</v>
      </c>
      <c r="O49">
        <v>91076.652940809712</v>
      </c>
      <c r="P49">
        <v>19405.468520615443</v>
      </c>
      <c r="T49" s="89">
        <v>4.8803435415414871</v>
      </c>
      <c r="U49" s="89">
        <v>4.7635376274967163</v>
      </c>
    </row>
    <row r="50" spans="5:21" x14ac:dyDescent="0.25">
      <c r="E50">
        <v>115.43338113613528</v>
      </c>
      <c r="F50">
        <v>132.74838830655557</v>
      </c>
      <c r="G50">
        <v>90.367061621990288</v>
      </c>
      <c r="H50">
        <v>103.92212086528883</v>
      </c>
      <c r="J50">
        <v>-0.10519738388349371</v>
      </c>
      <c r="K50">
        <v>14691.241040217454</v>
      </c>
      <c r="L50">
        <v>12941.513254128035</v>
      </c>
      <c r="N50">
        <v>-7.7017643591270404E-2</v>
      </c>
      <c r="O50">
        <v>9903.7541275581898</v>
      </c>
      <c r="P50">
        <v>10937.16440227569</v>
      </c>
      <c r="T50" s="89">
        <v>4.9906958247746598</v>
      </c>
      <c r="U50" s="89">
        <v>5.1087240457489189</v>
      </c>
    </row>
    <row r="51" spans="5:21" x14ac:dyDescent="0.25">
      <c r="E51">
        <v>97.051631721734026</v>
      </c>
      <c r="F51">
        <v>111.60937647999413</v>
      </c>
      <c r="G51">
        <v>145.73540403583277</v>
      </c>
      <c r="H51">
        <v>167.59571464120768</v>
      </c>
      <c r="J51">
        <v>-7.9626307837592308E-2</v>
      </c>
      <c r="K51">
        <v>8018.6144161171605</v>
      </c>
      <c r="L51">
        <v>11350.562187363057</v>
      </c>
      <c r="N51">
        <v>-0.14375111944560759</v>
      </c>
      <c r="O51">
        <v>37442.983158632989</v>
      </c>
      <c r="P51">
        <v>14987.730268298632</v>
      </c>
      <c r="T51" s="89">
        <v>4.625305185310661</v>
      </c>
      <c r="U51" s="89">
        <v>5.3527636834831291</v>
      </c>
    </row>
    <row r="52" spans="5:21" x14ac:dyDescent="0.25">
      <c r="E52">
        <v>101.86857908758849</v>
      </c>
      <c r="F52">
        <v>117.14886595072676</v>
      </c>
      <c r="G52">
        <v>136.98980506669153</v>
      </c>
      <c r="H52">
        <v>157.53827582669527</v>
      </c>
      <c r="J52">
        <v>-8.6628264960782603E-2</v>
      </c>
      <c r="K52">
        <v>9598.9224908916676</v>
      </c>
      <c r="L52">
        <v>11789.165561245245</v>
      </c>
      <c r="N52">
        <v>-0.13482572794516437</v>
      </c>
      <c r="O52">
        <v>32444.136110337073</v>
      </c>
      <c r="P52">
        <v>14438.474601338787</v>
      </c>
      <c r="T52" s="89">
        <v>4.7274170240653506</v>
      </c>
      <c r="U52" s="89">
        <v>5.1004236564923628</v>
      </c>
    </row>
    <row r="53" spans="5:21" x14ac:dyDescent="0.25">
      <c r="E53">
        <v>80.827693806514901</v>
      </c>
      <c r="F53">
        <v>92.951847877492142</v>
      </c>
      <c r="G53">
        <v>180.93561029313361</v>
      </c>
      <c r="H53">
        <v>208.07595183710364</v>
      </c>
      <c r="J53">
        <v>-5.4758534663148367E-2</v>
      </c>
      <c r="K53">
        <v>3736.8368284724547</v>
      </c>
      <c r="L53">
        <v>9740.6793306669624</v>
      </c>
      <c r="N53">
        <v>-0.17543933958390268</v>
      </c>
      <c r="O53">
        <v>58996.9976272204</v>
      </c>
      <c r="P53">
        <v>16997.195205719672</v>
      </c>
      <c r="T53" s="89">
        <v>4.2395828039602428</v>
      </c>
      <c r="U53" s="89">
        <v>4.2468798916861523</v>
      </c>
    </row>
    <row r="54" spans="5:21" x14ac:dyDescent="0.25">
      <c r="E54">
        <v>93.588013030450441</v>
      </c>
      <c r="F54">
        <v>107.62621498501801</v>
      </c>
      <c r="G54">
        <v>159.31385638472415</v>
      </c>
      <c r="H54">
        <v>183.21093484243278</v>
      </c>
      <c r="J54">
        <v>-7.4467417748960887E-2</v>
      </c>
      <c r="K54">
        <v>6964.9874148742938</v>
      </c>
      <c r="L54">
        <v>11024.588806678554</v>
      </c>
      <c r="N54">
        <v>-0.15670875999949044</v>
      </c>
      <c r="O54">
        <v>45515.657435640729</v>
      </c>
      <c r="P54">
        <v>15796.828221200733</v>
      </c>
      <c r="T54" s="89">
        <v>4.5486536675785754</v>
      </c>
      <c r="U54" s="89">
        <v>4.3791832635289047</v>
      </c>
    </row>
    <row r="55" spans="5:21" x14ac:dyDescent="0.25">
      <c r="E55">
        <v>116.50532123594883</v>
      </c>
      <c r="F55">
        <v>133.98111942134116</v>
      </c>
      <c r="G55">
        <v>195.94168766951049</v>
      </c>
      <c r="H55">
        <v>225.33294081993705</v>
      </c>
      <c r="J55">
        <v>-0.10659222326453764</v>
      </c>
      <c r="K55">
        <v>15129.901496384633</v>
      </c>
      <c r="L55">
        <v>13027.881360718549</v>
      </c>
      <c r="N55">
        <v>-0.18729706680415187</v>
      </c>
      <c r="O55">
        <v>68712.449314785059</v>
      </c>
      <c r="P55">
        <v>17779.824783941065</v>
      </c>
      <c r="T55" s="89">
        <v>5.0101644386939492</v>
      </c>
      <c r="U55" s="89">
        <v>4.9579560397375912</v>
      </c>
    </row>
    <row r="56" spans="5:21" x14ac:dyDescent="0.25">
      <c r="E56">
        <v>125.45034196174167</v>
      </c>
      <c r="F56">
        <v>144.26789325600294</v>
      </c>
      <c r="G56">
        <v>164.62024364074617</v>
      </c>
      <c r="H56">
        <v>189.31328018685809</v>
      </c>
      <c r="J56">
        <v>-0.11783335866122084</v>
      </c>
      <c r="K56">
        <v>18971.163793349573</v>
      </c>
      <c r="L56">
        <v>13725.083829789675</v>
      </c>
      <c r="N56">
        <v>-0.16150648489013192</v>
      </c>
      <c r="O56">
        <v>48759.40834668764</v>
      </c>
      <c r="P56">
        <v>16100.527464153192</v>
      </c>
      <c r="T56" s="89">
        <v>5.1661226303763224</v>
      </c>
      <c r="U56" s="89">
        <v>4.3511565831610097</v>
      </c>
    </row>
    <row r="57" spans="5:21" x14ac:dyDescent="0.25">
      <c r="E57">
        <v>68.47930369197725</v>
      </c>
      <c r="F57">
        <v>78.751199245773833</v>
      </c>
      <c r="G57">
        <v>310.26343789790275</v>
      </c>
      <c r="H57">
        <v>356.80295358258815</v>
      </c>
      <c r="J57">
        <v>-3.5511474477928517E-2</v>
      </c>
      <c r="K57">
        <v>1659.2294530905099</v>
      </c>
      <c r="L57">
        <v>8367.8750158766052</v>
      </c>
      <c r="N57">
        <v>-0.2576605486285764</v>
      </c>
      <c r="O57">
        <v>148519.01423289886</v>
      </c>
      <c r="P57">
        <v>22928.235217679223</v>
      </c>
      <c r="T57" s="89">
        <v>3.893799833857535</v>
      </c>
      <c r="U57" s="89">
        <v>5.3720002500295649</v>
      </c>
    </row>
    <row r="58" spans="5:21" x14ac:dyDescent="0.25">
      <c r="E58">
        <v>84.028433559177472</v>
      </c>
      <c r="F58">
        <v>96.632698593054087</v>
      </c>
      <c r="G58">
        <v>172.79715113956729</v>
      </c>
      <c r="H58">
        <v>198.71672381050237</v>
      </c>
      <c r="J58">
        <v>-5.9778737664487575E-2</v>
      </c>
      <c r="K58">
        <v>4445.5463516218724</v>
      </c>
      <c r="L58">
        <v>10075.472156019336</v>
      </c>
      <c r="N58">
        <v>-0.16863612875627071</v>
      </c>
      <c r="O58">
        <v>53843.496906907538</v>
      </c>
      <c r="P58">
        <v>16556.489389272632</v>
      </c>
      <c r="T58" s="89">
        <v>4.3213670039482555</v>
      </c>
      <c r="U58" s="89">
        <v>5.1143665337503847</v>
      </c>
    </row>
    <row r="59" spans="5:21" x14ac:dyDescent="0.25">
      <c r="E59">
        <v>270.92044130901394</v>
      </c>
      <c r="F59">
        <v>311.55850750536604</v>
      </c>
      <c r="G59">
        <v>226.19995690498141</v>
      </c>
      <c r="H59">
        <v>260.12995044072863</v>
      </c>
      <c r="J59">
        <v>-0.23805275830132624</v>
      </c>
      <c r="K59">
        <v>104983.26545045941</v>
      </c>
      <c r="L59">
        <v>21972.714553990027</v>
      </c>
      <c r="N59">
        <v>-0.20892594394074551</v>
      </c>
      <c r="O59">
        <v>88986.477865499954</v>
      </c>
      <c r="P59">
        <v>19261.785414849943</v>
      </c>
      <c r="T59" s="89">
        <v>6.9146416304994602</v>
      </c>
      <c r="U59" s="89">
        <v>4.051399825630031</v>
      </c>
    </row>
    <row r="60" spans="5:21" x14ac:dyDescent="0.25">
      <c r="E60">
        <v>98.505222052262425</v>
      </c>
      <c r="F60">
        <v>113.28100536010179</v>
      </c>
      <c r="G60">
        <v>138.01686493426234</v>
      </c>
      <c r="H60">
        <v>158.71939467440168</v>
      </c>
      <c r="J60">
        <v>-8.1761005924102612E-2</v>
      </c>
      <c r="K60">
        <v>8481.7417153139595</v>
      </c>
      <c r="L60">
        <v>11484.683410454074</v>
      </c>
      <c r="N60">
        <v>-0.13589956939025882</v>
      </c>
      <c r="O60">
        <v>33022.050560409458</v>
      </c>
      <c r="P60">
        <v>14504.25808551274</v>
      </c>
      <c r="T60" s="89">
        <v>4.6566514214014241</v>
      </c>
      <c r="U60" s="89">
        <v>3.7749294302513445</v>
      </c>
    </row>
    <row r="61" spans="5:21" x14ac:dyDescent="0.25">
      <c r="E61">
        <v>96.035385520527001</v>
      </c>
      <c r="F61">
        <v>110.44069334860605</v>
      </c>
      <c r="G61">
        <v>258.33190761045898</v>
      </c>
      <c r="H61">
        <v>297.08169375202783</v>
      </c>
      <c r="J61">
        <v>-7.8123039243748069E-2</v>
      </c>
      <c r="K61">
        <v>7702.0990912272227</v>
      </c>
      <c r="L61">
        <v>11255.862829872718</v>
      </c>
      <c r="N61">
        <v>-0.22922515458454268</v>
      </c>
      <c r="O61">
        <v>111283.09279290134</v>
      </c>
      <c r="P61">
        <v>20727.669802998113</v>
      </c>
      <c r="T61" s="89">
        <v>4.6031060103205128</v>
      </c>
      <c r="U61" s="89">
        <v>4.5179684172388175</v>
      </c>
    </row>
    <row r="62" spans="5:21" x14ac:dyDescent="0.25">
      <c r="E62">
        <v>123.2236728140488</v>
      </c>
      <c r="F62">
        <v>141.70722373615612</v>
      </c>
      <c r="G62">
        <v>225.54024584283755</v>
      </c>
      <c r="H62">
        <v>259.37128271926315</v>
      </c>
      <c r="J62">
        <v>-0.11510032256846511</v>
      </c>
      <c r="K62">
        <v>17986.105586798494</v>
      </c>
      <c r="L62">
        <v>13555.288598580224</v>
      </c>
      <c r="N62">
        <v>-0.20848272750046123</v>
      </c>
      <c r="O62">
        <v>88536.180495221939</v>
      </c>
      <c r="P62">
        <v>19230.637339583838</v>
      </c>
      <c r="T62" s="89">
        <v>5.1283307344313602</v>
      </c>
      <c r="U62" s="89">
        <v>4.7161517130256465</v>
      </c>
    </row>
    <row r="63" spans="5:21" x14ac:dyDescent="0.25">
      <c r="E63">
        <v>82.019720227399205</v>
      </c>
      <c r="F63">
        <v>94.322678261509083</v>
      </c>
      <c r="G63">
        <v>162.13324450517669</v>
      </c>
      <c r="H63">
        <v>186.4532311809532</v>
      </c>
      <c r="J63">
        <v>-5.6631537721079636E-2</v>
      </c>
      <c r="K63">
        <v>3992.6328984296001</v>
      </c>
      <c r="L63">
        <v>9866.3832652254277</v>
      </c>
      <c r="N63">
        <v>-0.15927532440620479</v>
      </c>
      <c r="O63">
        <v>47233.400566946861</v>
      </c>
      <c r="P63">
        <v>15958.993677230672</v>
      </c>
      <c r="T63" s="89">
        <v>4.2703959379795684</v>
      </c>
      <c r="U63" s="89">
        <v>3.7959440789726084</v>
      </c>
    </row>
    <row r="64" spans="5:21" x14ac:dyDescent="0.25">
      <c r="E64">
        <v>93.520446214274031</v>
      </c>
      <c r="F64">
        <v>107.54851314641513</v>
      </c>
      <c r="G64">
        <v>117.03751466944047</v>
      </c>
      <c r="H64">
        <v>134.59314186985654</v>
      </c>
      <c r="J64">
        <v>-7.4365805302442731E-2</v>
      </c>
      <c r="K64">
        <v>6945.1494365497429</v>
      </c>
      <c r="L64">
        <v>11018.138410046029</v>
      </c>
      <c r="N64">
        <v>-0.11243279382636759</v>
      </c>
      <c r="O64">
        <v>21791.106238033535</v>
      </c>
      <c r="P64">
        <v>13080.23996805583</v>
      </c>
      <c r="T64" s="89">
        <v>4.5471300203404246</v>
      </c>
      <c r="U64" s="89">
        <v>4.1967877272314107</v>
      </c>
    </row>
    <row r="65" spans="5:21" x14ac:dyDescent="0.25">
      <c r="E65">
        <v>88.905517837741215</v>
      </c>
      <c r="F65">
        <v>102.24134551340239</v>
      </c>
      <c r="G65">
        <v>239.48951266726016</v>
      </c>
      <c r="H65">
        <v>275.41293956734916</v>
      </c>
      <c r="J65">
        <v>-6.7344754619264674E-2</v>
      </c>
      <c r="K65">
        <v>5657.3434353840566</v>
      </c>
      <c r="L65">
        <v>10569.013630425208</v>
      </c>
      <c r="N65">
        <v>-0.21761660406617633</v>
      </c>
      <c r="O65">
        <v>98125.265864437533</v>
      </c>
      <c r="P65">
        <v>19879.721841361115</v>
      </c>
      <c r="T65" s="89">
        <v>4.4403559285673433</v>
      </c>
      <c r="U65" s="89">
        <v>4.5054394677914971</v>
      </c>
    </row>
    <row r="66" spans="5:21" x14ac:dyDescent="0.25">
      <c r="E66">
        <v>192.75932878829965</v>
      </c>
      <c r="F66">
        <v>221.6732281065446</v>
      </c>
      <c r="G66">
        <v>272.67537450675951</v>
      </c>
      <c r="H66">
        <v>313.57668068277343</v>
      </c>
      <c r="J66">
        <v>-0.18453398065304991</v>
      </c>
      <c r="K66">
        <v>54943.729533673955</v>
      </c>
      <c r="L66">
        <v>18045.758189761778</v>
      </c>
      <c r="N66">
        <v>-0.23756207017036762</v>
      </c>
      <c r="O66">
        <v>121437.26018281943</v>
      </c>
      <c r="P66">
        <v>21353.770399042394</v>
      </c>
      <c r="T66" s="89">
        <v>6.0971096680763903</v>
      </c>
      <c r="U66" s="89">
        <v>4.9294878242837976</v>
      </c>
    </row>
    <row r="67" spans="5:21" x14ac:dyDescent="0.25">
      <c r="E67">
        <v>60.009274916600056</v>
      </c>
      <c r="F67">
        <v>69.01066615409006</v>
      </c>
      <c r="G67">
        <v>178.36925724592066</v>
      </c>
      <c r="H67">
        <v>205.12464583280877</v>
      </c>
      <c r="J67">
        <v>-2.3291760783269371E-2</v>
      </c>
      <c r="K67">
        <v>804.94077523050601</v>
      </c>
      <c r="L67">
        <v>7357.984638623645</v>
      </c>
      <c r="N67">
        <v>-0.17332404097338272</v>
      </c>
      <c r="O67">
        <v>57362.467996514213</v>
      </c>
      <c r="P67">
        <v>16859.551659167617</v>
      </c>
      <c r="T67" s="89">
        <v>3.6265184984804426</v>
      </c>
      <c r="U67" s="89">
        <v>4.4072669634060295</v>
      </c>
    </row>
    <row r="68" spans="5:21" x14ac:dyDescent="0.25">
      <c r="E68">
        <v>94.358657884372874</v>
      </c>
      <c r="F68">
        <v>108.51245656702881</v>
      </c>
      <c r="G68">
        <v>159.43094850274335</v>
      </c>
      <c r="H68">
        <v>183.34559077815484</v>
      </c>
      <c r="J68">
        <v>-7.5623799567449732E-2</v>
      </c>
      <c r="K68">
        <v>7193.2144247850756</v>
      </c>
      <c r="L68">
        <v>11097.909549587854</v>
      </c>
      <c r="N68">
        <v>-0.15681615489823483</v>
      </c>
      <c r="O68">
        <v>45586.732094909399</v>
      </c>
      <c r="P68">
        <v>15803.600330900435</v>
      </c>
      <c r="T68" s="89">
        <v>4.5659537544193105</v>
      </c>
      <c r="U68" s="89">
        <v>4.5682070576672862</v>
      </c>
    </row>
    <row r="69" spans="5:21" x14ac:dyDescent="0.25">
      <c r="E69">
        <v>102.78947744990074</v>
      </c>
      <c r="F69">
        <v>118.20789906738585</v>
      </c>
      <c r="G69">
        <v>229.95470174977072</v>
      </c>
      <c r="H69">
        <v>264.44790701223633</v>
      </c>
      <c r="J69">
        <v>-8.7943006773041205E-2</v>
      </c>
      <c r="K69">
        <v>9915.5880021779503</v>
      </c>
      <c r="L69">
        <v>11871.147918413497</v>
      </c>
      <c r="N69">
        <v>-0.21142670778539155</v>
      </c>
      <c r="O69">
        <v>91555.587300263782</v>
      </c>
      <c r="P69">
        <v>19438.187109305287</v>
      </c>
      <c r="T69" s="89">
        <v>4.7463795704225404</v>
      </c>
      <c r="U69" s="89">
        <v>6.3924115214484392</v>
      </c>
    </row>
    <row r="70" spans="5:21" x14ac:dyDescent="0.25">
      <c r="E70">
        <v>204.42479234175551</v>
      </c>
      <c r="F70">
        <v>235.08851119301883</v>
      </c>
      <c r="G70">
        <v>186.86137112618411</v>
      </c>
      <c r="H70">
        <v>214.89057679511171</v>
      </c>
      <c r="J70">
        <v>-0.19374908352699427</v>
      </c>
      <c r="K70">
        <v>62012.223214439124</v>
      </c>
      <c r="L70">
        <v>18684.757707686804</v>
      </c>
      <c r="N70">
        <v>-0.18022310760586674</v>
      </c>
      <c r="O70">
        <v>62802.43483188338</v>
      </c>
      <c r="P70">
        <v>17310.620930430418</v>
      </c>
      <c r="T70" s="89">
        <v>6.2312405212470177</v>
      </c>
      <c r="U70" s="89">
        <v>5.2377558432745248</v>
      </c>
    </row>
    <row r="71" spans="5:21" x14ac:dyDescent="0.25">
      <c r="E71">
        <v>94.85850945290116</v>
      </c>
      <c r="F71">
        <v>109.08728587083634</v>
      </c>
      <c r="G71">
        <v>148.07305144546871</v>
      </c>
      <c r="H71">
        <v>170.28400916228901</v>
      </c>
      <c r="J71">
        <v>-7.6371279985027199E-2</v>
      </c>
      <c r="K71">
        <v>7343.1627562003359</v>
      </c>
      <c r="L71">
        <v>11145.221667613196</v>
      </c>
      <c r="N71">
        <v>-0.14605637026992205</v>
      </c>
      <c r="O71">
        <v>38807.376434907987</v>
      </c>
      <c r="P71">
        <v>15130.585378228336</v>
      </c>
      <c r="T71" s="89">
        <v>4.5770986924966799</v>
      </c>
      <c r="U71" s="89">
        <v>4.048997138227489</v>
      </c>
    </row>
    <row r="72" spans="5:21" x14ac:dyDescent="0.25">
      <c r="E72">
        <v>132.23279434451908</v>
      </c>
      <c r="F72">
        <v>152.06771349619694</v>
      </c>
      <c r="G72">
        <v>152.86908352603129</v>
      </c>
      <c r="H72">
        <v>175.79944605493597</v>
      </c>
      <c r="J72">
        <v>-0.12590399455067131</v>
      </c>
      <c r="K72">
        <v>22079.476019723043</v>
      </c>
      <c r="L72">
        <v>14228.211839710879</v>
      </c>
      <c r="N72">
        <v>-0.1506864513692249</v>
      </c>
      <c r="O72">
        <v>41640.797085229126</v>
      </c>
      <c r="P72">
        <v>15418.881408176077</v>
      </c>
      <c r="T72" s="89">
        <v>5.2774375008127974</v>
      </c>
      <c r="U72" s="89">
        <v>4.1610306596717539</v>
      </c>
    </row>
    <row r="73" spans="5:21" x14ac:dyDescent="0.25">
      <c r="E73">
        <v>85.091723132178046</v>
      </c>
      <c r="F73">
        <v>97.855481602004758</v>
      </c>
      <c r="G73">
        <v>224.63056329286476</v>
      </c>
      <c r="H73">
        <v>258.32514778679445</v>
      </c>
      <c r="J73">
        <v>-6.1438530203278413E-2</v>
      </c>
      <c r="K73">
        <v>4696.3057240173566</v>
      </c>
      <c r="L73">
        <v>10184.767508560011</v>
      </c>
      <c r="N73">
        <v>-0.20786966620698891</v>
      </c>
      <c r="O73">
        <v>87915.807676457582</v>
      </c>
      <c r="P73">
        <v>19187.610034474219</v>
      </c>
      <c r="T73" s="89">
        <v>4.3478745187845176</v>
      </c>
      <c r="U73" s="89">
        <v>5.4909072760094126</v>
      </c>
    </row>
    <row r="74" spans="5:21" x14ac:dyDescent="0.25">
      <c r="E74">
        <v>93.73535489910725</v>
      </c>
      <c r="F74">
        <v>107.79565813397333</v>
      </c>
      <c r="G74">
        <v>85.356234882453222</v>
      </c>
      <c r="H74">
        <v>98.159670114821211</v>
      </c>
      <c r="J74">
        <v>-7.4688876878945307E-2</v>
      </c>
      <c r="K74">
        <v>7008.3441963715331</v>
      </c>
      <c r="L74">
        <v>11038.64277950882</v>
      </c>
      <c r="N74">
        <v>-6.957573047732471E-2</v>
      </c>
      <c r="O74">
        <v>8093.0704051850835</v>
      </c>
      <c r="P74">
        <v>10476.127479749422</v>
      </c>
      <c r="T74" s="89">
        <v>4.551972415196972</v>
      </c>
      <c r="U74" s="89">
        <v>4.7494980359483128</v>
      </c>
    </row>
    <row r="75" spans="5:21" x14ac:dyDescent="0.25">
      <c r="E75">
        <v>90.53419924616118</v>
      </c>
      <c r="F75">
        <v>104.11432913308536</v>
      </c>
      <c r="G75">
        <v>117.96104540686687</v>
      </c>
      <c r="H75">
        <v>135.65520221789691</v>
      </c>
      <c r="J75">
        <v>-6.9840010009638812E-2</v>
      </c>
      <c r="K75">
        <v>6096.5252538884688</v>
      </c>
      <c r="L75">
        <v>10729.463059149102</v>
      </c>
      <c r="N75">
        <v>-0.11353921281248677</v>
      </c>
      <c r="O75">
        <v>22256.920341463912</v>
      </c>
      <c r="P75">
        <v>13146.919817964461</v>
      </c>
      <c r="T75" s="89">
        <v>4.4786590790049932</v>
      </c>
      <c r="U75" s="89">
        <v>5.0679317432103774</v>
      </c>
    </row>
    <row r="76" spans="5:21" x14ac:dyDescent="0.25">
      <c r="E76">
        <v>98.860492723224553</v>
      </c>
      <c r="F76">
        <v>113.68956663170823</v>
      </c>
      <c r="G76">
        <v>184.19602502260716</v>
      </c>
      <c r="H76">
        <v>211.82542877599823</v>
      </c>
      <c r="J76">
        <v>-8.2279925235527129E-2</v>
      </c>
      <c r="K76">
        <v>8596.7699285125345</v>
      </c>
      <c r="L76">
        <v>11517.228447667423</v>
      </c>
      <c r="N76">
        <v>-0.17808842603880043</v>
      </c>
      <c r="O76">
        <v>61085.519670907757</v>
      </c>
      <c r="P76">
        <v>17170.385874603431</v>
      </c>
      <c r="T76" s="89">
        <v>4.6642413341571185</v>
      </c>
      <c r="U76" s="89">
        <v>5.8381528594241461</v>
      </c>
    </row>
    <row r="77" spans="5:21" x14ac:dyDescent="0.25">
      <c r="E77">
        <v>156.41626753993356</v>
      </c>
      <c r="F77">
        <v>179.87870767092357</v>
      </c>
      <c r="G77">
        <v>163.0481330487184</v>
      </c>
      <c r="H77">
        <v>187.50535300602616</v>
      </c>
      <c r="J77">
        <v>-0.1518975474273106</v>
      </c>
      <c r="K77">
        <v>34270.483647022091</v>
      </c>
      <c r="L77">
        <v>15877.109618914423</v>
      </c>
      <c r="N77">
        <v>-0.16009962394921146</v>
      </c>
      <c r="O77">
        <v>47793.61745253214</v>
      </c>
      <c r="P77">
        <v>16011.221459285762</v>
      </c>
      <c r="T77" s="89">
        <v>5.6361530692179853</v>
      </c>
      <c r="U77" s="89">
        <v>4.6297611247043298</v>
      </c>
    </row>
    <row r="78" spans="5:21" x14ac:dyDescent="0.25">
      <c r="E78">
        <v>104.46858518640816</v>
      </c>
      <c r="F78">
        <v>120.13887296436938</v>
      </c>
      <c r="G78">
        <v>92.459806616896415</v>
      </c>
      <c r="H78">
        <v>106.32877760943087</v>
      </c>
      <c r="J78">
        <v>-9.0320078863397338E-2</v>
      </c>
      <c r="K78">
        <v>10504.530539536321</v>
      </c>
      <c r="L78">
        <v>12019.141040300041</v>
      </c>
      <c r="N78">
        <v>-8.0052531990054396E-2</v>
      </c>
      <c r="O78">
        <v>10706.320621453802</v>
      </c>
      <c r="P78">
        <v>11123.342915081179</v>
      </c>
      <c r="T78" s="89">
        <v>4.7805155220703748</v>
      </c>
      <c r="U78" s="89">
        <v>4.8990151580048922</v>
      </c>
    </row>
    <row r="79" spans="5:21" x14ac:dyDescent="0.25">
      <c r="E79">
        <v>88.49539430612819</v>
      </c>
      <c r="F79">
        <v>101.76970345204742</v>
      </c>
      <c r="G79">
        <v>72.973087883004567</v>
      </c>
      <c r="H79">
        <v>83.91905106545525</v>
      </c>
      <c r="J79">
        <v>-6.6713666746995914E-2</v>
      </c>
      <c r="K79">
        <v>5549.4341740004566</v>
      </c>
      <c r="L79">
        <v>10528.270056337369</v>
      </c>
      <c r="N79">
        <v>-5.0301649170416338E-2</v>
      </c>
      <c r="O79">
        <v>4373.910502684028</v>
      </c>
      <c r="P79">
        <v>9233.6665987422148</v>
      </c>
      <c r="T79" s="89">
        <v>4.4306006041587587</v>
      </c>
      <c r="U79" s="89">
        <v>5.5562596304185465</v>
      </c>
    </row>
    <row r="80" spans="5:21" x14ac:dyDescent="0.25">
      <c r="E80">
        <v>51.008685370558503</v>
      </c>
      <c r="F80">
        <v>58.659988176142278</v>
      </c>
      <c r="G80">
        <v>98.244651538671164</v>
      </c>
      <c r="H80">
        <v>112.98134926947183</v>
      </c>
      <c r="J80">
        <v>-1.2454411634124779E-2</v>
      </c>
      <c r="K80">
        <v>304.16166751407314</v>
      </c>
      <c r="L80">
        <v>6240.1356456529456</v>
      </c>
      <c r="N80">
        <v>-8.8210362484729368E-2</v>
      </c>
      <c r="O80">
        <v>13055.197791480055</v>
      </c>
      <c r="P80">
        <v>11619.997858058834</v>
      </c>
      <c r="T80" s="89">
        <v>3.3141568418756542</v>
      </c>
      <c r="U80" s="89">
        <v>7.2784577329231954</v>
      </c>
    </row>
    <row r="81" spans="5:21" x14ac:dyDescent="0.25">
      <c r="E81">
        <v>412.28655759928108</v>
      </c>
      <c r="F81">
        <v>474.12954123917325</v>
      </c>
      <c r="G81">
        <v>56.087086596575787</v>
      </c>
      <c r="H81">
        <v>64.50014958606215</v>
      </c>
      <c r="J81">
        <v>-0.30418121458909431</v>
      </c>
      <c r="K81">
        <v>205143.27557105033</v>
      </c>
      <c r="L81">
        <v>27794.904727731588</v>
      </c>
      <c r="N81">
        <v>-2.4112065246716431E-2</v>
      </c>
      <c r="O81">
        <v>1266.9750857266424</v>
      </c>
      <c r="P81">
        <v>7277.1923934416882</v>
      </c>
      <c r="T81" s="89">
        <v>8.1276965546627586</v>
      </c>
      <c r="U81" s="89">
        <v>4.7053629631161265</v>
      </c>
    </row>
    <row r="82" spans="5:21" x14ac:dyDescent="0.25">
      <c r="E82">
        <v>112.22157914312618</v>
      </c>
      <c r="F82">
        <v>129.0548160145951</v>
      </c>
      <c r="G82">
        <v>58.982918565157149</v>
      </c>
      <c r="H82">
        <v>67.830356349930724</v>
      </c>
      <c r="J82">
        <v>-0.10095513833901248</v>
      </c>
      <c r="K82">
        <v>13406.829986486584</v>
      </c>
      <c r="L82">
        <v>12678.848355423666</v>
      </c>
      <c r="N82">
        <v>-2.8356276698479392E-2</v>
      </c>
      <c r="O82">
        <v>1637.012312323227</v>
      </c>
      <c r="P82">
        <v>7633.8431447744724</v>
      </c>
      <c r="T82" s="89">
        <v>4.9312729683222134</v>
      </c>
      <c r="U82" s="89">
        <v>5.3913812594726753</v>
      </c>
    </row>
    <row r="83" spans="5:21" x14ac:dyDescent="0.25">
      <c r="E83">
        <v>128.00118643308758</v>
      </c>
      <c r="F83">
        <v>147.20136439805071</v>
      </c>
      <c r="G83">
        <v>51.362496381170146</v>
      </c>
      <c r="H83">
        <v>59.066870838345665</v>
      </c>
      <c r="J83">
        <v>-0.12091290811769839</v>
      </c>
      <c r="K83">
        <v>20121.647085278779</v>
      </c>
      <c r="L83">
        <v>13916.727964697327</v>
      </c>
      <c r="N83">
        <v>-1.7672467161184795E-2</v>
      </c>
      <c r="O83">
        <v>793.09580005992655</v>
      </c>
      <c r="P83">
        <v>6679.2043492401754</v>
      </c>
      <c r="T83" s="89">
        <v>5.2086382924826324</v>
      </c>
      <c r="U83" s="89">
        <v>5.8681018677018892</v>
      </c>
    </row>
    <row r="84" spans="5:21" x14ac:dyDescent="0.25">
      <c r="E84">
        <v>110.94392475695096</v>
      </c>
      <c r="F84">
        <v>127.58551347049361</v>
      </c>
      <c r="G84">
        <v>82.213223447576738</v>
      </c>
      <c r="H84">
        <v>94.545206964713245</v>
      </c>
      <c r="J84">
        <v>-9.924109497573308E-2</v>
      </c>
      <c r="K84">
        <v>12908.77115746414</v>
      </c>
      <c r="L84">
        <v>12572.690228908497</v>
      </c>
      <c r="N84">
        <v>-6.4789005808397179E-2</v>
      </c>
      <c r="O84">
        <v>7042.5786792850749</v>
      </c>
      <c r="P84">
        <v>10175.263733359056</v>
      </c>
      <c r="T84" s="89">
        <v>4.9071626744384318</v>
      </c>
      <c r="U84" s="89">
        <v>5.5277842412466827</v>
      </c>
    </row>
    <row r="85" spans="5:21" x14ac:dyDescent="0.25">
      <c r="E85">
        <v>98.084234562996144</v>
      </c>
      <c r="F85">
        <v>112.79686974744557</v>
      </c>
      <c r="G85">
        <v>55.53347317153149</v>
      </c>
      <c r="H85">
        <v>63.863494147261214</v>
      </c>
      <c r="J85">
        <v>-8.1144656721621147E-2</v>
      </c>
      <c r="K85">
        <v>8346.3646584471735</v>
      </c>
      <c r="L85">
        <v>11445.999161025631</v>
      </c>
      <c r="N85">
        <v>-2.3323324677271193E-2</v>
      </c>
      <c r="O85">
        <v>1203.3658676520515</v>
      </c>
      <c r="P85">
        <v>7208.1137717392467</v>
      </c>
      <c r="T85" s="89">
        <v>4.64762149698557</v>
      </c>
      <c r="U85" s="89">
        <v>5.5446066278462425</v>
      </c>
    </row>
    <row r="86" spans="5:21" x14ac:dyDescent="0.25">
      <c r="E86">
        <v>105.61549208476892</v>
      </c>
      <c r="F86">
        <v>121.45781589748425</v>
      </c>
      <c r="G86">
        <v>49.039771920244675</v>
      </c>
      <c r="H86">
        <v>56.395737708281374</v>
      </c>
      <c r="J86">
        <v>-9.1928680904366622E-2</v>
      </c>
      <c r="K86">
        <v>10915.211493175908</v>
      </c>
      <c r="L86">
        <v>12119.143197421672</v>
      </c>
      <c r="N86">
        <v>-1.4790048505721347E-2</v>
      </c>
      <c r="O86">
        <v>613.54411909952864</v>
      </c>
      <c r="P86">
        <v>6378.8237275459769</v>
      </c>
      <c r="T86" s="89">
        <v>4.803514112287754</v>
      </c>
      <c r="U86" s="89">
        <v>4.9386964826604567</v>
      </c>
    </row>
    <row r="87" spans="5:21" x14ac:dyDescent="0.25">
      <c r="E87">
        <v>178.55697280286901</v>
      </c>
      <c r="F87">
        <v>205.34051872329937</v>
      </c>
      <c r="G87">
        <v>58.806556759618381</v>
      </c>
      <c r="H87">
        <v>67.627540273561138</v>
      </c>
      <c r="J87">
        <v>-0.17255171638565736</v>
      </c>
      <c r="K87">
        <v>46595.7595388962</v>
      </c>
      <c r="L87">
        <v>17233.762960526761</v>
      </c>
      <c r="N87">
        <v>-2.8092694634955565E-2</v>
      </c>
      <c r="O87">
        <v>1612.6438669988331</v>
      </c>
      <c r="P87">
        <v>7612.3543703436226</v>
      </c>
      <c r="T87" s="89">
        <v>5.9256755432877695</v>
      </c>
      <c r="U87" s="89">
        <v>5.7807248072789612</v>
      </c>
    </row>
    <row r="88" spans="5:21" x14ac:dyDescent="0.25">
      <c r="E88">
        <v>97.701408631035164</v>
      </c>
      <c r="F88">
        <v>112.35661992569044</v>
      </c>
      <c r="G88">
        <v>81.270343438089128</v>
      </c>
      <c r="H88">
        <v>93.460894953802494</v>
      </c>
      <c r="J88">
        <v>-8.0582828393419764E-2</v>
      </c>
      <c r="K88">
        <v>8224.1387897155291</v>
      </c>
      <c r="L88">
        <v>11410.708760693224</v>
      </c>
      <c r="N88">
        <v>-6.333666529153513E-2</v>
      </c>
      <c r="O88">
        <v>6740.9656281923781</v>
      </c>
      <c r="P88">
        <v>10083.159487120405</v>
      </c>
      <c r="T88" s="89">
        <v>4.6393759009768099</v>
      </c>
      <c r="U88" s="89">
        <v>3.5964874671803013</v>
      </c>
    </row>
    <row r="89" spans="5:21" x14ac:dyDescent="0.25">
      <c r="E89">
        <v>92.209422546693901</v>
      </c>
      <c r="F89">
        <v>106.04083592869799</v>
      </c>
      <c r="G89">
        <v>46.767718104671758</v>
      </c>
      <c r="H89">
        <v>53.782875820372524</v>
      </c>
      <c r="J89">
        <v>-7.2387136482055386E-2</v>
      </c>
      <c r="K89">
        <v>6565.7661156089498</v>
      </c>
      <c r="L89">
        <v>10892.272522275622</v>
      </c>
      <c r="N89">
        <v>-1.2187699514636188E-2</v>
      </c>
      <c r="O89">
        <v>468.08188004366565</v>
      </c>
      <c r="P89">
        <v>6081.5518617314319</v>
      </c>
      <c r="T89" s="89">
        <v>4.517344490272313</v>
      </c>
      <c r="U89" s="89">
        <v>2.9359108798745113</v>
      </c>
    </row>
    <row r="90" spans="5:21" x14ac:dyDescent="0.25">
      <c r="E90">
        <v>171.8910899871388</v>
      </c>
      <c r="F90">
        <v>197.67475348520961</v>
      </c>
      <c r="G90">
        <v>63.456608060596309</v>
      </c>
      <c r="H90">
        <v>72.975099269685757</v>
      </c>
      <c r="J90">
        <v>-0.16660540108415089</v>
      </c>
      <c r="K90">
        <v>42788.68060270093</v>
      </c>
      <c r="L90">
        <v>16838.003841290993</v>
      </c>
      <c r="N90">
        <v>-3.520953256816578E-2</v>
      </c>
      <c r="O90">
        <v>2337.7884465903408</v>
      </c>
      <c r="P90">
        <v>8168.3175330540444</v>
      </c>
      <c r="T90" s="89">
        <v>5.8416533322891739</v>
      </c>
      <c r="U90" s="89">
        <v>2.2349215248449874</v>
      </c>
    </row>
    <row r="91" spans="5:21" x14ac:dyDescent="0.25">
      <c r="E91">
        <v>126.0199957004961</v>
      </c>
      <c r="F91">
        <v>144.92299505557051</v>
      </c>
      <c r="G91">
        <v>54.794054246763068</v>
      </c>
      <c r="H91">
        <v>63.013162383777527</v>
      </c>
      <c r="J91">
        <v>-0.11852580011022966</v>
      </c>
      <c r="K91">
        <v>19226.082931653993</v>
      </c>
      <c r="L91">
        <v>13768.143525964146</v>
      </c>
      <c r="N91">
        <v>-2.228273343071599E-2</v>
      </c>
      <c r="O91">
        <v>1121.8638138107692</v>
      </c>
      <c r="P91">
        <v>7115.4218805501341</v>
      </c>
      <c r="T91" s="89">
        <v>5.1756879870232488</v>
      </c>
      <c r="U91" s="89">
        <v>1.9648606477902191</v>
      </c>
    </row>
    <row r="92" spans="5:21" x14ac:dyDescent="0.25">
      <c r="E92">
        <v>97.87379447189484</v>
      </c>
      <c r="F92">
        <v>112.55486364267907</v>
      </c>
      <c r="G92">
        <v>71.722615412613223</v>
      </c>
      <c r="H92">
        <v>82.481007724505204</v>
      </c>
      <c r="J92">
        <v>-8.0835977291969507E-2</v>
      </c>
      <c r="K92">
        <v>8279.0728660913046</v>
      </c>
      <c r="L92">
        <v>11426.613301216859</v>
      </c>
      <c r="N92">
        <v>-4.8310938090921268E-2</v>
      </c>
      <c r="O92">
        <v>4063.9472190022079</v>
      </c>
      <c r="P92">
        <v>9099.3267743073775</v>
      </c>
      <c r="T92" s="89">
        <v>4.6430929287187581</v>
      </c>
      <c r="U92" s="89">
        <v>0.97507024371466167</v>
      </c>
    </row>
    <row r="93" spans="5:21" x14ac:dyDescent="0.25">
      <c r="E93">
        <v>86.765678486662551</v>
      </c>
      <c r="F93">
        <v>99.78053025966193</v>
      </c>
      <c r="G93">
        <v>52.151140085186249</v>
      </c>
      <c r="H93">
        <v>59.973811097964187</v>
      </c>
      <c r="J93">
        <v>-6.4040806745783524E-2</v>
      </c>
      <c r="K93">
        <v>5106.3538483849452</v>
      </c>
      <c r="L93">
        <v>10354.908754624554</v>
      </c>
      <c r="N93">
        <v>-1.8697359882342099E-2</v>
      </c>
      <c r="O93">
        <v>861.7000120686597</v>
      </c>
      <c r="P93">
        <v>6780.2952216919639</v>
      </c>
      <c r="T93" s="89">
        <v>4.3889586300301264</v>
      </c>
      <c r="U93" s="89">
        <v>1.0794613626832459</v>
      </c>
    </row>
    <row r="94" spans="5:21" x14ac:dyDescent="0.25">
      <c r="E94">
        <v>125.54495511497964</v>
      </c>
      <c r="F94">
        <v>144.37669838222658</v>
      </c>
      <c r="G94">
        <v>94.143917195114014</v>
      </c>
      <c r="H94">
        <v>108.26550477438111</v>
      </c>
      <c r="J94">
        <v>-0.11794855480344295</v>
      </c>
      <c r="K94">
        <v>19013.422012739713</v>
      </c>
      <c r="L94">
        <v>13732.246134181523</v>
      </c>
      <c r="N94">
        <v>-8.2462659818031331E-2</v>
      </c>
      <c r="O94">
        <v>11370.881804986806</v>
      </c>
      <c r="P94">
        <v>11270.589885149442</v>
      </c>
      <c r="T94" s="89">
        <v>5.1677141931048673</v>
      </c>
      <c r="U94" s="89">
        <v>1.6347501356109821</v>
      </c>
    </row>
    <row r="95" spans="5:21" x14ac:dyDescent="0.25">
      <c r="E95">
        <v>63.635715243564874</v>
      </c>
      <c r="F95">
        <v>73.181072530099613</v>
      </c>
      <c r="G95">
        <v>23.695977872646829</v>
      </c>
      <c r="H95">
        <v>27.250374553543853</v>
      </c>
      <c r="J95">
        <v>-2.8348874012609566E-2</v>
      </c>
      <c r="K95">
        <v>1118.8864205164932</v>
      </c>
      <c r="L95">
        <v>7796.3370560541298</v>
      </c>
      <c r="N95">
        <v>-1.6256891800427449E-4</v>
      </c>
      <c r="O95">
        <v>3.7816850509447071</v>
      </c>
      <c r="P95">
        <v>2981.7559660727907</v>
      </c>
      <c r="T95" s="89">
        <v>3.5952340023296459</v>
      </c>
      <c r="U95" s="89">
        <v>1.5793056226325153</v>
      </c>
    </row>
    <row r="96" spans="5:21" x14ac:dyDescent="0.25">
      <c r="E96">
        <v>45.374167046870255</v>
      </c>
      <c r="F96">
        <v>52.180292103900797</v>
      </c>
      <c r="G96">
        <v>23.659380700459248</v>
      </c>
      <c r="H96">
        <v>27.208287805528137</v>
      </c>
      <c r="J96">
        <v>-7.3136182979334375E-3</v>
      </c>
      <c r="K96">
        <v>142.82886136625007</v>
      </c>
      <c r="L96">
        <v>5526.2192952497035</v>
      </c>
      <c r="N96">
        <v>-1.6031913757448262E-4</v>
      </c>
      <c r="O96">
        <v>3.732743244432311</v>
      </c>
      <c r="P96">
        <v>2976.8580442931516</v>
      </c>
      <c r="T96" s="89">
        <v>2.8076922543113856</v>
      </c>
      <c r="U96" s="89">
        <v>1.7251466489360834</v>
      </c>
    </row>
    <row r="97" spans="5:21" x14ac:dyDescent="0.25">
      <c r="E97">
        <v>9.3917701493143184</v>
      </c>
      <c r="F97">
        <v>10.800535671711467</v>
      </c>
      <c r="G97">
        <v>4.4806239285981446</v>
      </c>
      <c r="H97">
        <v>5.1527175178878659</v>
      </c>
      <c r="J97">
        <v>-1.2093794187033716E-11</v>
      </c>
      <c r="K97">
        <v>1.5517047908398501E-5</v>
      </c>
      <c r="L97">
        <v>1033.7788826820054</v>
      </c>
      <c r="N97">
        <v>-1.314921043200312E-22</v>
      </c>
      <c r="O97">
        <v>1.6080342148201175E-9</v>
      </c>
      <c r="P97">
        <v>503.80125693539622</v>
      </c>
      <c r="T97" s="89">
        <v>1.2930461443400525</v>
      </c>
      <c r="U97" s="89">
        <v>1.9546981893007167</v>
      </c>
    </row>
    <row r="98" spans="5:21" x14ac:dyDescent="0.25">
      <c r="G98">
        <v>2.616486916054825</v>
      </c>
      <c r="H98">
        <v>3.0089599534630489</v>
      </c>
      <c r="N98">
        <v>-1.3939707520758116E-39</v>
      </c>
      <c r="O98">
        <v>1.4683335150571345E-14</v>
      </c>
      <c r="P98">
        <v>283.08081896035372</v>
      </c>
      <c r="T98" t="e">
        <v>#DIV/0!</v>
      </c>
      <c r="U98" s="89">
        <v>1.3042425162369444</v>
      </c>
    </row>
    <row r="99" spans="5:21" x14ac:dyDescent="0.25">
      <c r="G99">
        <v>6.1732939090829859</v>
      </c>
      <c r="H99">
        <v>7.099287995445434</v>
      </c>
      <c r="N99">
        <v>-2.7466944447417839E-16</v>
      </c>
      <c r="O99">
        <v>4.3601868346211656E-7</v>
      </c>
      <c r="P99">
        <v>709.87603070340685</v>
      </c>
      <c r="T99" t="e">
        <v>#DIV/0!</v>
      </c>
      <c r="U99" s="89">
        <v>1.1296285700024657</v>
      </c>
    </row>
    <row r="100" spans="5:21" x14ac:dyDescent="0.25">
      <c r="G100">
        <v>7.3245479534893709</v>
      </c>
      <c r="H100">
        <v>8.4232301465127772</v>
      </c>
      <c r="N100">
        <v>-1.0479297013715404E-13</v>
      </c>
      <c r="O100">
        <v>6.1833141607784185E-6</v>
      </c>
      <c r="P100">
        <v>852.27631702582266</v>
      </c>
      <c r="T100" t="e">
        <v>#DIV/0!</v>
      </c>
      <c r="U100" s="89">
        <v>1.1203140331282742</v>
      </c>
    </row>
    <row r="101" spans="5:21" x14ac:dyDescent="0.25">
      <c r="G101">
        <v>11.837062581141607</v>
      </c>
      <c r="H101">
        <v>13.612621968312848</v>
      </c>
      <c r="N101">
        <v>-1.5204197079383139E-8</v>
      </c>
      <c r="O101">
        <v>3.6162945141026233E-3</v>
      </c>
      <c r="P101">
        <v>1423.0406848694427</v>
      </c>
      <c r="T101">
        <v>0.29329779661420519</v>
      </c>
      <c r="U101" s="89">
        <v>1.3204643010913459</v>
      </c>
    </row>
    <row r="102" spans="5:21" x14ac:dyDescent="0.25">
      <c r="G102">
        <v>10.526171042522988</v>
      </c>
      <c r="H102">
        <v>12.105096698901436</v>
      </c>
      <c r="N102">
        <v>-1.4233266321687691E-9</v>
      </c>
      <c r="O102">
        <v>8.7054769900283744E-4</v>
      </c>
      <c r="P102">
        <v>1255.4805052207682</v>
      </c>
      <c r="T102" t="e">
        <v>#DIV/0!</v>
      </c>
      <c r="U102" s="89">
        <v>1.0515196130803119</v>
      </c>
    </row>
    <row r="103" spans="5:21" x14ac:dyDescent="0.25">
      <c r="G103">
        <v>16.038734393991966</v>
      </c>
      <c r="H103">
        <v>18.444544553090761</v>
      </c>
      <c r="N103">
        <v>-2.0657105018352319E-6</v>
      </c>
      <c r="O103">
        <v>0.10119141139831782</v>
      </c>
      <c r="P103">
        <v>1967.5887356016415</v>
      </c>
      <c r="T103" t="e">
        <v>#DIV/0!</v>
      </c>
    </row>
    <row r="104" spans="5:21" x14ac:dyDescent="0.25">
      <c r="G104">
        <v>9.4275267208366103</v>
      </c>
      <c r="H104">
        <v>10.841655728962103</v>
      </c>
      <c r="N104">
        <v>-1.1537469976973893E-10</v>
      </c>
      <c r="O104">
        <v>2.1188023451449323E-4</v>
      </c>
      <c r="P104">
        <v>1116.0757054612629</v>
      </c>
      <c r="T104" t="e">
        <v>#DIV/0!</v>
      </c>
    </row>
    <row r="105" spans="5:21" x14ac:dyDescent="0.25">
      <c r="G105">
        <v>10.222104339390425</v>
      </c>
      <c r="H105">
        <v>11.755419990298989</v>
      </c>
      <c r="N105">
        <v>-7.5091840775998413E-10</v>
      </c>
      <c r="O105">
        <v>6.0225382062418565E-4</v>
      </c>
      <c r="P105">
        <v>1216.799694258563</v>
      </c>
      <c r="T105" t="e">
        <v>#DIV/0!</v>
      </c>
    </row>
    <row r="106" spans="5:21" x14ac:dyDescent="0.25">
      <c r="G106">
        <v>9.3533479160877651</v>
      </c>
      <c r="H106">
        <v>10.75635010350093</v>
      </c>
      <c r="N106">
        <v>-9.5247584141005972E-11</v>
      </c>
      <c r="O106">
        <v>1.9091562397812031E-4</v>
      </c>
      <c r="P106">
        <v>1106.6997754211409</v>
      </c>
    </row>
    <row r="107" spans="5:21" x14ac:dyDescent="0.25">
      <c r="G107">
        <v>11.248617520663425</v>
      </c>
      <c r="H107">
        <v>12.935910148762938</v>
      </c>
      <c r="N107">
        <v>-5.63515873318203E-9</v>
      </c>
      <c r="O107">
        <v>1.9673572856897799E-3</v>
      </c>
      <c r="P107">
        <v>1347.6690812676936</v>
      </c>
    </row>
    <row r="108" spans="5:21" x14ac:dyDescent="0.25">
      <c r="G108">
        <v>23.074666421872248</v>
      </c>
      <c r="H108">
        <v>26.535866385153085</v>
      </c>
      <c r="N108">
        <v>-1.2752277046419177E-4</v>
      </c>
      <c r="O108">
        <v>3.0188458434890739</v>
      </c>
      <c r="P108">
        <v>2898.6586557022588</v>
      </c>
    </row>
    <row r="109" spans="5:21" x14ac:dyDescent="0.25">
      <c r="G109">
        <v>6.7336219696581052</v>
      </c>
      <c r="H109">
        <v>7.743665265106821</v>
      </c>
      <c r="N109">
        <v>-6.4493295715074906E-15</v>
      </c>
      <c r="O109">
        <v>1.7241858276035062E-6</v>
      </c>
      <c r="P109">
        <v>778.98379069397572</v>
      </c>
    </row>
    <row r="110" spans="5:21" x14ac:dyDescent="0.25">
      <c r="G110">
        <v>9.3061675767194458</v>
      </c>
      <c r="H110">
        <v>10.702092713227362</v>
      </c>
      <c r="N110">
        <v>-8.4175270311329131E-11</v>
      </c>
      <c r="O110">
        <v>1.7855972520540127E-4</v>
      </c>
      <c r="P110">
        <v>1100.7388540866002</v>
      </c>
    </row>
    <row r="111" spans="5:21" x14ac:dyDescent="0.25">
      <c r="G111">
        <v>14.374669977532546</v>
      </c>
      <c r="H111">
        <v>16.530870474162427</v>
      </c>
      <c r="N111">
        <v>-4.2114852108407741E-7</v>
      </c>
      <c r="O111">
        <v>3.218947629261585E-2</v>
      </c>
      <c r="P111">
        <v>1750.6869970679068</v>
      </c>
    </row>
    <row r="112" spans="5:21" x14ac:dyDescent="0.25">
      <c r="G112">
        <v>11.933118849095806</v>
      </c>
      <c r="H112">
        <v>13.723086676460177</v>
      </c>
      <c r="N112">
        <v>-1.7707331489907572E-8</v>
      </c>
      <c r="O112">
        <v>3.9771669459558448E-3</v>
      </c>
      <c r="P112">
        <v>1435.3672598153307</v>
      </c>
    </row>
    <row r="113" spans="7:16" x14ac:dyDescent="0.25">
      <c r="G113">
        <v>11.208896553766765</v>
      </c>
      <c r="H113">
        <v>12.89023103683178</v>
      </c>
      <c r="N113">
        <v>-5.2495227784035855E-9</v>
      </c>
      <c r="O113">
        <v>1.8849464025670044E-3</v>
      </c>
      <c r="P113">
        <v>1342.5903313931453</v>
      </c>
    </row>
    <row r="114" spans="7:16" x14ac:dyDescent="0.25">
      <c r="G114">
        <v>9.3833748355102564</v>
      </c>
      <c r="H114">
        <v>10.790881060836796</v>
      </c>
      <c r="N114">
        <v>-1.0297213811342721E-10</v>
      </c>
      <c r="O114">
        <v>1.9916901980974877E-4</v>
      </c>
      <c r="P114">
        <v>1110.4944908079638</v>
      </c>
    </row>
    <row r="115" spans="7:16" x14ac:dyDescent="0.25">
      <c r="G115">
        <v>63.463574337018329</v>
      </c>
      <c r="H115">
        <v>72.983110487571082</v>
      </c>
      <c r="N115">
        <v>-3.5220406947521481E-2</v>
      </c>
      <c r="O115">
        <v>2339.0058752651016</v>
      </c>
      <c r="P115">
        <v>8169.1334429669514</v>
      </c>
    </row>
    <row r="116" spans="7:16" x14ac:dyDescent="0.25">
      <c r="G116">
        <v>3.4050936916160515</v>
      </c>
      <c r="H116">
        <v>3.9158577453584593</v>
      </c>
      <c r="N116">
        <v>-4.7624038755727747E-30</v>
      </c>
      <c r="O116">
        <v>6.298621458429561E-12</v>
      </c>
      <c r="P116">
        <v>375.46784932623387</v>
      </c>
    </row>
    <row r="117" spans="7:16" x14ac:dyDescent="0.25">
      <c r="G117">
        <v>8.8362651601711679</v>
      </c>
      <c r="H117">
        <v>10.161704934196843</v>
      </c>
      <c r="N117">
        <v>-2.2814718022656777E-11</v>
      </c>
      <c r="O117">
        <v>8.9110266546560152E-5</v>
      </c>
      <c r="P117">
        <v>1041.4782253606443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9400-97C7-4CCF-9131-8B7E4A5EB96B}">
  <dimension ref="B1:U239"/>
  <sheetViews>
    <sheetView tabSelected="1" topLeftCell="P89" zoomScale="70" zoomScaleNormal="70" workbookViewId="0">
      <selection activeCell="AT102" sqref="AT102"/>
    </sheetView>
  </sheetViews>
  <sheetFormatPr defaultRowHeight="15" x14ac:dyDescent="0.25"/>
  <cols>
    <col min="5" max="5" width="12.42578125" customWidth="1"/>
    <col min="6" max="6" width="12.28515625" customWidth="1"/>
    <col min="7" max="7" width="14.85546875" customWidth="1"/>
    <col min="8" max="8" width="17.42578125" customWidth="1"/>
    <col min="9" max="9" width="18.140625" customWidth="1"/>
    <col min="10" max="10" width="17.7109375" customWidth="1"/>
    <col min="11" max="11" width="15.28515625" customWidth="1"/>
    <col min="12" max="14" width="17" customWidth="1"/>
    <col min="15" max="18" width="18" customWidth="1"/>
    <col min="19" max="19" width="17.7109375" customWidth="1"/>
    <col min="20" max="22" width="17.85546875" customWidth="1"/>
  </cols>
  <sheetData>
    <row r="1" spans="11:13" x14ac:dyDescent="0.25">
      <c r="K1" s="120">
        <v>0.82638888888888884</v>
      </c>
      <c r="L1" s="31">
        <v>0</v>
      </c>
    </row>
    <row r="2" spans="11:13" x14ac:dyDescent="0.25">
      <c r="K2" s="120">
        <v>0.84027777777777779</v>
      </c>
      <c r="L2" s="31">
        <v>26</v>
      </c>
      <c r="M2">
        <f>(L2/5)/1000</f>
        <v>5.1999999999999998E-3</v>
      </c>
    </row>
    <row r="3" spans="11:13" x14ac:dyDescent="0.25">
      <c r="K3" s="120">
        <v>0.84375</v>
      </c>
      <c r="L3" s="31">
        <v>5</v>
      </c>
      <c r="M3" s="89">
        <f t="shared" ref="M3:M22" si="0">(L3/5)/1000</f>
        <v>1E-3</v>
      </c>
    </row>
    <row r="4" spans="11:13" x14ac:dyDescent="0.25">
      <c r="K4" s="120">
        <v>0.85416666666666663</v>
      </c>
      <c r="L4" s="31">
        <v>24</v>
      </c>
      <c r="M4">
        <f t="shared" si="0"/>
        <v>4.7999999999999996E-3</v>
      </c>
    </row>
    <row r="5" spans="11:13" x14ac:dyDescent="0.25">
      <c r="K5" s="120">
        <v>0.86458333333333337</v>
      </c>
      <c r="L5" s="31">
        <v>22</v>
      </c>
      <c r="M5">
        <f t="shared" si="0"/>
        <v>4.4000000000000003E-3</v>
      </c>
    </row>
    <row r="6" spans="11:13" x14ac:dyDescent="0.25">
      <c r="K6" s="120">
        <v>0.875</v>
      </c>
      <c r="L6" s="31">
        <v>14</v>
      </c>
      <c r="M6">
        <f t="shared" si="0"/>
        <v>2.8E-3</v>
      </c>
    </row>
    <row r="7" spans="11:13" x14ac:dyDescent="0.25">
      <c r="K7" s="120">
        <v>0.88888888888888884</v>
      </c>
      <c r="L7" s="31">
        <v>14</v>
      </c>
      <c r="M7">
        <f t="shared" si="0"/>
        <v>2.8E-3</v>
      </c>
    </row>
    <row r="8" spans="11:13" x14ac:dyDescent="0.25">
      <c r="K8" s="120">
        <v>0.89930555555555547</v>
      </c>
      <c r="L8" s="31">
        <v>13</v>
      </c>
      <c r="M8">
        <f t="shared" si="0"/>
        <v>2.5999999999999999E-3</v>
      </c>
    </row>
    <row r="9" spans="11:13" x14ac:dyDescent="0.25">
      <c r="K9" s="120">
        <v>0.90972222222222221</v>
      </c>
      <c r="L9" s="31">
        <v>13</v>
      </c>
      <c r="M9">
        <f t="shared" si="0"/>
        <v>2.5999999999999999E-3</v>
      </c>
    </row>
    <row r="10" spans="11:13" x14ac:dyDescent="0.25">
      <c r="K10" s="120">
        <v>0.92013888888888884</v>
      </c>
      <c r="L10" s="31">
        <v>11</v>
      </c>
      <c r="M10">
        <f t="shared" si="0"/>
        <v>2.2000000000000001E-3</v>
      </c>
    </row>
    <row r="11" spans="11:13" x14ac:dyDescent="0.25">
      <c r="K11" s="120">
        <v>0.93055555555555547</v>
      </c>
      <c r="L11" s="31">
        <v>11</v>
      </c>
      <c r="M11">
        <f t="shared" si="0"/>
        <v>2.2000000000000001E-3</v>
      </c>
    </row>
    <row r="12" spans="11:13" x14ac:dyDescent="0.25">
      <c r="K12" s="120">
        <v>0.94097222222222221</v>
      </c>
      <c r="L12" s="31">
        <v>11</v>
      </c>
      <c r="M12">
        <f t="shared" si="0"/>
        <v>2.2000000000000001E-3</v>
      </c>
    </row>
    <row r="13" spans="11:13" x14ac:dyDescent="0.25">
      <c r="K13" s="120">
        <v>0.95138888888888895</v>
      </c>
      <c r="L13" s="31">
        <v>12</v>
      </c>
      <c r="M13">
        <f t="shared" si="0"/>
        <v>2.3999999999999998E-3</v>
      </c>
    </row>
    <row r="14" spans="11:13" x14ac:dyDescent="0.25">
      <c r="K14" s="120">
        <v>0.96180555555555602</v>
      </c>
      <c r="L14" s="31">
        <v>12</v>
      </c>
      <c r="M14">
        <f t="shared" si="0"/>
        <v>2.3999999999999998E-3</v>
      </c>
    </row>
    <row r="15" spans="11:13" x14ac:dyDescent="0.25">
      <c r="K15" s="120">
        <v>0.97222222222222199</v>
      </c>
      <c r="L15" s="31">
        <v>13</v>
      </c>
      <c r="M15">
        <f t="shared" si="0"/>
        <v>2.5999999999999999E-3</v>
      </c>
    </row>
    <row r="16" spans="11:13" x14ac:dyDescent="0.25">
      <c r="K16" s="120">
        <v>0.98263888888888895</v>
      </c>
      <c r="L16" s="31">
        <v>12</v>
      </c>
      <c r="M16">
        <f t="shared" si="0"/>
        <v>2.3999999999999998E-3</v>
      </c>
    </row>
    <row r="17" spans="2:21" x14ac:dyDescent="0.25">
      <c r="K17" s="120">
        <v>0.99305555555555602</v>
      </c>
      <c r="L17" s="31">
        <v>13</v>
      </c>
      <c r="M17">
        <f t="shared" si="0"/>
        <v>2.5999999999999999E-3</v>
      </c>
    </row>
    <row r="18" spans="2:21" x14ac:dyDescent="0.25">
      <c r="K18" s="120">
        <v>1.0034722222222201</v>
      </c>
      <c r="L18" s="31">
        <v>12</v>
      </c>
      <c r="M18">
        <f t="shared" si="0"/>
        <v>2.3999999999999998E-3</v>
      </c>
    </row>
    <row r="19" spans="2:21" x14ac:dyDescent="0.25">
      <c r="K19" s="120">
        <v>1.0138888888888899</v>
      </c>
      <c r="L19" s="31">
        <v>13</v>
      </c>
      <c r="M19">
        <f t="shared" si="0"/>
        <v>2.5999999999999999E-3</v>
      </c>
    </row>
    <row r="20" spans="2:21" x14ac:dyDescent="0.25">
      <c r="K20" s="120">
        <v>1.02430555555556</v>
      </c>
      <c r="L20" s="31">
        <v>20</v>
      </c>
      <c r="M20">
        <f t="shared" si="0"/>
        <v>4.0000000000000001E-3</v>
      </c>
    </row>
    <row r="21" spans="2:21" x14ac:dyDescent="0.25">
      <c r="K21" s="120">
        <v>1.0347222222222201</v>
      </c>
      <c r="L21" s="31">
        <v>22</v>
      </c>
      <c r="M21">
        <f t="shared" si="0"/>
        <v>4.4000000000000003E-3</v>
      </c>
    </row>
    <row r="22" spans="2:21" x14ac:dyDescent="0.25">
      <c r="K22" s="120">
        <v>1.0451388888888899</v>
      </c>
      <c r="L22" s="31">
        <v>20</v>
      </c>
      <c r="M22">
        <f t="shared" si="0"/>
        <v>4.0000000000000001E-3</v>
      </c>
    </row>
    <row r="28" spans="2:21" ht="15" customHeight="1" x14ac:dyDescent="0.25">
      <c r="B28" s="272" t="s">
        <v>52</v>
      </c>
      <c r="C28" s="272" t="s">
        <v>53</v>
      </c>
      <c r="D28" s="272" t="s">
        <v>54</v>
      </c>
      <c r="E28" s="459" t="s">
        <v>152</v>
      </c>
      <c r="F28" s="459"/>
      <c r="G28" s="140" t="s">
        <v>255</v>
      </c>
      <c r="H28" s="455" t="s">
        <v>250</v>
      </c>
      <c r="I28" s="455" t="s">
        <v>251</v>
      </c>
      <c r="J28" s="455" t="s">
        <v>252</v>
      </c>
      <c r="K28" s="455" t="s">
        <v>253</v>
      </c>
      <c r="L28" s="455" t="s">
        <v>254</v>
      </c>
      <c r="M28" s="455" t="s">
        <v>258</v>
      </c>
      <c r="N28" s="455" t="s">
        <v>259</v>
      </c>
      <c r="O28" s="455" t="s">
        <v>261</v>
      </c>
      <c r="P28" s="455" t="s">
        <v>262</v>
      </c>
      <c r="Q28" s="455" t="s">
        <v>260</v>
      </c>
      <c r="R28" s="455" t="s">
        <v>263</v>
      </c>
      <c r="S28" s="455" t="s">
        <v>264</v>
      </c>
      <c r="T28" s="455" t="s">
        <v>265</v>
      </c>
      <c r="U28" s="455" t="s">
        <v>327</v>
      </c>
    </row>
    <row r="29" spans="2:21" ht="15.75" x14ac:dyDescent="0.25">
      <c r="B29" s="272"/>
      <c r="C29" s="272"/>
      <c r="D29" s="272"/>
      <c r="E29" s="140"/>
      <c r="F29" s="140"/>
      <c r="G29" s="140" t="s">
        <v>256</v>
      </c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</row>
    <row r="30" spans="2:21" ht="15" customHeight="1" x14ac:dyDescent="0.25">
      <c r="B30" s="13">
        <v>1</v>
      </c>
      <c r="C30" s="456" t="s">
        <v>81</v>
      </c>
      <c r="D30" s="456" t="s">
        <v>82</v>
      </c>
      <c r="E30" s="54">
        <v>0.82638888888888884</v>
      </c>
      <c r="F30" s="54">
        <v>0.82638888888888884</v>
      </c>
      <c r="G30" s="21">
        <v>0.01</v>
      </c>
      <c r="H30" s="153">
        <f>'Testing DF8 (3)'!CA31</f>
        <v>0</v>
      </c>
      <c r="I30" s="31">
        <v>4.7999999999999996E-3</v>
      </c>
      <c r="J30" s="153">
        <f>H30+I30</f>
        <v>4.7999999999999996E-3</v>
      </c>
      <c r="K30" s="31" t="s">
        <v>257</v>
      </c>
      <c r="L30" s="31">
        <v>3.206</v>
      </c>
      <c r="M30" s="31">
        <v>2877</v>
      </c>
      <c r="N30" s="154">
        <f>((J30*L30)/(M30*G30))*10^6</f>
        <v>534.89051094890499</v>
      </c>
      <c r="O30" s="154">
        <f t="shared" ref="O30:O93" si="1">0.76*Q30</f>
        <v>39.418231757313258</v>
      </c>
      <c r="P30" s="154">
        <f t="shared" ref="P30:P93" si="2">0.92*Q30</f>
        <v>47.716806864116052</v>
      </c>
      <c r="Q30" s="154">
        <f t="shared" ref="Q30:Q93" si="3">2023*M30^(-0.46)</f>
        <v>51.866094417517445</v>
      </c>
      <c r="R30" s="154">
        <f t="shared" ref="R30:R93" si="4">1.14*Q30</f>
        <v>59.127347635969883</v>
      </c>
      <c r="S30" s="154">
        <f t="shared" ref="S30:S93" si="5">1.3*Q30</f>
        <v>67.425922742772684</v>
      </c>
      <c r="T30" s="29" t="str">
        <f t="shared" ref="T30:T93" si="6">IF(N30&lt;=O30,"A",IF((AND(N30&lt;=P30,N30&gt;O30)),"B",IF((AND(N30&lt;=Q30,N30&gt;P30)),"C",IF((AND(N30&lt;=R30,N30&gt;Q30)),"D","E"))))</f>
        <v>E</v>
      </c>
      <c r="U30" s="16">
        <f>((SUM($J$30:J30)*L30/(M30*SUM($G$30:G30))))*10^6</f>
        <v>534.89051094890499</v>
      </c>
    </row>
    <row r="31" spans="2:21" ht="15.75" x14ac:dyDescent="0.25">
      <c r="B31" s="13">
        <v>2</v>
      </c>
      <c r="C31" s="456"/>
      <c r="D31" s="456"/>
      <c r="E31" s="54">
        <v>0.84027777777777779</v>
      </c>
      <c r="F31" s="54">
        <v>0.84027777777777779</v>
      </c>
      <c r="G31" s="21">
        <v>0.01</v>
      </c>
      <c r="H31" s="153">
        <v>0</v>
      </c>
      <c r="I31" s="31">
        <v>4.7999999999999996E-3</v>
      </c>
      <c r="J31" s="153">
        <f t="shared" ref="J31:J94" si="7">H31+I31</f>
        <v>4.7999999999999996E-3</v>
      </c>
      <c r="K31" s="31" t="s">
        <v>257</v>
      </c>
      <c r="L31" s="31">
        <v>3.206</v>
      </c>
      <c r="M31" s="31">
        <v>2877</v>
      </c>
      <c r="N31" s="154">
        <f t="shared" ref="N31" si="8">((J31*L31)/(M31*G31))*10^6</f>
        <v>534.89051094890499</v>
      </c>
      <c r="O31" s="154">
        <f t="shared" si="1"/>
        <v>39.418231757313258</v>
      </c>
      <c r="P31" s="154">
        <f t="shared" si="2"/>
        <v>47.716806864116052</v>
      </c>
      <c r="Q31" s="154">
        <f t="shared" si="3"/>
        <v>51.866094417517445</v>
      </c>
      <c r="R31" s="154">
        <f t="shared" si="4"/>
        <v>59.127347635969883</v>
      </c>
      <c r="S31" s="154">
        <f t="shared" si="5"/>
        <v>67.425922742772684</v>
      </c>
      <c r="T31" s="29" t="str">
        <f t="shared" si="6"/>
        <v>E</v>
      </c>
      <c r="U31" s="16">
        <f>((SUM($J$30:J31)*L31/(M31*SUM($G$30:G31))))*10^6</f>
        <v>534.89051094890499</v>
      </c>
    </row>
    <row r="32" spans="2:21" ht="15.75" x14ac:dyDescent="0.25">
      <c r="B32" s="13">
        <v>3</v>
      </c>
      <c r="C32" s="456"/>
      <c r="D32" s="456"/>
      <c r="E32" s="255">
        <v>0.84375</v>
      </c>
      <c r="F32" s="55">
        <v>0.84375</v>
      </c>
      <c r="G32" s="21">
        <f>'Testing DF8 (3)'!N33</f>
        <v>6.3954858739204715E-2</v>
      </c>
      <c r="H32" s="153">
        <v>0</v>
      </c>
      <c r="I32" s="31">
        <v>4.7999999999999996E-3</v>
      </c>
      <c r="J32" s="153">
        <f t="shared" si="7"/>
        <v>4.7999999999999996E-3</v>
      </c>
      <c r="K32" s="31" t="s">
        <v>257</v>
      </c>
      <c r="L32" s="31">
        <v>3.206</v>
      </c>
      <c r="M32" s="31">
        <v>2877</v>
      </c>
      <c r="N32" s="154">
        <f>((J32*L32)/(M32*G32))*10^6</f>
        <v>83.635633240952501</v>
      </c>
      <c r="O32" s="154">
        <f t="shared" si="1"/>
        <v>39.418231757313258</v>
      </c>
      <c r="P32" s="154">
        <f t="shared" si="2"/>
        <v>47.716806864116052</v>
      </c>
      <c r="Q32" s="154">
        <f t="shared" si="3"/>
        <v>51.866094417517445</v>
      </c>
      <c r="R32" s="154">
        <f t="shared" si="4"/>
        <v>59.127347635969883</v>
      </c>
      <c r="S32" s="154">
        <f t="shared" si="5"/>
        <v>67.425922742772684</v>
      </c>
      <c r="T32" s="29" t="str">
        <f t="shared" si="6"/>
        <v>E</v>
      </c>
      <c r="U32" s="16">
        <f>((SUM($J$30:J32)*L32/(M32*SUM($G$30:G32))))*10^6</f>
        <v>191.13504053784749</v>
      </c>
    </row>
    <row r="33" spans="2:21" ht="15.75" x14ac:dyDescent="0.25">
      <c r="B33" s="13">
        <v>4</v>
      </c>
      <c r="C33" s="456"/>
      <c r="D33" s="456"/>
      <c r="E33" s="256"/>
      <c r="F33" s="55">
        <v>0.84583333333333333</v>
      </c>
      <c r="G33" s="21">
        <f>'Testing DF8 (3)'!N34</f>
        <v>3.3632428014500879E-2</v>
      </c>
      <c r="H33" s="153">
        <f>'Testing DF8 (3)'!CA34</f>
        <v>9.3582989939745062E-6</v>
      </c>
      <c r="I33" s="31">
        <v>4.7999999999999996E-3</v>
      </c>
      <c r="J33" s="153">
        <f t="shared" si="7"/>
        <v>4.8093582989939742E-3</v>
      </c>
      <c r="K33" s="31" t="s">
        <v>257</v>
      </c>
      <c r="L33" s="31">
        <v>3.206</v>
      </c>
      <c r="M33" s="31">
        <v>2877</v>
      </c>
      <c r="N33" s="154">
        <f t="shared" ref="N33:N96" si="9">((J33*L33)/(M33*G33))*10^6</f>
        <v>159.35018359711864</v>
      </c>
      <c r="O33" s="154">
        <f t="shared" si="1"/>
        <v>39.418231757313258</v>
      </c>
      <c r="P33" s="154">
        <f t="shared" si="2"/>
        <v>47.716806864116052</v>
      </c>
      <c r="Q33" s="154">
        <f t="shared" si="3"/>
        <v>51.866094417517445</v>
      </c>
      <c r="R33" s="154">
        <f t="shared" si="4"/>
        <v>59.127347635969883</v>
      </c>
      <c r="S33" s="154">
        <f t="shared" si="5"/>
        <v>67.425922742772684</v>
      </c>
      <c r="T33" s="29" t="str">
        <f t="shared" si="6"/>
        <v>E</v>
      </c>
      <c r="U33" s="16">
        <f>((SUM($J$30:J33)*L33/(M33*SUM($G$30:G33))))*10^6</f>
        <v>182.04390541157005</v>
      </c>
    </row>
    <row r="34" spans="2:21" ht="15.75" x14ac:dyDescent="0.25">
      <c r="B34" s="13">
        <v>5</v>
      </c>
      <c r="C34" s="456"/>
      <c r="D34" s="456"/>
      <c r="E34" s="256"/>
      <c r="F34" s="55">
        <v>0.84791666666666676</v>
      </c>
      <c r="G34" s="21">
        <f>'Testing DF8 (3)'!N35</f>
        <v>3.344195135383863E-2</v>
      </c>
      <c r="H34" s="153">
        <f>'Testing DF8 (3)'!CA35</f>
        <v>9.2083542464914384E-6</v>
      </c>
      <c r="I34" s="31">
        <v>4.7999999999999996E-3</v>
      </c>
      <c r="J34" s="153">
        <f t="shared" si="7"/>
        <v>4.8092083542464912E-3</v>
      </c>
      <c r="K34" s="31" t="s">
        <v>257</v>
      </c>
      <c r="L34" s="31">
        <v>3.206</v>
      </c>
      <c r="M34" s="31">
        <v>2877</v>
      </c>
      <c r="N34" s="154">
        <f t="shared" si="9"/>
        <v>160.25280434476502</v>
      </c>
      <c r="O34" s="154">
        <f t="shared" si="1"/>
        <v>39.418231757313258</v>
      </c>
      <c r="P34" s="154">
        <f t="shared" si="2"/>
        <v>47.716806864116052</v>
      </c>
      <c r="Q34" s="154">
        <f t="shared" si="3"/>
        <v>51.866094417517445</v>
      </c>
      <c r="R34" s="154">
        <f t="shared" si="4"/>
        <v>59.127347635969883</v>
      </c>
      <c r="S34" s="154">
        <f t="shared" si="5"/>
        <v>67.425922742772684</v>
      </c>
      <c r="T34" s="29" t="str">
        <f t="shared" si="6"/>
        <v>E</v>
      </c>
      <c r="U34" s="16">
        <f>((SUM($J$30:J34)*L34/(M34*SUM($G$30:G34))))*10^6</f>
        <v>177.21876723995484</v>
      </c>
    </row>
    <row r="35" spans="2:21" ht="15.75" x14ac:dyDescent="0.25">
      <c r="B35" s="13">
        <v>6</v>
      </c>
      <c r="C35" s="456"/>
      <c r="D35" s="456"/>
      <c r="E35" s="256"/>
      <c r="F35" s="55">
        <v>0.85</v>
      </c>
      <c r="G35" s="21">
        <f>'Testing DF8 (3)'!N36</f>
        <v>3.2117181255037659E-2</v>
      </c>
      <c r="H35" s="153">
        <f>'Testing DF8 (3)'!CA36</f>
        <v>8.2084203087202165E-6</v>
      </c>
      <c r="I35" s="31">
        <v>4.7999999999999996E-3</v>
      </c>
      <c r="J35" s="153">
        <f t="shared" si="7"/>
        <v>4.8082084203087197E-3</v>
      </c>
      <c r="K35" s="31" t="s">
        <v>257</v>
      </c>
      <c r="L35" s="31">
        <v>3.206</v>
      </c>
      <c r="M35" s="31">
        <v>2877</v>
      </c>
      <c r="N35" s="154">
        <f t="shared" si="9"/>
        <v>166.82822079098472</v>
      </c>
      <c r="O35" s="154">
        <f t="shared" si="1"/>
        <v>39.418231757313258</v>
      </c>
      <c r="P35" s="154">
        <f t="shared" si="2"/>
        <v>47.716806864116052</v>
      </c>
      <c r="Q35" s="154">
        <f t="shared" si="3"/>
        <v>51.866094417517445</v>
      </c>
      <c r="R35" s="154">
        <f t="shared" si="4"/>
        <v>59.127347635969883</v>
      </c>
      <c r="S35" s="154">
        <f t="shared" si="5"/>
        <v>67.425922742772684</v>
      </c>
      <c r="T35" s="29" t="str">
        <f t="shared" si="6"/>
        <v>E</v>
      </c>
      <c r="U35" s="16">
        <f>((SUM($J$30:J35)*L35/(M35*SUM($G$30:G35))))*10^6</f>
        <v>175.3966455473664</v>
      </c>
    </row>
    <row r="36" spans="2:21" ht="15.75" x14ac:dyDescent="0.25">
      <c r="B36" s="13">
        <v>7</v>
      </c>
      <c r="C36" s="456"/>
      <c r="D36" s="456"/>
      <c r="E36" s="257"/>
      <c r="F36" s="55">
        <v>0.8520833333333333</v>
      </c>
      <c r="G36" s="21">
        <f>'Testing DF8 (3)'!N37</f>
        <v>3.3717445107655633E-2</v>
      </c>
      <c r="H36" s="153">
        <f>'Testing DF8 (3)'!CA37</f>
        <v>9.4257329008050512E-6</v>
      </c>
      <c r="I36" s="31">
        <v>4.7999999999999996E-3</v>
      </c>
      <c r="J36" s="153">
        <f t="shared" si="7"/>
        <v>4.8094257329008043E-3</v>
      </c>
      <c r="K36" s="31" t="s">
        <v>257</v>
      </c>
      <c r="L36" s="31">
        <v>3.206</v>
      </c>
      <c r="M36" s="31">
        <v>2877</v>
      </c>
      <c r="N36" s="154">
        <f t="shared" si="9"/>
        <v>158.95061761478351</v>
      </c>
      <c r="O36" s="154">
        <f t="shared" si="1"/>
        <v>39.418231757313258</v>
      </c>
      <c r="P36" s="154">
        <f t="shared" si="2"/>
        <v>47.716806864116052</v>
      </c>
      <c r="Q36" s="154">
        <f t="shared" si="3"/>
        <v>51.866094417517445</v>
      </c>
      <c r="R36" s="154">
        <f t="shared" si="4"/>
        <v>59.127347635969883</v>
      </c>
      <c r="S36" s="154">
        <f t="shared" si="5"/>
        <v>67.425922742772684</v>
      </c>
      <c r="T36" s="29" t="str">
        <f t="shared" si="6"/>
        <v>E</v>
      </c>
      <c r="U36" s="16">
        <f>((SUM($J$30:J36)*L36/(M36*SUM($G$30:G36))))*10^6</f>
        <v>172.83965872334923</v>
      </c>
    </row>
    <row r="37" spans="2:21" ht="15.75" x14ac:dyDescent="0.25">
      <c r="B37" s="13">
        <v>8</v>
      </c>
      <c r="C37" s="456"/>
      <c r="D37" s="456"/>
      <c r="E37" s="340">
        <v>0.85416666666666663</v>
      </c>
      <c r="F37" s="110">
        <v>0.85416666666666663</v>
      </c>
      <c r="G37" s="21">
        <f>'Testing DF8 (3)'!N38</f>
        <v>3.7305160631119903E-2</v>
      </c>
      <c r="H37" s="153">
        <f>'Testing DF8 (3)'!CA38</f>
        <v>1.2566280622242919E-5</v>
      </c>
      <c r="I37" s="31">
        <v>4.7999999999999996E-3</v>
      </c>
      <c r="J37" s="153">
        <f t="shared" si="7"/>
        <v>4.8125662806222423E-3</v>
      </c>
      <c r="K37" s="31" t="s">
        <v>257</v>
      </c>
      <c r="L37" s="31">
        <v>3.206</v>
      </c>
      <c r="M37" s="31">
        <v>2877</v>
      </c>
      <c r="N37" s="154">
        <f t="shared" si="9"/>
        <v>143.75781579031013</v>
      </c>
      <c r="O37" s="154">
        <f t="shared" si="1"/>
        <v>39.418231757313258</v>
      </c>
      <c r="P37" s="154">
        <f t="shared" si="2"/>
        <v>47.716806864116052</v>
      </c>
      <c r="Q37" s="154">
        <f t="shared" si="3"/>
        <v>51.866094417517445</v>
      </c>
      <c r="R37" s="154">
        <f t="shared" si="4"/>
        <v>59.127347635969883</v>
      </c>
      <c r="S37" s="154">
        <f t="shared" si="5"/>
        <v>67.425922742772684</v>
      </c>
      <c r="T37" s="29" t="str">
        <f t="shared" si="6"/>
        <v>E</v>
      </c>
      <c r="U37" s="16">
        <f>((SUM($J$30:J37)*L37/(M37*SUM($G$30:G37))))*10^6</f>
        <v>168.57122821088464</v>
      </c>
    </row>
    <row r="38" spans="2:21" ht="15.75" x14ac:dyDescent="0.25">
      <c r="B38" s="13">
        <v>9</v>
      </c>
      <c r="C38" s="456"/>
      <c r="D38" s="456"/>
      <c r="E38" s="341"/>
      <c r="F38" s="110">
        <v>0.85624999999999996</v>
      </c>
      <c r="G38" s="21">
        <f>'Testing DF8 (3)'!N39</f>
        <v>3.6527198402232182E-2</v>
      </c>
      <c r="H38" s="153">
        <f>'Testing DF8 (3)'!CA39</f>
        <v>1.1835235332737907E-5</v>
      </c>
      <c r="I38" s="31">
        <v>4.7999999999999996E-3</v>
      </c>
      <c r="J38" s="153">
        <f t="shared" si="7"/>
        <v>4.8118352353327372E-3</v>
      </c>
      <c r="K38" s="31" t="s">
        <v>257</v>
      </c>
      <c r="L38" s="31">
        <v>3.206</v>
      </c>
      <c r="M38" s="31">
        <v>2877</v>
      </c>
      <c r="N38" s="154">
        <f t="shared" si="9"/>
        <v>146.79729079814192</v>
      </c>
      <c r="O38" s="154">
        <f t="shared" si="1"/>
        <v>39.418231757313258</v>
      </c>
      <c r="P38" s="154">
        <f t="shared" si="2"/>
        <v>47.716806864116052</v>
      </c>
      <c r="Q38" s="154">
        <f t="shared" si="3"/>
        <v>51.866094417517445</v>
      </c>
      <c r="R38" s="154">
        <f t="shared" si="4"/>
        <v>59.127347635969883</v>
      </c>
      <c r="S38" s="154">
        <f t="shared" si="5"/>
        <v>67.425922742772684</v>
      </c>
      <c r="T38" s="29" t="str">
        <f t="shared" si="6"/>
        <v>E</v>
      </c>
      <c r="U38" s="16">
        <f>((SUM($J$30:J38)*L38/(M38*SUM($G$30:G38))))*10^6</f>
        <v>165.83524174952899</v>
      </c>
    </row>
    <row r="39" spans="2:21" ht="15.75" x14ac:dyDescent="0.25">
      <c r="B39" s="13">
        <v>10</v>
      </c>
      <c r="C39" s="456"/>
      <c r="D39" s="456"/>
      <c r="E39" s="341"/>
      <c r="F39" s="110">
        <v>0.85833333333333295</v>
      </c>
      <c r="G39" s="21">
        <f>'Testing DF8 (3)'!N40</f>
        <v>6.0947248637642545E-2</v>
      </c>
      <c r="H39" s="153">
        <f>'Testing DF8 (3)'!CA40</f>
        <v>5.0734035453049411E-5</v>
      </c>
      <c r="I39" s="31">
        <v>4.7999999999999996E-3</v>
      </c>
      <c r="J39" s="153">
        <f t="shared" si="7"/>
        <v>4.8507340354530491E-3</v>
      </c>
      <c r="K39" s="31" t="s">
        <v>257</v>
      </c>
      <c r="L39" s="31">
        <v>3.206</v>
      </c>
      <c r="M39" s="31">
        <v>2877</v>
      </c>
      <c r="N39" s="154">
        <f t="shared" si="9"/>
        <v>88.690481820284234</v>
      </c>
      <c r="O39" s="154">
        <f t="shared" si="1"/>
        <v>39.418231757313258</v>
      </c>
      <c r="P39" s="154">
        <f t="shared" si="2"/>
        <v>47.716806864116052</v>
      </c>
      <c r="Q39" s="154">
        <f t="shared" si="3"/>
        <v>51.866094417517445</v>
      </c>
      <c r="R39" s="154">
        <f t="shared" si="4"/>
        <v>59.127347635969883</v>
      </c>
      <c r="S39" s="154">
        <f t="shared" si="5"/>
        <v>67.425922742772684</v>
      </c>
      <c r="T39" s="29" t="str">
        <f t="shared" si="6"/>
        <v>E</v>
      </c>
      <c r="U39" s="16">
        <f>((SUM($J$30:J39)*L39/(M39*SUM($G$30:G39))))*10^6</f>
        <v>152.46442375632441</v>
      </c>
    </row>
    <row r="40" spans="2:21" ht="15.75" x14ac:dyDescent="0.25">
      <c r="B40" s="13">
        <v>11</v>
      </c>
      <c r="C40" s="456"/>
      <c r="D40" s="456"/>
      <c r="E40" s="341"/>
      <c r="F40" s="110">
        <v>0.86041666666666705</v>
      </c>
      <c r="G40" s="21">
        <f>'Testing DF8 (3)'!N41</f>
        <v>0.35961118326867875</v>
      </c>
      <c r="H40" s="153">
        <f>'Testing DF8 (3)'!CA41</f>
        <v>7.3572550591898857E-3</v>
      </c>
      <c r="I40" s="31">
        <v>4.7999999999999996E-3</v>
      </c>
      <c r="J40" s="153">
        <f t="shared" si="7"/>
        <v>1.2157255059189884E-2</v>
      </c>
      <c r="K40" s="31" t="s">
        <v>257</v>
      </c>
      <c r="L40" s="31">
        <v>3.206</v>
      </c>
      <c r="M40" s="31">
        <v>2877</v>
      </c>
      <c r="N40" s="154">
        <f t="shared" si="9"/>
        <v>37.672634784087982</v>
      </c>
      <c r="O40" s="154">
        <f t="shared" si="1"/>
        <v>39.418231757313258</v>
      </c>
      <c r="P40" s="154">
        <f t="shared" si="2"/>
        <v>47.716806864116052</v>
      </c>
      <c r="Q40" s="154">
        <f t="shared" si="3"/>
        <v>51.866094417517445</v>
      </c>
      <c r="R40" s="154">
        <f t="shared" si="4"/>
        <v>59.127347635969883</v>
      </c>
      <c r="S40" s="154">
        <f t="shared" si="5"/>
        <v>67.425922742772684</v>
      </c>
      <c r="T40" s="29" t="str">
        <f t="shared" si="6"/>
        <v>A</v>
      </c>
      <c r="U40" s="16">
        <f>((SUM($J$30:J40)*L40/(M40*SUM($G$30:G40))))*10^6</f>
        <v>94.425561377218216</v>
      </c>
    </row>
    <row r="41" spans="2:21" ht="15.75" x14ac:dyDescent="0.25">
      <c r="B41" s="13">
        <v>12</v>
      </c>
      <c r="C41" s="456"/>
      <c r="D41" s="456"/>
      <c r="E41" s="342"/>
      <c r="F41" s="110">
        <v>0.86250000000000004</v>
      </c>
      <c r="G41" s="21">
        <f>'Testing DF8 (3)'!N42</f>
        <v>0.34191694715460402</v>
      </c>
      <c r="H41" s="153">
        <f>'Testing DF8 (3)'!CA42</f>
        <v>6.3823586488773254E-3</v>
      </c>
      <c r="I41" s="31">
        <v>4.7999999999999996E-3</v>
      </c>
      <c r="J41" s="153">
        <f t="shared" si="7"/>
        <v>1.1182358648877325E-2</v>
      </c>
      <c r="K41" s="31" t="s">
        <v>257</v>
      </c>
      <c r="L41" s="31">
        <v>3.206</v>
      </c>
      <c r="M41" s="31">
        <v>2877</v>
      </c>
      <c r="N41" s="154">
        <f t="shared" si="9"/>
        <v>36.444873413265675</v>
      </c>
      <c r="O41" s="154">
        <f t="shared" si="1"/>
        <v>39.418231757313258</v>
      </c>
      <c r="P41" s="154">
        <f t="shared" si="2"/>
        <v>47.716806864116052</v>
      </c>
      <c r="Q41" s="154">
        <f t="shared" si="3"/>
        <v>51.866094417517445</v>
      </c>
      <c r="R41" s="154">
        <f t="shared" si="4"/>
        <v>59.127347635969883</v>
      </c>
      <c r="S41" s="154">
        <f t="shared" si="5"/>
        <v>67.425922742772684</v>
      </c>
      <c r="T41" s="29" t="str">
        <f t="shared" si="6"/>
        <v>A</v>
      </c>
      <c r="U41" s="16">
        <f>((SUM($J$30:J41)*L41/(M41*SUM($G$30:G41))))*10^6</f>
        <v>75.601867523068819</v>
      </c>
    </row>
    <row r="42" spans="2:21" ht="15.75" x14ac:dyDescent="0.25">
      <c r="B42" s="13">
        <v>13</v>
      </c>
      <c r="C42" s="456"/>
      <c r="D42" s="456"/>
      <c r="E42" s="340">
        <v>0.86458333333333337</v>
      </c>
      <c r="F42" s="110">
        <v>0.86458333333333504</v>
      </c>
      <c r="G42" s="21">
        <f>'Testing DF8 (3)'!N43</f>
        <v>0.38510306469609584</v>
      </c>
      <c r="H42" s="153">
        <f>'Testing DF8 (3)'!CA43</f>
        <v>8.9578370950900085E-3</v>
      </c>
      <c r="I42" s="31">
        <v>4.4000000000000003E-3</v>
      </c>
      <c r="J42" s="153">
        <f t="shared" si="7"/>
        <v>1.335783709509001E-2</v>
      </c>
      <c r="K42" s="31" t="s">
        <v>257</v>
      </c>
      <c r="L42" s="31">
        <v>3.206</v>
      </c>
      <c r="M42" s="31">
        <v>2877</v>
      </c>
      <c r="N42" s="154">
        <f t="shared" si="9"/>
        <v>38.652965941529807</v>
      </c>
      <c r="O42" s="154">
        <f t="shared" si="1"/>
        <v>39.418231757313258</v>
      </c>
      <c r="P42" s="154">
        <f t="shared" si="2"/>
        <v>47.716806864116052</v>
      </c>
      <c r="Q42" s="154">
        <f t="shared" si="3"/>
        <v>51.866094417517445</v>
      </c>
      <c r="R42" s="154">
        <f t="shared" si="4"/>
        <v>59.127347635969883</v>
      </c>
      <c r="S42" s="154">
        <f t="shared" si="5"/>
        <v>67.425922742772684</v>
      </c>
      <c r="T42" s="29" t="str">
        <f t="shared" si="6"/>
        <v>A</v>
      </c>
      <c r="U42" s="16">
        <f>((SUM($J$30:J42)*L42/(M42*SUM($G$30:G42))))*10^6</f>
        <v>65.708670096942697</v>
      </c>
    </row>
    <row r="43" spans="2:21" ht="15.75" x14ac:dyDescent="0.25">
      <c r="B43" s="13">
        <v>14</v>
      </c>
      <c r="C43" s="456"/>
      <c r="D43" s="456"/>
      <c r="E43" s="341"/>
      <c r="F43" s="110">
        <v>0.86666666666666903</v>
      </c>
      <c r="G43" s="21">
        <f>'Testing DF8 (3)'!N44</f>
        <v>0.28397191318476422</v>
      </c>
      <c r="H43" s="153">
        <f>'Testing DF8 (3)'!CA44</f>
        <v>2.8290317332652056E-3</v>
      </c>
      <c r="I43" s="31">
        <v>4.4000000000000003E-3</v>
      </c>
      <c r="J43" s="153">
        <f t="shared" si="7"/>
        <v>7.2290317332652058E-3</v>
      </c>
      <c r="K43" s="31" t="s">
        <v>257</v>
      </c>
      <c r="L43" s="31">
        <v>3.206</v>
      </c>
      <c r="M43" s="31">
        <v>2877</v>
      </c>
      <c r="N43" s="154">
        <f t="shared" si="9"/>
        <v>28.367979205131583</v>
      </c>
      <c r="O43" s="154">
        <f t="shared" si="1"/>
        <v>39.418231757313258</v>
      </c>
      <c r="P43" s="154">
        <f t="shared" si="2"/>
        <v>47.716806864116052</v>
      </c>
      <c r="Q43" s="154">
        <f t="shared" si="3"/>
        <v>51.866094417517445</v>
      </c>
      <c r="R43" s="154">
        <f t="shared" si="4"/>
        <v>59.127347635969883</v>
      </c>
      <c r="S43" s="154">
        <f t="shared" si="5"/>
        <v>67.425922742772684</v>
      </c>
      <c r="T43" s="29" t="str">
        <f t="shared" si="6"/>
        <v>A</v>
      </c>
      <c r="U43" s="16">
        <f>((SUM($J$30:J43)*L43/(M43*SUM($G$30:G43))))*10^6</f>
        <v>59.551765764784655</v>
      </c>
    </row>
    <row r="44" spans="2:21" ht="15.75" x14ac:dyDescent="0.25">
      <c r="B44" s="13">
        <v>15</v>
      </c>
      <c r="C44" s="456"/>
      <c r="D44" s="456"/>
      <c r="E44" s="341"/>
      <c r="F44" s="110">
        <v>0.86875000000000302</v>
      </c>
      <c r="G44" s="21">
        <f>'Testing DF8 (3)'!N45</f>
        <v>0.31371944838443833</v>
      </c>
      <c r="H44" s="153">
        <f>'Testing DF8 (3)'!CA45</f>
        <v>3.1296631256333908E-3</v>
      </c>
      <c r="I44" s="31">
        <v>4.4000000000000003E-3</v>
      </c>
      <c r="J44" s="153">
        <f t="shared" si="7"/>
        <v>7.5296631256333915E-3</v>
      </c>
      <c r="K44" s="31" t="s">
        <v>257</v>
      </c>
      <c r="L44" s="31">
        <v>3.206</v>
      </c>
      <c r="M44" s="31">
        <v>2877</v>
      </c>
      <c r="N44" s="154">
        <f t="shared" si="9"/>
        <v>26.745933463825676</v>
      </c>
      <c r="O44" s="154">
        <f t="shared" si="1"/>
        <v>39.418231757313258</v>
      </c>
      <c r="P44" s="154">
        <f t="shared" si="2"/>
        <v>47.716806864116052</v>
      </c>
      <c r="Q44" s="154">
        <f t="shared" si="3"/>
        <v>51.866094417517445</v>
      </c>
      <c r="R44" s="154">
        <f t="shared" si="4"/>
        <v>59.127347635969883</v>
      </c>
      <c r="S44" s="154">
        <f t="shared" si="5"/>
        <v>67.425922742772684</v>
      </c>
      <c r="T44" s="29" t="str">
        <f t="shared" si="6"/>
        <v>A</v>
      </c>
      <c r="U44" s="16">
        <f>((SUM($J$30:J44)*L44/(M44*SUM($G$30:G44))))*10^6</f>
        <v>54.496756266829252</v>
      </c>
    </row>
    <row r="45" spans="2:21" ht="15.75" x14ac:dyDescent="0.25">
      <c r="B45" s="13">
        <v>16</v>
      </c>
      <c r="C45" s="456"/>
      <c r="D45" s="456"/>
      <c r="E45" s="341"/>
      <c r="F45" s="110">
        <v>0.87083333333333801</v>
      </c>
      <c r="G45" s="21">
        <f>'Testing DF8 (3)'!N46</f>
        <v>0.36566142684896175</v>
      </c>
      <c r="H45" s="153">
        <f>'Testing DF8 (3)'!CA46</f>
        <v>4.8795784503901304E-3</v>
      </c>
      <c r="I45" s="31">
        <v>4.4000000000000003E-3</v>
      </c>
      <c r="J45" s="153">
        <f t="shared" si="7"/>
        <v>9.2795784503901316E-3</v>
      </c>
      <c r="K45" s="31" t="s">
        <v>257</v>
      </c>
      <c r="L45" s="31">
        <v>3.206</v>
      </c>
      <c r="M45" s="31">
        <v>2877</v>
      </c>
      <c r="N45" s="154">
        <f t="shared" si="9"/>
        <v>28.279566915518593</v>
      </c>
      <c r="O45" s="154">
        <f t="shared" si="1"/>
        <v>39.418231757313258</v>
      </c>
      <c r="P45" s="154">
        <f t="shared" si="2"/>
        <v>47.716806864116052</v>
      </c>
      <c r="Q45" s="154">
        <f t="shared" si="3"/>
        <v>51.866094417517445</v>
      </c>
      <c r="R45" s="154">
        <f t="shared" si="4"/>
        <v>59.127347635969883</v>
      </c>
      <c r="S45" s="154">
        <f t="shared" si="5"/>
        <v>67.425922742772684</v>
      </c>
      <c r="T45" s="29" t="str">
        <f t="shared" si="6"/>
        <v>A</v>
      </c>
      <c r="U45" s="16">
        <f>((SUM($J$30:J45)*L45/(M45*SUM($G$30:G45))))*10^6</f>
        <v>50.505040214657377</v>
      </c>
    </row>
    <row r="46" spans="2:21" ht="15.75" x14ac:dyDescent="0.25">
      <c r="B46" s="13">
        <v>17</v>
      </c>
      <c r="C46" s="456"/>
      <c r="D46" s="456"/>
      <c r="E46" s="342"/>
      <c r="F46" s="110">
        <v>0.872916666666672</v>
      </c>
      <c r="G46" s="21">
        <f>'Testing DF8 (3)'!N47</f>
        <v>0.38346925612521304</v>
      </c>
      <c r="H46" s="153">
        <f>'Testing DF8 (3)'!CA47</f>
        <v>5.606813494140577E-3</v>
      </c>
      <c r="I46" s="31">
        <v>4.4000000000000003E-3</v>
      </c>
      <c r="J46" s="153">
        <f t="shared" si="7"/>
        <v>1.0006813494140577E-2</v>
      </c>
      <c r="K46" s="31" t="s">
        <v>257</v>
      </c>
      <c r="L46" s="31">
        <v>3.206</v>
      </c>
      <c r="M46" s="31">
        <v>2877</v>
      </c>
      <c r="N46" s="154">
        <f t="shared" si="9"/>
        <v>29.079632294256964</v>
      </c>
      <c r="O46" s="154">
        <f t="shared" si="1"/>
        <v>39.418231757313258</v>
      </c>
      <c r="P46" s="154">
        <f t="shared" si="2"/>
        <v>47.716806864116052</v>
      </c>
      <c r="Q46" s="154">
        <f t="shared" si="3"/>
        <v>51.866094417517445</v>
      </c>
      <c r="R46" s="154">
        <f t="shared" si="4"/>
        <v>59.127347635969883</v>
      </c>
      <c r="S46" s="154">
        <f t="shared" si="5"/>
        <v>67.425922742772684</v>
      </c>
      <c r="T46" s="29" t="str">
        <f t="shared" si="6"/>
        <v>A</v>
      </c>
      <c r="U46" s="16">
        <f>((SUM($J$30:J46)*L46/(M46*SUM($G$30:G46))))*10^6</f>
        <v>47.555058189762647</v>
      </c>
    </row>
    <row r="47" spans="2:21" ht="15.75" x14ac:dyDescent="0.25">
      <c r="B47" s="13">
        <v>18</v>
      </c>
      <c r="C47" s="456"/>
      <c r="D47" s="456"/>
      <c r="E47" s="340">
        <v>0.875</v>
      </c>
      <c r="F47" s="110">
        <v>0.87500000000000799</v>
      </c>
      <c r="G47" s="21">
        <f>'Testing DF8 (3)'!N48</f>
        <v>0.39063725108529074</v>
      </c>
      <c r="H47" s="153">
        <f>'Testing DF8 (3)'!CA48</f>
        <v>7.0195638513148081E-3</v>
      </c>
      <c r="I47" s="31">
        <v>2.8E-3</v>
      </c>
      <c r="J47" s="153">
        <f t="shared" si="7"/>
        <v>9.8195638513148085E-3</v>
      </c>
      <c r="K47" s="31" t="s">
        <v>257</v>
      </c>
      <c r="L47" s="31">
        <v>3.206</v>
      </c>
      <c r="M47" s="31">
        <v>2877</v>
      </c>
      <c r="N47" s="154">
        <f t="shared" si="9"/>
        <v>28.011876273601029</v>
      </c>
      <c r="O47" s="154">
        <f t="shared" si="1"/>
        <v>39.418231757313258</v>
      </c>
      <c r="P47" s="154">
        <f t="shared" si="2"/>
        <v>47.716806864116052</v>
      </c>
      <c r="Q47" s="154">
        <f t="shared" si="3"/>
        <v>51.866094417517445</v>
      </c>
      <c r="R47" s="154">
        <f t="shared" si="4"/>
        <v>59.127347635969883</v>
      </c>
      <c r="S47" s="154">
        <f t="shared" si="5"/>
        <v>67.425922742772684</v>
      </c>
      <c r="T47" s="29" t="str">
        <f t="shared" si="6"/>
        <v>A</v>
      </c>
      <c r="U47" s="16">
        <f>((SUM($J$30:J47)*L47/(M47*SUM($G$30:G47))))*10^6</f>
        <v>45.151111590204458</v>
      </c>
    </row>
    <row r="48" spans="2:21" ht="15.75" x14ac:dyDescent="0.25">
      <c r="B48" s="13">
        <v>19</v>
      </c>
      <c r="C48" s="456"/>
      <c r="D48" s="456"/>
      <c r="E48" s="341"/>
      <c r="F48" s="110">
        <v>0.87708333333334298</v>
      </c>
      <c r="G48" s="21">
        <f>'Testing DF8 (3)'!N49</f>
        <v>0.53426540648724996</v>
      </c>
      <c r="H48" s="153">
        <f>'Testing DF8 (3)'!CA49</f>
        <v>1.8908503845574434E-2</v>
      </c>
      <c r="I48" s="31">
        <v>2.8E-3</v>
      </c>
      <c r="J48" s="153">
        <f t="shared" si="7"/>
        <v>2.1708503845574434E-2</v>
      </c>
      <c r="K48" s="31" t="s">
        <v>257</v>
      </c>
      <c r="L48" s="31">
        <v>3.206</v>
      </c>
      <c r="M48" s="31">
        <v>2877</v>
      </c>
      <c r="N48" s="154">
        <f t="shared" si="9"/>
        <v>45.278965336104157</v>
      </c>
      <c r="O48" s="154">
        <f t="shared" si="1"/>
        <v>39.418231757313258</v>
      </c>
      <c r="P48" s="154">
        <f t="shared" si="2"/>
        <v>47.716806864116052</v>
      </c>
      <c r="Q48" s="154">
        <f t="shared" si="3"/>
        <v>51.866094417517445</v>
      </c>
      <c r="R48" s="154">
        <f t="shared" si="4"/>
        <v>59.127347635969883</v>
      </c>
      <c r="S48" s="154">
        <f t="shared" si="5"/>
        <v>67.425922742772684</v>
      </c>
      <c r="T48" s="29" t="str">
        <f t="shared" si="6"/>
        <v>B</v>
      </c>
      <c r="U48" s="16">
        <f>((SUM($J$30:J48)*L48/(M48*SUM($G$30:G48))))*10^6</f>
        <v>45.169523408300137</v>
      </c>
    </row>
    <row r="49" spans="2:21" ht="15.75" x14ac:dyDescent="0.25">
      <c r="B49" s="13">
        <v>20</v>
      </c>
      <c r="C49" s="456"/>
      <c r="D49" s="456"/>
      <c r="E49" s="341"/>
      <c r="F49" s="110">
        <v>0.87916666666667798</v>
      </c>
      <c r="G49" s="21">
        <f>'Testing DF8 (3)'!N50</f>
        <v>0.43839515276578939</v>
      </c>
      <c r="H49" s="153">
        <f>'Testing DF8 (3)'!CA50</f>
        <v>9.8834936180160326E-3</v>
      </c>
      <c r="I49" s="31">
        <v>2.8E-3</v>
      </c>
      <c r="J49" s="153">
        <f t="shared" si="7"/>
        <v>1.2683493618016033E-2</v>
      </c>
      <c r="K49" s="31" t="s">
        <v>257</v>
      </c>
      <c r="L49" s="31">
        <v>3.206</v>
      </c>
      <c r="M49" s="31">
        <v>2877</v>
      </c>
      <c r="N49" s="154">
        <f t="shared" si="9"/>
        <v>32.240131701371723</v>
      </c>
      <c r="O49" s="154">
        <f t="shared" si="1"/>
        <v>39.418231757313258</v>
      </c>
      <c r="P49" s="154">
        <f t="shared" si="2"/>
        <v>47.716806864116052</v>
      </c>
      <c r="Q49" s="154">
        <f t="shared" si="3"/>
        <v>51.866094417517445</v>
      </c>
      <c r="R49" s="154">
        <f t="shared" si="4"/>
        <v>59.127347635969883</v>
      </c>
      <c r="S49" s="154">
        <f t="shared" si="5"/>
        <v>67.425922742772684</v>
      </c>
      <c r="T49" s="29" t="str">
        <f t="shared" si="6"/>
        <v>A</v>
      </c>
      <c r="U49" s="16">
        <f>((SUM($J$30:J49)*L49/(M49*SUM($G$30:G49))))*10^6</f>
        <v>43.803167671816219</v>
      </c>
    </row>
    <row r="50" spans="2:21" ht="15.75" x14ac:dyDescent="0.25">
      <c r="B50" s="13">
        <v>21</v>
      </c>
      <c r="C50" s="456"/>
      <c r="D50" s="456"/>
      <c r="E50" s="341"/>
      <c r="F50" s="110">
        <v>0.88125000000001297</v>
      </c>
      <c r="G50" s="21">
        <f>'Testing DF8 (3)'!N51</f>
        <v>0.36878388433188691</v>
      </c>
      <c r="H50" s="153">
        <f>'Testing DF8 (3)'!CA51</f>
        <v>5.9448719985258887E-3</v>
      </c>
      <c r="I50" s="31">
        <v>2.8E-3</v>
      </c>
      <c r="J50" s="153">
        <f t="shared" si="7"/>
        <v>8.7448719985258883E-3</v>
      </c>
      <c r="K50" s="31" t="s">
        <v>257</v>
      </c>
      <c r="L50" s="31">
        <v>3.206</v>
      </c>
      <c r="M50" s="31">
        <v>2877</v>
      </c>
      <c r="N50" s="154">
        <f t="shared" si="9"/>
        <v>26.424402668496711</v>
      </c>
      <c r="O50" s="154">
        <f t="shared" si="1"/>
        <v>39.418231757313258</v>
      </c>
      <c r="P50" s="154">
        <f t="shared" si="2"/>
        <v>47.716806864116052</v>
      </c>
      <c r="Q50" s="154">
        <f t="shared" si="3"/>
        <v>51.866094417517445</v>
      </c>
      <c r="R50" s="154">
        <f t="shared" si="4"/>
        <v>59.127347635969883</v>
      </c>
      <c r="S50" s="154">
        <f t="shared" si="5"/>
        <v>67.425922742772684</v>
      </c>
      <c r="T50" s="29" t="str">
        <f t="shared" si="6"/>
        <v>A</v>
      </c>
      <c r="U50" s="16">
        <f>((SUM($J$30:J50)*L50/(M50*SUM($G$30:G50))))*10^6</f>
        <v>42.384359759861809</v>
      </c>
    </row>
    <row r="51" spans="2:21" ht="15.75" x14ac:dyDescent="0.25">
      <c r="B51" s="13">
        <v>22</v>
      </c>
      <c r="C51" s="456"/>
      <c r="D51" s="456"/>
      <c r="E51" s="341"/>
      <c r="F51" s="110">
        <v>0.88333333333334796</v>
      </c>
      <c r="G51" s="21">
        <f>'Testing DF8 (3)'!N52</f>
        <v>0.45130356602307603</v>
      </c>
      <c r="H51" s="153">
        <f>'Testing DF8 (3)'!CA52</f>
        <v>1.080536666166077E-2</v>
      </c>
      <c r="I51" s="31">
        <v>2.8E-3</v>
      </c>
      <c r="J51" s="153">
        <f t="shared" si="7"/>
        <v>1.360536666166077E-2</v>
      </c>
      <c r="K51" s="31" t="s">
        <v>257</v>
      </c>
      <c r="L51" s="31">
        <v>3.206</v>
      </c>
      <c r="M51" s="31">
        <v>2877</v>
      </c>
      <c r="N51" s="154">
        <f t="shared" si="9"/>
        <v>33.59426481968579</v>
      </c>
      <c r="O51" s="154">
        <f t="shared" si="1"/>
        <v>39.418231757313258</v>
      </c>
      <c r="P51" s="154">
        <f t="shared" si="2"/>
        <v>47.716806864116052</v>
      </c>
      <c r="Q51" s="154">
        <f t="shared" si="3"/>
        <v>51.866094417517445</v>
      </c>
      <c r="R51" s="154">
        <f t="shared" si="4"/>
        <v>59.127347635969883</v>
      </c>
      <c r="S51" s="154">
        <f t="shared" si="5"/>
        <v>67.425922742772684</v>
      </c>
      <c r="T51" s="29" t="str">
        <f t="shared" si="6"/>
        <v>A</v>
      </c>
      <c r="U51" s="16">
        <f>((SUM($J$30:J51)*L51/(M51*SUM($G$30:G51))))*10^6</f>
        <v>41.585926513219896</v>
      </c>
    </row>
    <row r="52" spans="2:21" ht="15.75" x14ac:dyDescent="0.25">
      <c r="B52" s="13">
        <v>23</v>
      </c>
      <c r="C52" s="456"/>
      <c r="D52" s="456"/>
      <c r="E52" s="341"/>
      <c r="F52" s="110">
        <v>0.88541666666668295</v>
      </c>
      <c r="G52" s="21">
        <f>'Testing DF8 (3)'!N53</f>
        <v>0.46483910701633846</v>
      </c>
      <c r="H52" s="153">
        <f>'Testing DF8 (3)'!CA53</f>
        <v>1.1853424119919163E-2</v>
      </c>
      <c r="I52" s="31">
        <v>2.8E-3</v>
      </c>
      <c r="J52" s="153">
        <f t="shared" si="7"/>
        <v>1.4653424119919163E-2</v>
      </c>
      <c r="K52" s="31" t="s">
        <v>257</v>
      </c>
      <c r="L52" s="31">
        <v>3.206</v>
      </c>
      <c r="M52" s="31">
        <v>2877</v>
      </c>
      <c r="N52" s="154">
        <f t="shared" si="9"/>
        <v>35.128541415133292</v>
      </c>
      <c r="O52" s="154">
        <f t="shared" si="1"/>
        <v>39.418231757313258</v>
      </c>
      <c r="P52" s="154">
        <f t="shared" si="2"/>
        <v>47.716806864116052</v>
      </c>
      <c r="Q52" s="154">
        <f t="shared" si="3"/>
        <v>51.866094417517445</v>
      </c>
      <c r="R52" s="154">
        <f t="shared" si="4"/>
        <v>59.127347635969883</v>
      </c>
      <c r="S52" s="154">
        <f t="shared" si="5"/>
        <v>67.425922742772684</v>
      </c>
      <c r="T52" s="29" t="str">
        <f t="shared" si="6"/>
        <v>A</v>
      </c>
      <c r="U52" s="16">
        <f>((SUM($J$30:J52)*L52/(M52*SUM($G$30:G52))))*10^6</f>
        <v>41.03347524469963</v>
      </c>
    </row>
    <row r="53" spans="2:21" ht="15.75" x14ac:dyDescent="0.25">
      <c r="B53" s="13">
        <v>24</v>
      </c>
      <c r="C53" s="456"/>
      <c r="D53" s="456"/>
      <c r="E53" s="342"/>
      <c r="F53" s="110">
        <v>0.88750000000001805</v>
      </c>
      <c r="G53" s="21">
        <f>'Testing DF8 (3)'!N54</f>
        <v>0.40158220208861145</v>
      </c>
      <c r="H53" s="153">
        <f>'Testing DF8 (3)'!CA54</f>
        <v>7.6088098425460765E-3</v>
      </c>
      <c r="I53" s="31">
        <v>2.8E-3</v>
      </c>
      <c r="J53" s="153">
        <f t="shared" si="7"/>
        <v>1.0408809842546076E-2</v>
      </c>
      <c r="K53" s="31" t="s">
        <v>257</v>
      </c>
      <c r="L53" s="31">
        <v>3.206</v>
      </c>
      <c r="M53" s="31">
        <v>2877</v>
      </c>
      <c r="N53" s="154">
        <f t="shared" si="9"/>
        <v>28.883530290170338</v>
      </c>
      <c r="O53" s="154">
        <f t="shared" si="1"/>
        <v>39.418231757313258</v>
      </c>
      <c r="P53" s="154">
        <f t="shared" si="2"/>
        <v>47.716806864116052</v>
      </c>
      <c r="Q53" s="154">
        <f t="shared" si="3"/>
        <v>51.866094417517445</v>
      </c>
      <c r="R53" s="154">
        <f t="shared" si="4"/>
        <v>59.127347635969883</v>
      </c>
      <c r="S53" s="154">
        <f t="shared" si="5"/>
        <v>67.425922742772684</v>
      </c>
      <c r="T53" s="29" t="str">
        <f t="shared" si="6"/>
        <v>A</v>
      </c>
      <c r="U53" s="16">
        <f>((SUM($J$30:J53)*L53/(M53*SUM($G$30:G53))))*10^6</f>
        <v>40.197265728514559</v>
      </c>
    </row>
    <row r="54" spans="2:21" ht="15.75" x14ac:dyDescent="0.25">
      <c r="B54" s="13">
        <v>25</v>
      </c>
      <c r="C54" s="456"/>
      <c r="D54" s="456"/>
      <c r="E54" s="255">
        <v>0.88888888888888884</v>
      </c>
      <c r="F54" s="54">
        <v>0.88888888888888884</v>
      </c>
      <c r="G54" s="21">
        <f>'Testing DF8 (3)'!N55</f>
        <v>0.36299370630898325</v>
      </c>
      <c r="H54" s="153">
        <f>'Testing DF8 (3)'!CA55</f>
        <v>1.3494267468600002E-2</v>
      </c>
      <c r="I54" s="31">
        <v>2.8E-3</v>
      </c>
      <c r="J54" s="153">
        <f t="shared" si="7"/>
        <v>1.62942674686E-2</v>
      </c>
      <c r="K54" s="31" t="s">
        <v>257</v>
      </c>
      <c r="L54" s="31">
        <v>3.206</v>
      </c>
      <c r="M54" s="31">
        <v>2877</v>
      </c>
      <c r="N54" s="154">
        <f t="shared" si="9"/>
        <v>50.021809953450585</v>
      </c>
      <c r="O54" s="154">
        <f t="shared" si="1"/>
        <v>39.418231757313258</v>
      </c>
      <c r="P54" s="154">
        <f t="shared" si="2"/>
        <v>47.716806864116052</v>
      </c>
      <c r="Q54" s="154">
        <f t="shared" si="3"/>
        <v>51.866094417517445</v>
      </c>
      <c r="R54" s="154">
        <f t="shared" si="4"/>
        <v>59.127347635969883</v>
      </c>
      <c r="S54" s="154">
        <f t="shared" si="5"/>
        <v>67.425922742772684</v>
      </c>
      <c r="T54" s="29" t="str">
        <f t="shared" si="6"/>
        <v>C</v>
      </c>
      <c r="U54" s="16">
        <f>((SUM($J$30:J54)*L54/(M54*SUM($G$30:G54))))*10^6</f>
        <v>40.772662145712502</v>
      </c>
    </row>
    <row r="55" spans="2:21" ht="15.75" x14ac:dyDescent="0.25">
      <c r="B55" s="13">
        <v>26</v>
      </c>
      <c r="C55" s="456"/>
      <c r="D55" s="456"/>
      <c r="E55" s="256"/>
      <c r="F55" s="54">
        <v>0.89097222222222217</v>
      </c>
      <c r="G55" s="21">
        <f>'Testing DF8 (3)'!N56</f>
        <v>0.36446513719920365</v>
      </c>
      <c r="H55" s="153">
        <f>'Testing DF8 (3)'!CA56</f>
        <v>5.7473944497061962E-3</v>
      </c>
      <c r="I55" s="31">
        <v>2.8E-3</v>
      </c>
      <c r="J55" s="153">
        <f t="shared" si="7"/>
        <v>8.5473944497061957E-3</v>
      </c>
      <c r="K55" s="31" t="s">
        <v>257</v>
      </c>
      <c r="L55" s="31">
        <v>3.206</v>
      </c>
      <c r="M55" s="31">
        <v>2877</v>
      </c>
      <c r="N55" s="154">
        <f t="shared" si="9"/>
        <v>26.133730624752538</v>
      </c>
      <c r="O55" s="154">
        <f t="shared" si="1"/>
        <v>39.418231757313258</v>
      </c>
      <c r="P55" s="154">
        <f t="shared" si="2"/>
        <v>47.716806864116052</v>
      </c>
      <c r="Q55" s="154">
        <f t="shared" si="3"/>
        <v>51.866094417517445</v>
      </c>
      <c r="R55" s="154">
        <f t="shared" si="4"/>
        <v>59.127347635969883</v>
      </c>
      <c r="S55" s="154">
        <f t="shared" si="5"/>
        <v>67.425922742772684</v>
      </c>
      <c r="T55" s="29" t="str">
        <f t="shared" si="6"/>
        <v>A</v>
      </c>
      <c r="U55" s="16">
        <f>((SUM($J$30:J55)*L55/(M55*SUM($G$30:G55))))*10^6</f>
        <v>39.959634750466975</v>
      </c>
    </row>
    <row r="56" spans="2:21" ht="15.75" x14ac:dyDescent="0.25">
      <c r="B56" s="13">
        <v>27</v>
      </c>
      <c r="C56" s="456"/>
      <c r="D56" s="456"/>
      <c r="E56" s="256"/>
      <c r="F56" s="54">
        <v>0.8930555555555556</v>
      </c>
      <c r="G56" s="21">
        <f>'Testing DF8 (3)'!N57</f>
        <v>0.45934643155802407</v>
      </c>
      <c r="H56" s="153">
        <f>'Testing DF8 (3)'!CA57</f>
        <v>1.1417523572889346E-2</v>
      </c>
      <c r="I56" s="31">
        <v>2.8E-3</v>
      </c>
      <c r="J56" s="153">
        <f t="shared" si="7"/>
        <v>1.4217523572889346E-2</v>
      </c>
      <c r="K56" s="31" t="s">
        <v>257</v>
      </c>
      <c r="L56" s="31">
        <v>3.206</v>
      </c>
      <c r="M56" s="31">
        <v>2877</v>
      </c>
      <c r="N56" s="154">
        <f t="shared" si="9"/>
        <v>34.491117550686127</v>
      </c>
      <c r="O56" s="154">
        <f t="shared" si="1"/>
        <v>39.418231757313258</v>
      </c>
      <c r="P56" s="154">
        <f t="shared" si="2"/>
        <v>47.716806864116052</v>
      </c>
      <c r="Q56" s="154">
        <f t="shared" si="3"/>
        <v>51.866094417517445</v>
      </c>
      <c r="R56" s="154">
        <f t="shared" si="4"/>
        <v>59.127347635969883</v>
      </c>
      <c r="S56" s="154">
        <f t="shared" si="5"/>
        <v>67.425922742772684</v>
      </c>
      <c r="T56" s="29" t="str">
        <f t="shared" si="6"/>
        <v>A</v>
      </c>
      <c r="U56" s="16">
        <f>((SUM($J$30:J56)*L56/(M56*SUM($G$30:G56))))*10^6</f>
        <v>39.601895057718345</v>
      </c>
    </row>
    <row r="57" spans="2:21" ht="15.75" x14ac:dyDescent="0.25">
      <c r="B57" s="13">
        <v>28</v>
      </c>
      <c r="C57" s="456"/>
      <c r="D57" s="456"/>
      <c r="E57" s="256"/>
      <c r="F57" s="54">
        <v>0.89513888888888893</v>
      </c>
      <c r="G57" s="21">
        <f>'Testing DF8 (3)'!N58</f>
        <v>0.32852651700678559</v>
      </c>
      <c r="H57" s="153">
        <f>'Testing DF8 (3)'!CA58</f>
        <v>4.2755898238880773E-3</v>
      </c>
      <c r="I57" s="31">
        <v>2.8E-3</v>
      </c>
      <c r="J57" s="153">
        <f t="shared" si="7"/>
        <v>7.0755898238880777E-3</v>
      </c>
      <c r="K57" s="31" t="s">
        <v>257</v>
      </c>
      <c r="L57" s="31">
        <v>3.206</v>
      </c>
      <c r="M57" s="31">
        <v>2877</v>
      </c>
      <c r="N57" s="154">
        <f t="shared" si="9"/>
        <v>24.000256069171151</v>
      </c>
      <c r="O57" s="154">
        <f t="shared" si="1"/>
        <v>39.418231757313258</v>
      </c>
      <c r="P57" s="154">
        <f t="shared" si="2"/>
        <v>47.716806864116052</v>
      </c>
      <c r="Q57" s="154">
        <f t="shared" si="3"/>
        <v>51.866094417517445</v>
      </c>
      <c r="R57" s="154">
        <f t="shared" si="4"/>
        <v>59.127347635969883</v>
      </c>
      <c r="S57" s="154">
        <f t="shared" si="5"/>
        <v>67.425922742772684</v>
      </c>
      <c r="T57" s="29" t="str">
        <f t="shared" si="6"/>
        <v>A</v>
      </c>
      <c r="U57" s="16">
        <f>((SUM($J$30:J57)*L57/(M57*SUM($G$30:G57))))*10^6</f>
        <v>38.90456333089211</v>
      </c>
    </row>
    <row r="58" spans="2:21" ht="15.75" x14ac:dyDescent="0.25">
      <c r="B58" s="13">
        <v>29</v>
      </c>
      <c r="C58" s="456"/>
      <c r="D58" s="456"/>
      <c r="E58" s="257"/>
      <c r="F58" s="54">
        <v>0.89722222222222225</v>
      </c>
      <c r="G58" s="21">
        <f>'Testing DF8 (3)'!N59</f>
        <v>0.67767254697373258</v>
      </c>
      <c r="H58" s="153">
        <f>'Testing DF8 (3)'!CA59</f>
        <v>4.7607187076467584E-2</v>
      </c>
      <c r="I58" s="31">
        <v>2.8E-3</v>
      </c>
      <c r="J58" s="153">
        <f t="shared" si="7"/>
        <v>5.0407187076467581E-2</v>
      </c>
      <c r="K58" s="31" t="s">
        <v>257</v>
      </c>
      <c r="L58" s="31">
        <v>3.206</v>
      </c>
      <c r="M58" s="31">
        <v>2877</v>
      </c>
      <c r="N58" s="154">
        <f t="shared" si="9"/>
        <v>82.888871412509175</v>
      </c>
      <c r="O58" s="154">
        <f t="shared" si="1"/>
        <v>39.418231757313258</v>
      </c>
      <c r="P58" s="154">
        <f t="shared" si="2"/>
        <v>47.716806864116052</v>
      </c>
      <c r="Q58" s="154">
        <f t="shared" si="3"/>
        <v>51.866094417517445</v>
      </c>
      <c r="R58" s="154">
        <f t="shared" si="4"/>
        <v>59.127347635969883</v>
      </c>
      <c r="S58" s="154">
        <f t="shared" si="5"/>
        <v>67.425922742772684</v>
      </c>
      <c r="T58" s="29" t="str">
        <f t="shared" si="6"/>
        <v>E</v>
      </c>
      <c r="U58" s="16">
        <f>((SUM($J$30:J58)*L58/(M58*SUM($G$30:G58))))*10^6</f>
        <v>42.617480755088529</v>
      </c>
    </row>
    <row r="59" spans="2:21" ht="15.75" x14ac:dyDescent="0.25">
      <c r="B59" s="13">
        <v>30</v>
      </c>
      <c r="C59" s="456"/>
      <c r="D59" s="456"/>
      <c r="E59" s="255">
        <v>0.89930555555555547</v>
      </c>
      <c r="F59" s="54">
        <v>0.89930555555555602</v>
      </c>
      <c r="G59" s="21">
        <f>'Testing DF8 (3)'!N60</f>
        <v>0.43053844206293324</v>
      </c>
      <c r="H59" s="153">
        <f>'Testing DF8 (3)'!CA60</f>
        <v>9.3563141167030666E-3</v>
      </c>
      <c r="I59" s="31">
        <v>2.5999999999999999E-3</v>
      </c>
      <c r="J59" s="153">
        <f t="shared" si="7"/>
        <v>1.1956314116703066E-2</v>
      </c>
      <c r="K59" s="31" t="s">
        <v>257</v>
      </c>
      <c r="L59" s="31">
        <v>3.206</v>
      </c>
      <c r="M59" s="31">
        <v>2877</v>
      </c>
      <c r="N59" s="154">
        <f t="shared" si="9"/>
        <v>30.946321813456116</v>
      </c>
      <c r="O59" s="154">
        <f t="shared" si="1"/>
        <v>39.418231757313258</v>
      </c>
      <c r="P59" s="154">
        <f t="shared" si="2"/>
        <v>47.716806864116052</v>
      </c>
      <c r="Q59" s="154">
        <f t="shared" si="3"/>
        <v>51.866094417517445</v>
      </c>
      <c r="R59" s="154">
        <f t="shared" si="4"/>
        <v>59.127347635969883</v>
      </c>
      <c r="S59" s="154">
        <f t="shared" si="5"/>
        <v>67.425922742772684</v>
      </c>
      <c r="T59" s="29" t="str">
        <f t="shared" si="6"/>
        <v>A</v>
      </c>
      <c r="U59" s="16">
        <f>((SUM($J$30:J59)*L59/(M59*SUM($G$30:G59))))*10^6</f>
        <v>42.02341388387552</v>
      </c>
    </row>
    <row r="60" spans="2:21" ht="15.75" x14ac:dyDescent="0.25">
      <c r="B60" s="13">
        <v>31</v>
      </c>
      <c r="C60" s="456"/>
      <c r="D60" s="456"/>
      <c r="E60" s="256"/>
      <c r="F60" s="54">
        <v>0.90138888888888902</v>
      </c>
      <c r="G60" s="21">
        <f>'Testing DF8 (3)'!N61</f>
        <v>0.48687597142931444</v>
      </c>
      <c r="H60" s="153">
        <f>'Testing DF8 (3)'!CA61</f>
        <v>1.3761921060536735E-2</v>
      </c>
      <c r="I60" s="31">
        <v>2.5999999999999999E-3</v>
      </c>
      <c r="J60" s="153">
        <f t="shared" si="7"/>
        <v>1.6361921060536737E-2</v>
      </c>
      <c r="K60" s="31" t="s">
        <v>257</v>
      </c>
      <c r="L60" s="31">
        <v>3.206</v>
      </c>
      <c r="M60" s="31">
        <v>2877</v>
      </c>
      <c r="N60" s="154">
        <f t="shared" si="9"/>
        <v>37.448946744774965</v>
      </c>
      <c r="O60" s="154">
        <f t="shared" si="1"/>
        <v>39.418231757313258</v>
      </c>
      <c r="P60" s="154">
        <f t="shared" si="2"/>
        <v>47.716806864116052</v>
      </c>
      <c r="Q60" s="154">
        <f t="shared" si="3"/>
        <v>51.866094417517445</v>
      </c>
      <c r="R60" s="154">
        <f t="shared" si="4"/>
        <v>59.127347635969883</v>
      </c>
      <c r="S60" s="154">
        <f t="shared" si="5"/>
        <v>67.425922742772684</v>
      </c>
      <c r="T60" s="29" t="str">
        <f t="shared" si="6"/>
        <v>A</v>
      </c>
      <c r="U60" s="16">
        <f>((SUM($J$30:J60)*L60/(M60*SUM($G$30:G60))))*10^6</f>
        <v>41.774434794735896</v>
      </c>
    </row>
    <row r="61" spans="2:21" ht="15.75" x14ac:dyDescent="0.25">
      <c r="B61" s="13">
        <v>32</v>
      </c>
      <c r="C61" s="456"/>
      <c r="D61" s="456"/>
      <c r="E61" s="256"/>
      <c r="F61" s="54">
        <v>0.90347222222222201</v>
      </c>
      <c r="G61" s="21">
        <f>'Testing DF8 (3)'!N62</f>
        <v>0.43405993595149017</v>
      </c>
      <c r="H61" s="153">
        <f>'Testing DF8 (3)'!CA62</f>
        <v>9.5895700892500296E-3</v>
      </c>
      <c r="I61" s="31">
        <v>2.5999999999999999E-3</v>
      </c>
      <c r="J61" s="153">
        <f t="shared" si="7"/>
        <v>1.218957008925003E-2</v>
      </c>
      <c r="K61" s="31" t="s">
        <v>257</v>
      </c>
      <c r="L61" s="31">
        <v>3.206</v>
      </c>
      <c r="M61" s="31">
        <v>2877</v>
      </c>
      <c r="N61" s="154">
        <f t="shared" si="9"/>
        <v>31.294091136448074</v>
      </c>
      <c r="O61" s="154">
        <f t="shared" si="1"/>
        <v>39.418231757313258</v>
      </c>
      <c r="P61" s="154">
        <f t="shared" si="2"/>
        <v>47.716806864116052</v>
      </c>
      <c r="Q61" s="154">
        <f t="shared" si="3"/>
        <v>51.866094417517445</v>
      </c>
      <c r="R61" s="154">
        <f t="shared" si="4"/>
        <v>59.127347635969883</v>
      </c>
      <c r="S61" s="154">
        <f t="shared" si="5"/>
        <v>67.425922742772684</v>
      </c>
      <c r="T61" s="29" t="str">
        <f t="shared" si="6"/>
        <v>A</v>
      </c>
      <c r="U61" s="16">
        <f>((SUM($J$30:J61)*L61/(M61*SUM($G$30:G61))))*10^6</f>
        <v>41.289424448470939</v>
      </c>
    </row>
    <row r="62" spans="2:21" ht="15.75" x14ac:dyDescent="0.25">
      <c r="B62" s="13">
        <v>33</v>
      </c>
      <c r="C62" s="456"/>
      <c r="D62" s="456"/>
      <c r="E62" s="256"/>
      <c r="F62" s="54">
        <v>0.905555555555556</v>
      </c>
      <c r="G62" s="21">
        <f>'Testing DF8 (3)'!N63</f>
        <v>0.57908665141060378</v>
      </c>
      <c r="H62" s="153">
        <f>'Testing DF8 (3)'!CA63</f>
        <v>2.5449044978423884E-2</v>
      </c>
      <c r="I62" s="31">
        <v>2.5999999999999999E-3</v>
      </c>
      <c r="J62" s="153">
        <f t="shared" si="7"/>
        <v>2.8049044978423886E-2</v>
      </c>
      <c r="K62" s="31" t="s">
        <v>257</v>
      </c>
      <c r="L62" s="31">
        <v>3.206</v>
      </c>
      <c r="M62" s="31">
        <v>2877</v>
      </c>
      <c r="N62" s="154">
        <f t="shared" si="9"/>
        <v>53.975687272619972</v>
      </c>
      <c r="O62" s="154">
        <f t="shared" si="1"/>
        <v>39.418231757313258</v>
      </c>
      <c r="P62" s="154">
        <f t="shared" si="2"/>
        <v>47.716806864116052</v>
      </c>
      <c r="Q62" s="154">
        <f t="shared" si="3"/>
        <v>51.866094417517445</v>
      </c>
      <c r="R62" s="154">
        <f t="shared" si="4"/>
        <v>59.127347635969883</v>
      </c>
      <c r="S62" s="154">
        <f t="shared" si="5"/>
        <v>67.425922742772684</v>
      </c>
      <c r="T62" s="29" t="str">
        <f t="shared" si="6"/>
        <v>D</v>
      </c>
      <c r="U62" s="16">
        <f>((SUM($J$30:J62)*L62/(M62*SUM($G$30:G62))))*10^6</f>
        <v>42.027132798717489</v>
      </c>
    </row>
    <row r="63" spans="2:21" ht="15.75" x14ac:dyDescent="0.25">
      <c r="B63" s="13">
        <v>34</v>
      </c>
      <c r="C63" s="456"/>
      <c r="D63" s="456"/>
      <c r="E63" s="257"/>
      <c r="F63" s="54">
        <v>0.90763888888888899</v>
      </c>
      <c r="G63" s="21">
        <f>'Testing DF8 (3)'!N64</f>
        <v>0.43051162998702092</v>
      </c>
      <c r="H63" s="153">
        <f>'Testing DF8 (3)'!CA64</f>
        <v>9.3545566681488331E-3</v>
      </c>
      <c r="I63" s="31">
        <v>2.5999999999999999E-3</v>
      </c>
      <c r="J63" s="153">
        <f t="shared" si="7"/>
        <v>1.1954556668148833E-2</v>
      </c>
      <c r="K63" s="31" t="s">
        <v>257</v>
      </c>
      <c r="L63" s="31">
        <v>3.206</v>
      </c>
      <c r="M63" s="31">
        <v>2877</v>
      </c>
      <c r="N63" s="154">
        <f t="shared" si="9"/>
        <v>30.943700079729112</v>
      </c>
      <c r="O63" s="154">
        <f t="shared" si="1"/>
        <v>39.418231757313258</v>
      </c>
      <c r="P63" s="154">
        <f t="shared" si="2"/>
        <v>47.716806864116052</v>
      </c>
      <c r="Q63" s="154">
        <f t="shared" si="3"/>
        <v>51.866094417517445</v>
      </c>
      <c r="R63" s="154">
        <f t="shared" si="4"/>
        <v>59.127347635969883</v>
      </c>
      <c r="S63" s="154">
        <f t="shared" si="5"/>
        <v>67.425922742772684</v>
      </c>
      <c r="T63" s="29" t="str">
        <f t="shared" si="6"/>
        <v>A</v>
      </c>
      <c r="U63" s="16">
        <f>((SUM($J$30:J63)*L63/(M63*SUM($G$30:G63))))*10^6</f>
        <v>41.567843573962371</v>
      </c>
    </row>
    <row r="64" spans="2:21" ht="15.75" x14ac:dyDescent="0.25">
      <c r="B64" s="13">
        <v>35</v>
      </c>
      <c r="C64" s="456"/>
      <c r="D64" s="456"/>
      <c r="E64" s="255">
        <v>0.90972222222222221</v>
      </c>
      <c r="F64" s="54">
        <v>0.90972222222222199</v>
      </c>
      <c r="G64" s="21">
        <f>'Testing DF8 (3)'!N65</f>
        <v>0.43989069346163567</v>
      </c>
      <c r="H64" s="153">
        <f>'Testing DF8 (3)'!CA65</f>
        <v>9.9866650250429526E-3</v>
      </c>
      <c r="I64" s="31">
        <v>2.5999999999999999E-3</v>
      </c>
      <c r="J64" s="153">
        <f t="shared" si="7"/>
        <v>1.2586665025042952E-2</v>
      </c>
      <c r="K64" s="31" t="s">
        <v>257</v>
      </c>
      <c r="L64" s="31">
        <v>3.206</v>
      </c>
      <c r="M64" s="31">
        <v>2877</v>
      </c>
      <c r="N64" s="154">
        <f t="shared" si="9"/>
        <v>31.885230176008392</v>
      </c>
      <c r="O64" s="154">
        <f t="shared" si="1"/>
        <v>39.418231757313258</v>
      </c>
      <c r="P64" s="154">
        <f t="shared" si="2"/>
        <v>47.716806864116052</v>
      </c>
      <c r="Q64" s="154">
        <f t="shared" si="3"/>
        <v>51.866094417517445</v>
      </c>
      <c r="R64" s="154">
        <f t="shared" si="4"/>
        <v>59.127347635969883</v>
      </c>
      <c r="S64" s="154">
        <f t="shared" si="5"/>
        <v>67.425922742772684</v>
      </c>
      <c r="T64" s="29" t="str">
        <f t="shared" si="6"/>
        <v>A</v>
      </c>
      <c r="U64" s="16">
        <f>((SUM($J$30:J64)*L64/(M64*SUM($G$30:G64))))*10^6</f>
        <v>41.174516186111987</v>
      </c>
    </row>
    <row r="65" spans="2:21" ht="15.75" x14ac:dyDescent="0.25">
      <c r="B65" s="13">
        <v>36</v>
      </c>
      <c r="C65" s="456"/>
      <c r="D65" s="456"/>
      <c r="E65" s="256"/>
      <c r="F65" s="54">
        <v>0.91180555555555498</v>
      </c>
      <c r="G65" s="21">
        <f>'Testing DF8 (3)'!N66</f>
        <v>0.44737610653848381</v>
      </c>
      <c r="H65" s="153">
        <f>'Testing DF8 (3)'!CA66</f>
        <v>1.0517222285464834E-2</v>
      </c>
      <c r="I65" s="31">
        <v>2.5999999999999999E-3</v>
      </c>
      <c r="J65" s="153">
        <f t="shared" si="7"/>
        <v>1.3117222285464834E-2</v>
      </c>
      <c r="K65" s="31" t="s">
        <v>257</v>
      </c>
      <c r="L65" s="31">
        <v>3.206</v>
      </c>
      <c r="M65" s="31">
        <v>2877</v>
      </c>
      <c r="N65" s="154">
        <f t="shared" si="9"/>
        <v>32.673281067644879</v>
      </c>
      <c r="O65" s="154">
        <f t="shared" si="1"/>
        <v>39.418231757313258</v>
      </c>
      <c r="P65" s="154">
        <f t="shared" si="2"/>
        <v>47.716806864116052</v>
      </c>
      <c r="Q65" s="154">
        <f t="shared" si="3"/>
        <v>51.866094417517445</v>
      </c>
      <c r="R65" s="154">
        <f t="shared" si="4"/>
        <v>59.127347635969883</v>
      </c>
      <c r="S65" s="154">
        <f t="shared" si="5"/>
        <v>67.425922742772684</v>
      </c>
      <c r="T65" s="29" t="str">
        <f t="shared" si="6"/>
        <v>A</v>
      </c>
      <c r="U65" s="16">
        <f>((SUM($J$30:J65)*L65/(M65*SUM($G$30:G65))))*10^6</f>
        <v>40.837236464348067</v>
      </c>
    </row>
    <row r="66" spans="2:21" ht="15.75" x14ac:dyDescent="0.25">
      <c r="B66" s="13">
        <v>37</v>
      </c>
      <c r="C66" s="456"/>
      <c r="D66" s="456"/>
      <c r="E66" s="256"/>
      <c r="F66" s="54">
        <v>0.91388888888888797</v>
      </c>
      <c r="G66" s="21">
        <f>'Testing DF8 (3)'!N67</f>
        <v>0.7094728136398234</v>
      </c>
      <c r="H66" s="153">
        <f>'Testing DF8 (3)'!CA67</f>
        <v>5.7530227195970195E-2</v>
      </c>
      <c r="I66" s="31">
        <v>2.5999999999999999E-3</v>
      </c>
      <c r="J66" s="153">
        <f t="shared" si="7"/>
        <v>6.0130227195970193E-2</v>
      </c>
      <c r="K66" s="31" t="s">
        <v>257</v>
      </c>
      <c r="L66" s="31">
        <v>3.206</v>
      </c>
      <c r="M66" s="31">
        <v>2877</v>
      </c>
      <c r="N66" s="154">
        <f t="shared" si="9"/>
        <v>94.445385274053208</v>
      </c>
      <c r="O66" s="154">
        <f t="shared" si="1"/>
        <v>39.418231757313258</v>
      </c>
      <c r="P66" s="154">
        <f t="shared" si="2"/>
        <v>47.716806864116052</v>
      </c>
      <c r="Q66" s="154">
        <f t="shared" si="3"/>
        <v>51.866094417517445</v>
      </c>
      <c r="R66" s="154">
        <f t="shared" si="4"/>
        <v>59.127347635969883</v>
      </c>
      <c r="S66" s="154">
        <f t="shared" si="5"/>
        <v>67.425922742772684</v>
      </c>
      <c r="T66" s="29" t="str">
        <f t="shared" si="6"/>
        <v>E</v>
      </c>
      <c r="U66" s="16">
        <f>((SUM($J$30:J66)*L66/(M66*SUM($G$30:G66))))*10^6</f>
        <v>44.010472998992405</v>
      </c>
    </row>
    <row r="67" spans="2:21" ht="15.75" x14ac:dyDescent="0.25">
      <c r="B67" s="13">
        <v>38</v>
      </c>
      <c r="C67" s="456"/>
      <c r="D67" s="456"/>
      <c r="E67" s="256"/>
      <c r="F67" s="54">
        <v>0.91597222222222097</v>
      </c>
      <c r="G67" s="21">
        <f>'Testing DF8 (3)'!N68</f>
        <v>0.46786182422939343</v>
      </c>
      <c r="H67" s="153">
        <f>'Testing DF8 (3)'!CA68</f>
        <v>1.209975502467899E-2</v>
      </c>
      <c r="I67" s="31">
        <v>2.5999999999999999E-3</v>
      </c>
      <c r="J67" s="153">
        <f t="shared" si="7"/>
        <v>1.469975502467899E-2</v>
      </c>
      <c r="K67" s="31" t="s">
        <v>257</v>
      </c>
      <c r="L67" s="31">
        <v>3.206</v>
      </c>
      <c r="M67" s="31">
        <v>2877</v>
      </c>
      <c r="N67" s="154">
        <f t="shared" si="9"/>
        <v>35.01193741391527</v>
      </c>
      <c r="O67" s="154">
        <f t="shared" si="1"/>
        <v>39.418231757313258</v>
      </c>
      <c r="P67" s="154">
        <f t="shared" si="2"/>
        <v>47.716806864116052</v>
      </c>
      <c r="Q67" s="154">
        <f t="shared" si="3"/>
        <v>51.866094417517445</v>
      </c>
      <c r="R67" s="154">
        <f t="shared" si="4"/>
        <v>59.127347635969883</v>
      </c>
      <c r="S67" s="154">
        <f t="shared" si="5"/>
        <v>67.425922742772684</v>
      </c>
      <c r="T67" s="29" t="str">
        <f t="shared" si="6"/>
        <v>A</v>
      </c>
      <c r="U67" s="16">
        <f>((SUM($J$30:J67)*L67/(M67*SUM($G$30:G67))))*10^6</f>
        <v>43.672411919116534</v>
      </c>
    </row>
    <row r="68" spans="2:21" ht="15.75" x14ac:dyDescent="0.25">
      <c r="B68" s="13">
        <v>39</v>
      </c>
      <c r="C68" s="456"/>
      <c r="D68" s="456"/>
      <c r="E68" s="257"/>
      <c r="F68" s="54">
        <v>0.91805555555555396</v>
      </c>
      <c r="G68" s="21">
        <f>'Testing DF8 (3)'!N69</f>
        <v>0.44229909967489522</v>
      </c>
      <c r="H68" s="153">
        <f>'Testing DF8 (3)'!CA69</f>
        <v>1.0154766777140525E-2</v>
      </c>
      <c r="I68" s="31">
        <v>2.5999999999999999E-3</v>
      </c>
      <c r="J68" s="153">
        <f t="shared" si="7"/>
        <v>1.2754766777140525E-2</v>
      </c>
      <c r="K68" s="31" t="s">
        <v>257</v>
      </c>
      <c r="L68" s="31">
        <v>3.206</v>
      </c>
      <c r="M68" s="31">
        <v>2877</v>
      </c>
      <c r="N68" s="154">
        <f t="shared" si="9"/>
        <v>32.135134551641229</v>
      </c>
      <c r="O68" s="154">
        <f t="shared" si="1"/>
        <v>39.418231757313258</v>
      </c>
      <c r="P68" s="154">
        <f t="shared" si="2"/>
        <v>47.716806864116052</v>
      </c>
      <c r="Q68" s="154">
        <f t="shared" si="3"/>
        <v>51.866094417517445</v>
      </c>
      <c r="R68" s="154">
        <f t="shared" si="4"/>
        <v>59.127347635969883</v>
      </c>
      <c r="S68" s="154">
        <f t="shared" si="5"/>
        <v>67.425922742772684</v>
      </c>
      <c r="T68" s="29" t="str">
        <f t="shared" si="6"/>
        <v>A</v>
      </c>
      <c r="U68" s="16">
        <f>((SUM($J$30:J68)*L68/(M68*SUM($G$30:G68))))*10^6</f>
        <v>43.276709797189902</v>
      </c>
    </row>
    <row r="69" spans="2:21" ht="15.75" x14ac:dyDescent="0.25">
      <c r="B69" s="13">
        <v>40</v>
      </c>
      <c r="C69" s="456"/>
      <c r="D69" s="456"/>
      <c r="E69" s="255">
        <v>0.92013888888888884</v>
      </c>
      <c r="F69" s="54">
        <v>0.92013888888888695</v>
      </c>
      <c r="G69" s="21">
        <f>'Testing DF8 (3)'!N70</f>
        <v>0.47990873707459653</v>
      </c>
      <c r="H69" s="153">
        <f>'Testing DF8 (3)'!CA70</f>
        <v>1.3129433543070388E-2</v>
      </c>
      <c r="I69" s="31">
        <v>2.2000000000000001E-3</v>
      </c>
      <c r="J69" s="153">
        <f t="shared" si="7"/>
        <v>1.5329433543070389E-2</v>
      </c>
      <c r="K69" s="31" t="s">
        <v>257</v>
      </c>
      <c r="L69" s="31">
        <v>3.206</v>
      </c>
      <c r="M69" s="31">
        <v>2877</v>
      </c>
      <c r="N69" s="154">
        <f t="shared" si="9"/>
        <v>35.595172872488568</v>
      </c>
      <c r="O69" s="154">
        <f t="shared" si="1"/>
        <v>39.418231757313258</v>
      </c>
      <c r="P69" s="154">
        <f t="shared" si="2"/>
        <v>47.716806864116052</v>
      </c>
      <c r="Q69" s="154">
        <f t="shared" si="3"/>
        <v>51.866094417517445</v>
      </c>
      <c r="R69" s="154">
        <f t="shared" si="4"/>
        <v>59.127347635969883</v>
      </c>
      <c r="S69" s="154">
        <f t="shared" si="5"/>
        <v>67.425922742772684</v>
      </c>
      <c r="T69" s="29" t="str">
        <f t="shared" si="6"/>
        <v>A</v>
      </c>
      <c r="U69" s="16">
        <f>((SUM($J$30:J69)*L69/(M69*SUM($G$30:G69))))*10^6</f>
        <v>43.001104631817832</v>
      </c>
    </row>
    <row r="70" spans="2:21" ht="15.75" x14ac:dyDescent="0.25">
      <c r="B70" s="13">
        <v>41</v>
      </c>
      <c r="C70" s="456"/>
      <c r="D70" s="456"/>
      <c r="E70" s="256"/>
      <c r="F70" s="54">
        <v>0.92222222222221995</v>
      </c>
      <c r="G70" s="21">
        <f>'Testing DF8 (3)'!N71</f>
        <v>0.43553805455472266</v>
      </c>
      <c r="H70" s="153">
        <f>'Testing DF8 (3)'!CA71</f>
        <v>9.6889350503156068E-3</v>
      </c>
      <c r="I70" s="31">
        <v>2.2000000000000001E-3</v>
      </c>
      <c r="J70" s="153">
        <f t="shared" si="7"/>
        <v>1.1888935050315607E-2</v>
      </c>
      <c r="K70" s="31" t="s">
        <v>257</v>
      </c>
      <c r="L70" s="31">
        <v>3.206</v>
      </c>
      <c r="M70" s="31">
        <v>2877</v>
      </c>
      <c r="N70" s="154">
        <f t="shared" si="9"/>
        <v>30.418689773480029</v>
      </c>
      <c r="O70" s="154">
        <f t="shared" si="1"/>
        <v>39.418231757313258</v>
      </c>
      <c r="P70" s="154">
        <f t="shared" si="2"/>
        <v>47.716806864116052</v>
      </c>
      <c r="Q70" s="154">
        <f t="shared" si="3"/>
        <v>51.866094417517445</v>
      </c>
      <c r="R70" s="154">
        <f t="shared" si="4"/>
        <v>59.127347635969883</v>
      </c>
      <c r="S70" s="154">
        <f t="shared" si="5"/>
        <v>67.425922742772684</v>
      </c>
      <c r="T70" s="29" t="str">
        <f t="shared" si="6"/>
        <v>A</v>
      </c>
      <c r="U70" s="16">
        <f>((SUM($J$30:J70)*L70/(M70*SUM($G$30:G70))))*10^6</f>
        <v>42.604320147705444</v>
      </c>
    </row>
    <row r="71" spans="2:21" ht="15.75" x14ac:dyDescent="0.25">
      <c r="B71" s="13">
        <v>42</v>
      </c>
      <c r="C71" s="456"/>
      <c r="D71" s="456"/>
      <c r="E71" s="256"/>
      <c r="F71" s="54">
        <v>0.92430555555555305</v>
      </c>
      <c r="G71" s="21">
        <f>'Testing DF8 (3)'!N72</f>
        <v>0.45688339822578417</v>
      </c>
      <c r="H71" s="153">
        <f>'Testing DF8 (3)'!CA72</f>
        <v>1.122682719427529E-2</v>
      </c>
      <c r="I71" s="31">
        <v>2.2000000000000001E-3</v>
      </c>
      <c r="J71" s="153">
        <f t="shared" si="7"/>
        <v>1.3426827194275291E-2</v>
      </c>
      <c r="K71" s="31" t="s">
        <v>257</v>
      </c>
      <c r="L71" s="31">
        <v>3.206</v>
      </c>
      <c r="M71" s="31">
        <v>2877</v>
      </c>
      <c r="N71" s="154">
        <f t="shared" si="9"/>
        <v>32.748520037506545</v>
      </c>
      <c r="O71" s="154">
        <f t="shared" si="1"/>
        <v>39.418231757313258</v>
      </c>
      <c r="P71" s="154">
        <f t="shared" si="2"/>
        <v>47.716806864116052</v>
      </c>
      <c r="Q71" s="154">
        <f t="shared" si="3"/>
        <v>51.866094417517445</v>
      </c>
      <c r="R71" s="154">
        <f t="shared" si="4"/>
        <v>59.127347635969883</v>
      </c>
      <c r="S71" s="154">
        <f t="shared" si="5"/>
        <v>67.425922742772684</v>
      </c>
      <c r="T71" s="29" t="str">
        <f t="shared" si="6"/>
        <v>A</v>
      </c>
      <c r="U71" s="16">
        <f>((SUM($J$30:J71)*L71/(M71*SUM($G$30:G71))))*10^6</f>
        <v>42.288726871628718</v>
      </c>
    </row>
    <row r="72" spans="2:21" ht="15.75" x14ac:dyDescent="0.25">
      <c r="B72" s="13">
        <v>43</v>
      </c>
      <c r="C72" s="456"/>
      <c r="D72" s="456"/>
      <c r="E72" s="256"/>
      <c r="F72" s="54">
        <v>0.92638888888888604</v>
      </c>
      <c r="G72" s="21">
        <f>'Testing DF8 (3)'!N73</f>
        <v>0.42074755247091572</v>
      </c>
      <c r="H72" s="153">
        <f>'Testing DF8 (3)'!CA73</f>
        <v>8.7325459186537516E-3</v>
      </c>
      <c r="I72" s="31">
        <v>2.2000000000000001E-3</v>
      </c>
      <c r="J72" s="153">
        <f t="shared" si="7"/>
        <v>1.0932545918653752E-2</v>
      </c>
      <c r="K72" s="31" t="s">
        <v>257</v>
      </c>
      <c r="L72" s="31">
        <v>3.206</v>
      </c>
      <c r="M72" s="31">
        <v>2877</v>
      </c>
      <c r="N72" s="154">
        <f t="shared" si="9"/>
        <v>28.95498657716146</v>
      </c>
      <c r="O72" s="154">
        <f t="shared" si="1"/>
        <v>39.418231757313258</v>
      </c>
      <c r="P72" s="154">
        <f t="shared" si="2"/>
        <v>47.716806864116052</v>
      </c>
      <c r="Q72" s="154">
        <f t="shared" si="3"/>
        <v>51.866094417517445</v>
      </c>
      <c r="R72" s="154">
        <f t="shared" si="4"/>
        <v>59.127347635969883</v>
      </c>
      <c r="S72" s="154">
        <f t="shared" si="5"/>
        <v>67.425922742772684</v>
      </c>
      <c r="T72" s="29" t="str">
        <f t="shared" si="6"/>
        <v>A</v>
      </c>
      <c r="U72" s="16">
        <f>((SUM($J$30:J72)*L72/(M72*SUM($G$30:G72))))*10^6</f>
        <v>41.906797915794137</v>
      </c>
    </row>
    <row r="73" spans="2:21" ht="15.75" x14ac:dyDescent="0.25">
      <c r="B73" s="13">
        <v>44</v>
      </c>
      <c r="C73" s="456"/>
      <c r="D73" s="456"/>
      <c r="E73" s="257"/>
      <c r="F73" s="54">
        <v>0.92847222222221903</v>
      </c>
      <c r="G73" s="21">
        <f>'Testing DF8 (3)'!N74</f>
        <v>0.48096885174873732</v>
      </c>
      <c r="H73" s="153">
        <f>'Testing DF8 (3)'!CA74</f>
        <v>1.3223865563965339E-2</v>
      </c>
      <c r="I73" s="31">
        <v>2.2000000000000001E-3</v>
      </c>
      <c r="J73" s="153">
        <f t="shared" si="7"/>
        <v>1.542386556396534E-2</v>
      </c>
      <c r="K73" s="31" t="s">
        <v>257</v>
      </c>
      <c r="L73" s="31">
        <v>3.206</v>
      </c>
      <c r="M73" s="31">
        <v>2877</v>
      </c>
      <c r="N73" s="154">
        <f t="shared" si="9"/>
        <v>35.735505975423692</v>
      </c>
      <c r="O73" s="154">
        <f t="shared" si="1"/>
        <v>39.418231757313258</v>
      </c>
      <c r="P73" s="154">
        <f t="shared" si="2"/>
        <v>47.716806864116052</v>
      </c>
      <c r="Q73" s="154">
        <f t="shared" si="3"/>
        <v>51.866094417517445</v>
      </c>
      <c r="R73" s="154">
        <f t="shared" si="4"/>
        <v>59.127347635969883</v>
      </c>
      <c r="S73" s="154">
        <f t="shared" si="5"/>
        <v>67.425922742772684</v>
      </c>
      <c r="T73" s="29" t="str">
        <f t="shared" si="6"/>
        <v>A</v>
      </c>
      <c r="U73" s="16">
        <f>((SUM($J$30:J73)*L73/(M73*SUM($G$30:G73))))*10^6</f>
        <v>41.711134540261362</v>
      </c>
    </row>
    <row r="74" spans="2:21" ht="15.75" x14ac:dyDescent="0.25">
      <c r="B74" s="13">
        <v>45</v>
      </c>
      <c r="C74" s="456"/>
      <c r="D74" s="456"/>
      <c r="E74" s="255">
        <v>0.93055555555555547</v>
      </c>
      <c r="F74" s="54">
        <v>0.93055555555555203</v>
      </c>
      <c r="G74" s="21">
        <f>'Testing DF8 (3)'!N75</f>
        <v>0.27214414167983736</v>
      </c>
      <c r="H74" s="153">
        <f>'Testing DF8 (3)'!CA75</f>
        <v>2.5078814372791252E-3</v>
      </c>
      <c r="I74" s="31">
        <v>2.2000000000000001E-3</v>
      </c>
      <c r="J74" s="153">
        <f t="shared" si="7"/>
        <v>4.7078814372791249E-3</v>
      </c>
      <c r="K74" s="31" t="s">
        <v>257</v>
      </c>
      <c r="L74" s="31">
        <v>3.206</v>
      </c>
      <c r="M74" s="31">
        <v>2877</v>
      </c>
      <c r="N74" s="154">
        <f t="shared" si="9"/>
        <v>19.277476541852394</v>
      </c>
      <c r="O74" s="154">
        <f t="shared" si="1"/>
        <v>39.418231757313258</v>
      </c>
      <c r="P74" s="154">
        <f t="shared" si="2"/>
        <v>47.716806864116052</v>
      </c>
      <c r="Q74" s="154">
        <f t="shared" si="3"/>
        <v>51.866094417517445</v>
      </c>
      <c r="R74" s="154">
        <f t="shared" si="4"/>
        <v>59.127347635969883</v>
      </c>
      <c r="S74" s="154">
        <f t="shared" si="5"/>
        <v>67.425922742772684</v>
      </c>
      <c r="T74" s="29" t="str">
        <f t="shared" si="6"/>
        <v>A</v>
      </c>
      <c r="U74" s="16">
        <f>((SUM($J$30:J74)*L74/(M74*SUM($G$30:G74))))*10^6</f>
        <v>41.31577381479682</v>
      </c>
    </row>
    <row r="75" spans="2:21" ht="15.75" x14ac:dyDescent="0.25">
      <c r="B75" s="13">
        <v>46</v>
      </c>
      <c r="C75" s="456"/>
      <c r="D75" s="456"/>
      <c r="E75" s="256"/>
      <c r="F75" s="54">
        <v>0.93263888888888502</v>
      </c>
      <c r="G75" s="21">
        <f>'Testing DF8 (3)'!N76</f>
        <v>0.48154097753823755</v>
      </c>
      <c r="H75" s="153">
        <f>'Testing DF8 (3)'!CA76</f>
        <v>1.3275094618765044E-2</v>
      </c>
      <c r="I75" s="31">
        <v>2.2000000000000001E-3</v>
      </c>
      <c r="J75" s="153">
        <f t="shared" si="7"/>
        <v>1.5475094618765044E-2</v>
      </c>
      <c r="K75" s="31" t="s">
        <v>257</v>
      </c>
      <c r="L75" s="31">
        <v>3.206</v>
      </c>
      <c r="M75" s="31">
        <v>2877</v>
      </c>
      <c r="N75" s="154">
        <f t="shared" si="9"/>
        <v>35.811599521648013</v>
      </c>
      <c r="O75" s="154">
        <f t="shared" si="1"/>
        <v>39.418231757313258</v>
      </c>
      <c r="P75" s="154">
        <f t="shared" si="2"/>
        <v>47.716806864116052</v>
      </c>
      <c r="Q75" s="154">
        <f t="shared" si="3"/>
        <v>51.866094417517445</v>
      </c>
      <c r="R75" s="154">
        <f t="shared" si="4"/>
        <v>59.127347635969883</v>
      </c>
      <c r="S75" s="154">
        <f t="shared" si="5"/>
        <v>67.425922742772684</v>
      </c>
      <c r="T75" s="29" t="str">
        <f t="shared" si="6"/>
        <v>A</v>
      </c>
      <c r="U75" s="16">
        <f>((SUM($J$30:J75)*L75/(M75*SUM($G$30:G75))))*10^6</f>
        <v>41.149323804205544</v>
      </c>
    </row>
    <row r="76" spans="2:21" ht="15.75" x14ac:dyDescent="0.25">
      <c r="B76" s="13">
        <v>47</v>
      </c>
      <c r="C76" s="456"/>
      <c r="D76" s="456"/>
      <c r="E76" s="256"/>
      <c r="F76" s="54">
        <v>0.93472222222221801</v>
      </c>
      <c r="G76" s="21">
        <f>'Testing DF8 (3)'!N77</f>
        <v>0.45570022885594791</v>
      </c>
      <c r="H76" s="153">
        <f>'Testing DF8 (3)'!CA77</f>
        <v>1.1136247878365388E-2</v>
      </c>
      <c r="I76" s="31">
        <v>2.2000000000000001E-3</v>
      </c>
      <c r="J76" s="153">
        <f t="shared" si="7"/>
        <v>1.3336247878365388E-2</v>
      </c>
      <c r="K76" s="31" t="s">
        <v>257</v>
      </c>
      <c r="L76" s="31">
        <v>3.206</v>
      </c>
      <c r="M76" s="31">
        <v>2877</v>
      </c>
      <c r="N76" s="154">
        <f t="shared" si="9"/>
        <v>32.612047670885424</v>
      </c>
      <c r="O76" s="154">
        <f t="shared" si="1"/>
        <v>39.418231757313258</v>
      </c>
      <c r="P76" s="154">
        <f t="shared" si="2"/>
        <v>47.716806864116052</v>
      </c>
      <c r="Q76" s="154">
        <f t="shared" si="3"/>
        <v>51.866094417517445</v>
      </c>
      <c r="R76" s="154">
        <f t="shared" si="4"/>
        <v>59.127347635969883</v>
      </c>
      <c r="S76" s="154">
        <f t="shared" si="5"/>
        <v>67.425922742772684</v>
      </c>
      <c r="T76" s="29" t="str">
        <f t="shared" si="6"/>
        <v>A</v>
      </c>
      <c r="U76" s="16">
        <f>((SUM($J$30:J76)*L76/(M76*SUM($G$30:G76))))*10^6</f>
        <v>40.911802318926512</v>
      </c>
    </row>
    <row r="77" spans="2:21" ht="15.75" x14ac:dyDescent="0.25">
      <c r="B77" s="13">
        <v>48</v>
      </c>
      <c r="C77" s="456"/>
      <c r="D77" s="456"/>
      <c r="E77" s="256"/>
      <c r="F77" s="54">
        <v>0.93680555555555101</v>
      </c>
      <c r="G77" s="21">
        <f>'Testing DF8 (3)'!N78</f>
        <v>0.44131287489355281</v>
      </c>
      <c r="H77" s="153">
        <f>'Testing DF8 (3)'!CA78</f>
        <v>1.0085636422229663E-2</v>
      </c>
      <c r="I77" s="31">
        <v>2.2000000000000001E-3</v>
      </c>
      <c r="J77" s="153">
        <f t="shared" si="7"/>
        <v>1.2285636422229664E-2</v>
      </c>
      <c r="K77" s="31" t="s">
        <v>257</v>
      </c>
      <c r="L77" s="31">
        <v>3.206</v>
      </c>
      <c r="M77" s="31">
        <v>2877</v>
      </c>
      <c r="N77" s="154">
        <f t="shared" si="9"/>
        <v>31.022351700800993</v>
      </c>
      <c r="O77" s="154">
        <f t="shared" si="1"/>
        <v>39.418231757313258</v>
      </c>
      <c r="P77" s="154">
        <f t="shared" si="2"/>
        <v>47.716806864116052</v>
      </c>
      <c r="Q77" s="154">
        <f t="shared" si="3"/>
        <v>51.866094417517445</v>
      </c>
      <c r="R77" s="154">
        <f t="shared" si="4"/>
        <v>59.127347635969883</v>
      </c>
      <c r="S77" s="154">
        <f t="shared" si="5"/>
        <v>67.425922742772684</v>
      </c>
      <c r="T77" s="29" t="str">
        <f t="shared" si="6"/>
        <v>A</v>
      </c>
      <c r="U77" s="16">
        <f>((SUM($J$30:J77)*L77/(M77*SUM($G$30:G77))))*10^6</f>
        <v>40.652338611356328</v>
      </c>
    </row>
    <row r="78" spans="2:21" ht="15.75" x14ac:dyDescent="0.25">
      <c r="B78" s="13">
        <v>49</v>
      </c>
      <c r="C78" s="456"/>
      <c r="D78" s="456"/>
      <c r="E78" s="257"/>
      <c r="F78" s="54">
        <v>0.938888888888884</v>
      </c>
      <c r="G78" s="21">
        <f>'Testing DF8 (3)'!N79</f>
        <v>0.45185369058892932</v>
      </c>
      <c r="H78" s="153">
        <f>'Testing DF8 (3)'!CA79</f>
        <v>1.0846281316923442E-2</v>
      </c>
      <c r="I78" s="31">
        <v>2.2000000000000001E-3</v>
      </c>
      <c r="J78" s="153">
        <f t="shared" si="7"/>
        <v>1.3046281316923442E-2</v>
      </c>
      <c r="K78" s="31" t="s">
        <v>257</v>
      </c>
      <c r="L78" s="31">
        <v>3.206</v>
      </c>
      <c r="M78" s="31">
        <v>2877</v>
      </c>
      <c r="N78" s="154">
        <f t="shared" si="9"/>
        <v>32.174555913299038</v>
      </c>
      <c r="O78" s="154">
        <f t="shared" si="1"/>
        <v>39.418231757313258</v>
      </c>
      <c r="P78" s="154">
        <f t="shared" si="2"/>
        <v>47.716806864116052</v>
      </c>
      <c r="Q78" s="154">
        <f t="shared" si="3"/>
        <v>51.866094417517445</v>
      </c>
      <c r="R78" s="154">
        <f t="shared" si="4"/>
        <v>59.127347635969883</v>
      </c>
      <c r="S78" s="154">
        <f t="shared" si="5"/>
        <v>67.425922742772684</v>
      </c>
      <c r="T78" s="29" t="str">
        <f t="shared" si="6"/>
        <v>A</v>
      </c>
      <c r="U78" s="16">
        <f>((SUM($J$30:J78)*L78/(M78*SUM($G$30:G78))))*10^6</f>
        <v>40.430557051550522</v>
      </c>
    </row>
    <row r="79" spans="2:21" ht="15.75" x14ac:dyDescent="0.25">
      <c r="B79" s="13">
        <v>50</v>
      </c>
      <c r="C79" s="456"/>
      <c r="D79" s="456"/>
      <c r="E79" s="255">
        <v>0.94097222222222221</v>
      </c>
      <c r="F79" s="54">
        <v>0.94097222222221699</v>
      </c>
      <c r="G79" s="21">
        <f>'Testing DF8 (3)'!N80</f>
        <v>0.41708002722815002</v>
      </c>
      <c r="H79" s="153">
        <f>'Testing DF8 (3)'!CA80</f>
        <v>8.507872925954868E-3</v>
      </c>
      <c r="I79" s="31">
        <v>2.2000000000000001E-3</v>
      </c>
      <c r="J79" s="153">
        <f t="shared" si="7"/>
        <v>1.0707872925954869E-2</v>
      </c>
      <c r="K79" s="31" t="s">
        <v>257</v>
      </c>
      <c r="L79" s="31">
        <v>3.206</v>
      </c>
      <c r="M79" s="31">
        <v>2877</v>
      </c>
      <c r="N79" s="154">
        <f t="shared" si="9"/>
        <v>28.609315791885201</v>
      </c>
      <c r="O79" s="154">
        <f t="shared" si="1"/>
        <v>39.418231757313258</v>
      </c>
      <c r="P79" s="154">
        <f t="shared" si="2"/>
        <v>47.716806864116052</v>
      </c>
      <c r="Q79" s="154">
        <f t="shared" si="3"/>
        <v>51.866094417517445</v>
      </c>
      <c r="R79" s="154">
        <f t="shared" si="4"/>
        <v>59.127347635969883</v>
      </c>
      <c r="S79" s="154">
        <f t="shared" si="5"/>
        <v>67.425922742772684</v>
      </c>
      <c r="T79" s="29" t="str">
        <f t="shared" si="6"/>
        <v>A</v>
      </c>
      <c r="U79" s="16">
        <f>((SUM($J$30:J79)*L79/(M79*SUM($G$30:G79))))*10^6</f>
        <v>40.151838767155951</v>
      </c>
    </row>
    <row r="80" spans="2:21" ht="15.75" x14ac:dyDescent="0.25">
      <c r="B80" s="13">
        <v>51</v>
      </c>
      <c r="C80" s="456"/>
      <c r="D80" s="456"/>
      <c r="E80" s="256"/>
      <c r="F80" s="54">
        <v>0.94305555555554998</v>
      </c>
      <c r="G80" s="21">
        <f>'Testing DF8 (3)'!N81</f>
        <v>0.42676120007304957</v>
      </c>
      <c r="H80" s="153">
        <f>'Testing DF8 (3)'!CA81</f>
        <v>9.1114348013212644E-3</v>
      </c>
      <c r="I80" s="31">
        <v>2.2000000000000001E-3</v>
      </c>
      <c r="J80" s="153">
        <f t="shared" si="7"/>
        <v>1.1311434801321265E-2</v>
      </c>
      <c r="K80" s="31" t="s">
        <v>257</v>
      </c>
      <c r="L80" s="31">
        <v>3.206</v>
      </c>
      <c r="M80" s="31">
        <v>2877</v>
      </c>
      <c r="N80" s="154">
        <f t="shared" si="9"/>
        <v>29.536322750132779</v>
      </c>
      <c r="O80" s="154">
        <f t="shared" si="1"/>
        <v>39.418231757313258</v>
      </c>
      <c r="P80" s="154">
        <f t="shared" si="2"/>
        <v>47.716806864116052</v>
      </c>
      <c r="Q80" s="154">
        <f t="shared" si="3"/>
        <v>51.866094417517445</v>
      </c>
      <c r="R80" s="154">
        <f t="shared" si="4"/>
        <v>59.127347635969883</v>
      </c>
      <c r="S80" s="154">
        <f t="shared" si="5"/>
        <v>67.425922742772684</v>
      </c>
      <c r="T80" s="29" t="str">
        <f t="shared" si="6"/>
        <v>A</v>
      </c>
      <c r="U80" s="16">
        <f>((SUM($J$30:J80)*L80/(M80*SUM($G$30:G80))))*10^6</f>
        <v>39.901771964196357</v>
      </c>
    </row>
    <row r="81" spans="2:21" ht="15.75" x14ac:dyDescent="0.25">
      <c r="B81" s="13">
        <v>52</v>
      </c>
      <c r="C81" s="456"/>
      <c r="D81" s="456"/>
      <c r="E81" s="256"/>
      <c r="F81" s="54">
        <v>0.94513888888888298</v>
      </c>
      <c r="G81" s="21">
        <f>'Testing DF8 (3)'!N82</f>
        <v>0.3807540053091068</v>
      </c>
      <c r="H81" s="153">
        <f>'Testing DF8 (3)'!CA82</f>
        <v>6.517437321583947E-3</v>
      </c>
      <c r="I81" s="31">
        <v>2.2000000000000001E-3</v>
      </c>
      <c r="J81" s="153">
        <f t="shared" si="7"/>
        <v>8.7174373215839467E-3</v>
      </c>
      <c r="K81" s="31" t="s">
        <v>257</v>
      </c>
      <c r="L81" s="31">
        <v>3.206</v>
      </c>
      <c r="M81" s="31">
        <v>2877</v>
      </c>
      <c r="N81" s="154">
        <f t="shared" si="9"/>
        <v>25.513380676289273</v>
      </c>
      <c r="O81" s="154">
        <f t="shared" si="1"/>
        <v>39.418231757313258</v>
      </c>
      <c r="P81" s="154">
        <f t="shared" si="2"/>
        <v>47.716806864116052</v>
      </c>
      <c r="Q81" s="154">
        <f t="shared" si="3"/>
        <v>51.866094417517445</v>
      </c>
      <c r="R81" s="154">
        <f t="shared" si="4"/>
        <v>59.127347635969883</v>
      </c>
      <c r="S81" s="154">
        <f t="shared" si="5"/>
        <v>67.425922742772684</v>
      </c>
      <c r="T81" s="29" t="str">
        <f t="shared" si="6"/>
        <v>A</v>
      </c>
      <c r="U81" s="16">
        <f>((SUM($J$30:J81)*L81/(M81*SUM($G$30:G81))))*10^6</f>
        <v>39.605593365566925</v>
      </c>
    </row>
    <row r="82" spans="2:21" ht="15.75" x14ac:dyDescent="0.25">
      <c r="B82" s="13">
        <v>53</v>
      </c>
      <c r="C82" s="456"/>
      <c r="D82" s="456"/>
      <c r="E82" s="256"/>
      <c r="F82" s="54">
        <v>0.94722222222221597</v>
      </c>
      <c r="G82" s="21">
        <f>'Testing DF8 (3)'!N83</f>
        <v>0.40983087801005219</v>
      </c>
      <c r="H82" s="153">
        <f>'Testing DF8 (3)'!CA83</f>
        <v>8.0774658894502555E-3</v>
      </c>
      <c r="I82" s="31">
        <v>2.2000000000000001E-3</v>
      </c>
      <c r="J82" s="153">
        <f t="shared" si="7"/>
        <v>1.0277465889450256E-2</v>
      </c>
      <c r="K82" s="31" t="s">
        <v>257</v>
      </c>
      <c r="L82" s="31">
        <v>3.206</v>
      </c>
      <c r="M82" s="31">
        <v>2877</v>
      </c>
      <c r="N82" s="154">
        <f t="shared" si="9"/>
        <v>27.945058538335427</v>
      </c>
      <c r="O82" s="154">
        <f t="shared" si="1"/>
        <v>39.418231757313258</v>
      </c>
      <c r="P82" s="154">
        <f t="shared" si="2"/>
        <v>47.716806864116052</v>
      </c>
      <c r="Q82" s="154">
        <f t="shared" si="3"/>
        <v>51.866094417517445</v>
      </c>
      <c r="R82" s="154">
        <f t="shared" si="4"/>
        <v>59.127347635969883</v>
      </c>
      <c r="S82" s="154">
        <f t="shared" si="5"/>
        <v>67.425922742772684</v>
      </c>
      <c r="T82" s="29" t="str">
        <f t="shared" si="6"/>
        <v>A</v>
      </c>
      <c r="U82" s="16">
        <f>((SUM($J$30:J82)*L82/(M82*SUM($G$30:G82))))*10^6</f>
        <v>39.352836654546962</v>
      </c>
    </row>
    <row r="83" spans="2:21" ht="15.75" x14ac:dyDescent="0.25">
      <c r="B83" s="13">
        <v>54</v>
      </c>
      <c r="C83" s="456"/>
      <c r="D83" s="456"/>
      <c r="E83" s="257"/>
      <c r="F83" s="54">
        <v>0.94930555555554896</v>
      </c>
      <c r="G83" s="21">
        <f>'Testing DF8 (3)'!N84</f>
        <v>0.45371689585198555</v>
      </c>
      <c r="H83" s="153">
        <f>'Testing DF8 (3)'!CA84</f>
        <v>1.0985882230242829E-2</v>
      </c>
      <c r="I83" s="31">
        <v>2.2000000000000001E-3</v>
      </c>
      <c r="J83" s="153">
        <f t="shared" si="7"/>
        <v>1.3185882230242829E-2</v>
      </c>
      <c r="K83" s="31" t="s">
        <v>257</v>
      </c>
      <c r="L83" s="31">
        <v>3.206</v>
      </c>
      <c r="M83" s="31">
        <v>2877</v>
      </c>
      <c r="N83" s="154">
        <f t="shared" si="9"/>
        <v>32.385297913409417</v>
      </c>
      <c r="O83" s="154">
        <f t="shared" si="1"/>
        <v>39.418231757313258</v>
      </c>
      <c r="P83" s="154">
        <f t="shared" si="2"/>
        <v>47.716806864116052</v>
      </c>
      <c r="Q83" s="154">
        <f t="shared" si="3"/>
        <v>51.866094417517445</v>
      </c>
      <c r="R83" s="154">
        <f t="shared" si="4"/>
        <v>59.127347635969883</v>
      </c>
      <c r="S83" s="154">
        <f t="shared" si="5"/>
        <v>67.425922742772684</v>
      </c>
      <c r="T83" s="29" t="str">
        <f t="shared" si="6"/>
        <v>A</v>
      </c>
      <c r="U83" s="16">
        <f>((SUM($J$30:J83)*L83/(M83*SUM($G$30:G83))))*10^6</f>
        <v>39.189552127848415</v>
      </c>
    </row>
    <row r="84" spans="2:21" ht="15.75" x14ac:dyDescent="0.25">
      <c r="B84" s="13">
        <v>55</v>
      </c>
      <c r="C84" s="456"/>
      <c r="D84" s="456"/>
      <c r="E84" s="255">
        <v>0.95138888888888884</v>
      </c>
      <c r="F84" s="54">
        <v>0.95138888888888196</v>
      </c>
      <c r="G84" s="21">
        <f>'Testing DF8 (3)'!N85</f>
        <v>0.46868193241180617</v>
      </c>
      <c r="H84" s="153">
        <f>'Testing DF8 (3)'!CA85</f>
        <v>1.2167396759564622E-2</v>
      </c>
      <c r="I84" s="31">
        <v>2.3999999999999998E-3</v>
      </c>
      <c r="J84" s="153">
        <f t="shared" si="7"/>
        <v>1.4567396759564621E-2</v>
      </c>
      <c r="K84" s="31" t="s">
        <v>257</v>
      </c>
      <c r="L84" s="31">
        <v>3.206</v>
      </c>
      <c r="M84" s="31">
        <v>2877</v>
      </c>
      <c r="N84" s="154">
        <f t="shared" si="9"/>
        <v>34.635973056672391</v>
      </c>
      <c r="O84" s="154">
        <f t="shared" si="1"/>
        <v>39.418231757313258</v>
      </c>
      <c r="P84" s="154">
        <f t="shared" si="2"/>
        <v>47.716806864116052</v>
      </c>
      <c r="Q84" s="154">
        <f t="shared" si="3"/>
        <v>51.866094417517445</v>
      </c>
      <c r="R84" s="154">
        <f t="shared" si="4"/>
        <v>59.127347635969883</v>
      </c>
      <c r="S84" s="154">
        <f t="shared" si="5"/>
        <v>67.425922742772684</v>
      </c>
      <c r="T84" s="29" t="str">
        <f t="shared" si="6"/>
        <v>A</v>
      </c>
      <c r="U84" s="16">
        <f>((SUM($J$30:J84)*L84/(M84*SUM($G$30:G84))))*10^6</f>
        <v>39.081924537232176</v>
      </c>
    </row>
    <row r="85" spans="2:21" ht="15.75" x14ac:dyDescent="0.25">
      <c r="B85" s="13">
        <v>56</v>
      </c>
      <c r="C85" s="456"/>
      <c r="D85" s="456"/>
      <c r="E85" s="256"/>
      <c r="F85" s="54">
        <v>0.95347222222221495</v>
      </c>
      <c r="G85" s="21">
        <f>'Testing DF8 (3)'!N86</f>
        <v>0.34849972290773412</v>
      </c>
      <c r="H85" s="153">
        <f>'Testing DF8 (3)'!CA86</f>
        <v>5.0569551416005214E-3</v>
      </c>
      <c r="I85" s="31">
        <v>2.3999999999999998E-3</v>
      </c>
      <c r="J85" s="153">
        <f t="shared" si="7"/>
        <v>7.4569551416005207E-3</v>
      </c>
      <c r="K85" s="31" t="s">
        <v>257</v>
      </c>
      <c r="L85" s="31">
        <v>3.206</v>
      </c>
      <c r="M85" s="31">
        <v>2877</v>
      </c>
      <c r="N85" s="154">
        <f t="shared" si="9"/>
        <v>23.844199648460997</v>
      </c>
      <c r="O85" s="154">
        <f t="shared" si="1"/>
        <v>39.418231757313258</v>
      </c>
      <c r="P85" s="154">
        <f t="shared" si="2"/>
        <v>47.716806864116052</v>
      </c>
      <c r="Q85" s="154">
        <f t="shared" si="3"/>
        <v>51.866094417517445</v>
      </c>
      <c r="R85" s="154">
        <f t="shared" si="4"/>
        <v>59.127347635969883</v>
      </c>
      <c r="S85" s="154">
        <f t="shared" si="5"/>
        <v>67.425922742772684</v>
      </c>
      <c r="T85" s="29" t="str">
        <f t="shared" si="6"/>
        <v>A</v>
      </c>
      <c r="U85" s="16">
        <f>((SUM($J$30:J85)*L85/(M85*SUM($G$30:G85))))*10^6</f>
        <v>38.818747091737407</v>
      </c>
    </row>
    <row r="86" spans="2:21" ht="15.75" x14ac:dyDescent="0.25">
      <c r="B86" s="13">
        <v>57</v>
      </c>
      <c r="C86" s="456"/>
      <c r="D86" s="456"/>
      <c r="E86" s="256"/>
      <c r="F86" s="54">
        <v>0.95555555555554805</v>
      </c>
      <c r="G86" s="21">
        <f>'Testing DF8 (3)'!N87</f>
        <v>0.38842477827950667</v>
      </c>
      <c r="H86" s="153">
        <f>'Testing DF8 (3)'!CA87</f>
        <v>6.9047562652924804E-3</v>
      </c>
      <c r="I86" s="31">
        <v>2.3999999999999998E-3</v>
      </c>
      <c r="J86" s="153">
        <f t="shared" si="7"/>
        <v>9.3047562652924798E-3</v>
      </c>
      <c r="K86" s="31" t="s">
        <v>257</v>
      </c>
      <c r="L86" s="31">
        <v>3.206</v>
      </c>
      <c r="M86" s="31">
        <v>2877</v>
      </c>
      <c r="N86" s="154">
        <f t="shared" si="9"/>
        <v>26.694496331238497</v>
      </c>
      <c r="O86" s="154">
        <f t="shared" si="1"/>
        <v>39.418231757313258</v>
      </c>
      <c r="P86" s="154">
        <f t="shared" si="2"/>
        <v>47.716806864116052</v>
      </c>
      <c r="Q86" s="154">
        <f t="shared" si="3"/>
        <v>51.866094417517445</v>
      </c>
      <c r="R86" s="154">
        <f t="shared" si="4"/>
        <v>59.127347635969883</v>
      </c>
      <c r="S86" s="154">
        <f t="shared" si="5"/>
        <v>67.425922742772684</v>
      </c>
      <c r="T86" s="29" t="str">
        <f t="shared" si="6"/>
        <v>A</v>
      </c>
      <c r="U86" s="16">
        <f>((SUM($J$30:J86)*L86/(M86*SUM($G$30:G86))))*10^6</f>
        <v>38.589762017529821</v>
      </c>
    </row>
    <row r="87" spans="2:21" ht="15.75" x14ac:dyDescent="0.25">
      <c r="B87" s="13">
        <v>58</v>
      </c>
      <c r="C87" s="456"/>
      <c r="D87" s="456"/>
      <c r="E87" s="256"/>
      <c r="F87" s="54">
        <v>0.95763888888888105</v>
      </c>
      <c r="G87" s="21">
        <f>'Testing DF8 (3)'!N88</f>
        <v>0.64190521353953522</v>
      </c>
      <c r="H87" s="153">
        <f>'Testing DF8 (3)'!CA88</f>
        <v>3.8160762545700153E-2</v>
      </c>
      <c r="I87" s="31">
        <v>2.3999999999999998E-3</v>
      </c>
      <c r="J87" s="153">
        <f t="shared" si="7"/>
        <v>4.0560762545700152E-2</v>
      </c>
      <c r="K87" s="31" t="s">
        <v>257</v>
      </c>
      <c r="L87" s="31">
        <v>3.206</v>
      </c>
      <c r="M87" s="31">
        <v>2877</v>
      </c>
      <c r="N87" s="154">
        <f t="shared" si="9"/>
        <v>70.413975410387593</v>
      </c>
      <c r="O87" s="154">
        <f t="shared" si="1"/>
        <v>39.418231757313258</v>
      </c>
      <c r="P87" s="154">
        <f t="shared" si="2"/>
        <v>47.716806864116052</v>
      </c>
      <c r="Q87" s="154">
        <f t="shared" si="3"/>
        <v>51.866094417517445</v>
      </c>
      <c r="R87" s="154">
        <f t="shared" si="4"/>
        <v>59.127347635969883</v>
      </c>
      <c r="S87" s="154">
        <f t="shared" si="5"/>
        <v>67.425922742772684</v>
      </c>
      <c r="T87" s="29" t="str">
        <f t="shared" si="6"/>
        <v>E</v>
      </c>
      <c r="U87" s="16">
        <f>((SUM($J$30:J87)*L87/(M87*SUM($G$30:G87))))*10^6</f>
        <v>39.552983418411422</v>
      </c>
    </row>
    <row r="88" spans="2:21" ht="15.75" x14ac:dyDescent="0.25">
      <c r="B88" s="13">
        <v>59</v>
      </c>
      <c r="C88" s="456"/>
      <c r="D88" s="456"/>
      <c r="E88" s="257"/>
      <c r="F88" s="54">
        <v>0.95972222222221404</v>
      </c>
      <c r="G88" s="21">
        <f>'Testing DF8 (3)'!N89</f>
        <v>0.42004899019026948</v>
      </c>
      <c r="H88" s="153">
        <f>'Testing DF8 (3)'!CA89</f>
        <v>8.6893843955622822E-3</v>
      </c>
      <c r="I88" s="31">
        <v>2.3999999999999998E-3</v>
      </c>
      <c r="J88" s="153">
        <f t="shared" si="7"/>
        <v>1.1089384395562282E-2</v>
      </c>
      <c r="K88" s="31" t="s">
        <v>257</v>
      </c>
      <c r="L88" s="31">
        <v>3.206</v>
      </c>
      <c r="M88" s="31">
        <v>2877</v>
      </c>
      <c r="N88" s="154">
        <f t="shared" si="9"/>
        <v>29.419219662351594</v>
      </c>
      <c r="O88" s="154">
        <f t="shared" si="1"/>
        <v>39.418231757313258</v>
      </c>
      <c r="P88" s="154">
        <f t="shared" si="2"/>
        <v>47.716806864116052</v>
      </c>
      <c r="Q88" s="154">
        <f t="shared" si="3"/>
        <v>51.866094417517445</v>
      </c>
      <c r="R88" s="154">
        <f t="shared" si="4"/>
        <v>59.127347635969883</v>
      </c>
      <c r="S88" s="154">
        <f t="shared" si="5"/>
        <v>67.425922742772684</v>
      </c>
      <c r="T88" s="29" t="str">
        <f t="shared" si="6"/>
        <v>A</v>
      </c>
      <c r="U88" s="16">
        <f>((SUM($J$30:J88)*L88/(M88*SUM($G$30:G88))))*10^6</f>
        <v>39.356171821049017</v>
      </c>
    </row>
    <row r="89" spans="2:21" ht="15.75" x14ac:dyDescent="0.25">
      <c r="B89" s="13">
        <v>60</v>
      </c>
      <c r="C89" s="456"/>
      <c r="D89" s="456"/>
      <c r="E89" s="255">
        <v>0.96180555555555547</v>
      </c>
      <c r="F89" s="54">
        <v>0.96180555555554703</v>
      </c>
      <c r="G89" s="21">
        <f>'Testing DF8 (3)'!N90</f>
        <v>0.41497900154563272</v>
      </c>
      <c r="H89" s="153">
        <f>'Testing DF8 (3)'!CA90</f>
        <v>8.3812848322978757E-3</v>
      </c>
      <c r="I89" s="31">
        <v>2.3999999999999998E-3</v>
      </c>
      <c r="J89" s="153">
        <f t="shared" si="7"/>
        <v>1.0781284832297875E-2</v>
      </c>
      <c r="K89" s="31" t="s">
        <v>257</v>
      </c>
      <c r="L89" s="31">
        <v>3.206</v>
      </c>
      <c r="M89" s="31">
        <v>2877</v>
      </c>
      <c r="N89" s="154">
        <f t="shared" si="9"/>
        <v>28.951298997230452</v>
      </c>
      <c r="O89" s="154">
        <f t="shared" si="1"/>
        <v>39.418231757313258</v>
      </c>
      <c r="P89" s="154">
        <f t="shared" si="2"/>
        <v>47.716806864116052</v>
      </c>
      <c r="Q89" s="154">
        <f t="shared" si="3"/>
        <v>51.866094417517445</v>
      </c>
      <c r="R89" s="154">
        <f t="shared" si="4"/>
        <v>59.127347635969883</v>
      </c>
      <c r="S89" s="154">
        <f t="shared" si="5"/>
        <v>67.425922742772684</v>
      </c>
      <c r="T89" s="29" t="str">
        <f t="shared" si="6"/>
        <v>A</v>
      </c>
      <c r="U89" s="16">
        <f>((SUM($J$30:J89)*L89/(M89*SUM($G$30:G89))))*10^6</f>
        <v>39.160292312156592</v>
      </c>
    </row>
    <row r="90" spans="2:21" ht="15.75" x14ac:dyDescent="0.25">
      <c r="B90" s="13">
        <v>61</v>
      </c>
      <c r="C90" s="456"/>
      <c r="D90" s="456"/>
      <c r="E90" s="256"/>
      <c r="F90" s="54">
        <v>0.96388888888888002</v>
      </c>
      <c r="G90" s="21">
        <f>'Testing DF8 (3)'!N91</f>
        <v>0.46504911119493492</v>
      </c>
      <c r="H90" s="153">
        <f>'Testing DF8 (3)'!CA91</f>
        <v>1.1870387906282686E-2</v>
      </c>
      <c r="I90" s="31">
        <v>2.3999999999999998E-3</v>
      </c>
      <c r="J90" s="153">
        <f t="shared" si="7"/>
        <v>1.4270387906282685E-2</v>
      </c>
      <c r="K90" s="31" t="s">
        <v>257</v>
      </c>
      <c r="L90" s="31">
        <v>3.206</v>
      </c>
      <c r="M90" s="31">
        <v>2877</v>
      </c>
      <c r="N90" s="154">
        <f t="shared" si="9"/>
        <v>34.194843148830415</v>
      </c>
      <c r="O90" s="154">
        <f t="shared" si="1"/>
        <v>39.418231757313258</v>
      </c>
      <c r="P90" s="154">
        <f t="shared" si="2"/>
        <v>47.716806864116052</v>
      </c>
      <c r="Q90" s="154">
        <f t="shared" si="3"/>
        <v>51.866094417517445</v>
      </c>
      <c r="R90" s="154">
        <f t="shared" si="4"/>
        <v>59.127347635969883</v>
      </c>
      <c r="S90" s="154">
        <f t="shared" si="5"/>
        <v>67.425922742772684</v>
      </c>
      <c r="T90" s="29" t="str">
        <f t="shared" si="6"/>
        <v>A</v>
      </c>
      <c r="U90" s="16">
        <f>((SUM($J$30:J90)*L90/(M90*SUM($G$30:G90))))*10^6</f>
        <v>39.057699630995486</v>
      </c>
    </row>
    <row r="91" spans="2:21" ht="15.75" x14ac:dyDescent="0.25">
      <c r="B91" s="13">
        <v>62</v>
      </c>
      <c r="C91" s="456"/>
      <c r="D91" s="456"/>
      <c r="E91" s="256"/>
      <c r="F91" s="54">
        <v>0.96597222222221302</v>
      </c>
      <c r="G91" s="21">
        <f>'Testing DF8 (3)'!N92</f>
        <v>0.38364212080521165</v>
      </c>
      <c r="H91" s="153">
        <f>'Testing DF8 (3)'!CA92</f>
        <v>6.6613403096036222E-3</v>
      </c>
      <c r="I91" s="31">
        <v>2.3999999999999998E-3</v>
      </c>
      <c r="J91" s="153">
        <f t="shared" si="7"/>
        <v>9.0613403096036216E-3</v>
      </c>
      <c r="K91" s="31" t="s">
        <v>257</v>
      </c>
      <c r="L91" s="31">
        <v>3.206</v>
      </c>
      <c r="M91" s="31">
        <v>2877</v>
      </c>
      <c r="N91" s="154">
        <f t="shared" si="9"/>
        <v>26.320238127099728</v>
      </c>
      <c r="O91" s="154">
        <f t="shared" si="1"/>
        <v>39.418231757313258</v>
      </c>
      <c r="P91" s="154">
        <f t="shared" si="2"/>
        <v>47.716806864116052</v>
      </c>
      <c r="Q91" s="154">
        <f t="shared" si="3"/>
        <v>51.866094417517445</v>
      </c>
      <c r="R91" s="154">
        <f t="shared" si="4"/>
        <v>59.127347635969883</v>
      </c>
      <c r="S91" s="154">
        <f t="shared" si="5"/>
        <v>67.425922742772684</v>
      </c>
      <c r="T91" s="29" t="str">
        <f t="shared" si="6"/>
        <v>A</v>
      </c>
      <c r="U91" s="16">
        <f>((SUM($J$30:J91)*L91/(M91*SUM($G$30:G91))))*10^6</f>
        <v>38.844233874951897</v>
      </c>
    </row>
    <row r="92" spans="2:21" ht="15.75" x14ac:dyDescent="0.25">
      <c r="B92" s="13">
        <v>63</v>
      </c>
      <c r="C92" s="456"/>
      <c r="D92" s="456"/>
      <c r="E92" s="256"/>
      <c r="F92" s="54">
        <v>0.96805555555554601</v>
      </c>
      <c r="G92" s="21">
        <f>'Testing DF8 (3)'!N93</f>
        <v>0.40968693824952923</v>
      </c>
      <c r="H92" s="153">
        <f>'Testing DF8 (3)'!CA93</f>
        <v>8.0690986988049117E-3</v>
      </c>
      <c r="I92" s="31">
        <v>2.3999999999999998E-3</v>
      </c>
      <c r="J92" s="153">
        <f t="shared" si="7"/>
        <v>1.0469098698804911E-2</v>
      </c>
      <c r="K92" s="31" t="s">
        <v>257</v>
      </c>
      <c r="L92" s="31">
        <v>3.206</v>
      </c>
      <c r="M92" s="31">
        <v>2877</v>
      </c>
      <c r="N92" s="154">
        <f t="shared" si="9"/>
        <v>28.476121182232532</v>
      </c>
      <c r="O92" s="154">
        <f t="shared" si="1"/>
        <v>39.418231757313258</v>
      </c>
      <c r="P92" s="154">
        <f t="shared" si="2"/>
        <v>47.716806864116052</v>
      </c>
      <c r="Q92" s="154">
        <f t="shared" si="3"/>
        <v>51.866094417517445</v>
      </c>
      <c r="R92" s="154">
        <f t="shared" si="4"/>
        <v>59.127347635969883</v>
      </c>
      <c r="S92" s="154">
        <f t="shared" si="5"/>
        <v>67.425922742772684</v>
      </c>
      <c r="T92" s="29" t="str">
        <f t="shared" si="6"/>
        <v>A</v>
      </c>
      <c r="U92" s="16">
        <f>((SUM($J$30:J92)*L92/(M92*SUM($G$30:G92))))*10^6</f>
        <v>38.661942046856346</v>
      </c>
    </row>
    <row r="93" spans="2:21" ht="15.75" x14ac:dyDescent="0.25">
      <c r="B93" s="13">
        <v>64</v>
      </c>
      <c r="C93" s="456"/>
      <c r="D93" s="456"/>
      <c r="E93" s="257"/>
      <c r="F93" s="54">
        <v>0.970138888888879</v>
      </c>
      <c r="G93" s="21">
        <f>'Testing DF8 (3)'!N94</f>
        <v>0.39961487708567817</v>
      </c>
      <c r="H93" s="153">
        <f>'Testing DF8 (3)'!CA94</f>
        <v>7.5002170659099207E-3</v>
      </c>
      <c r="I93" s="31">
        <v>2.3999999999999998E-3</v>
      </c>
      <c r="J93" s="153">
        <f t="shared" si="7"/>
        <v>9.900217065909921E-3</v>
      </c>
      <c r="K93" s="31" t="s">
        <v>257</v>
      </c>
      <c r="L93" s="31">
        <v>3.206</v>
      </c>
      <c r="M93" s="31">
        <v>2877</v>
      </c>
      <c r="N93" s="154">
        <f t="shared" si="9"/>
        <v>27.607477372490393</v>
      </c>
      <c r="O93" s="154">
        <f t="shared" si="1"/>
        <v>39.418231757313258</v>
      </c>
      <c r="P93" s="154">
        <f t="shared" si="2"/>
        <v>47.716806864116052</v>
      </c>
      <c r="Q93" s="154">
        <f t="shared" si="3"/>
        <v>51.866094417517445</v>
      </c>
      <c r="R93" s="154">
        <f t="shared" si="4"/>
        <v>59.127347635969883</v>
      </c>
      <c r="S93" s="154">
        <f t="shared" si="5"/>
        <v>67.425922742772684</v>
      </c>
      <c r="T93" s="29" t="str">
        <f t="shared" si="6"/>
        <v>A</v>
      </c>
      <c r="U93" s="16">
        <f>((SUM($J$30:J93)*L93/(M93*SUM($G$30:G93))))*10^6</f>
        <v>38.475557520698018</v>
      </c>
    </row>
    <row r="94" spans="2:21" ht="15.75" x14ac:dyDescent="0.25">
      <c r="B94" s="13">
        <v>65</v>
      </c>
      <c r="C94" s="456"/>
      <c r="D94" s="456"/>
      <c r="E94" s="255">
        <v>0.97222222222222199</v>
      </c>
      <c r="F94" s="54">
        <v>0.972222222222212</v>
      </c>
      <c r="G94" s="21">
        <f>'Testing DF8 (3)'!N95</f>
        <v>0.5595809626326036</v>
      </c>
      <c r="H94" s="153">
        <f>'Testing DF8 (3)'!CA95</f>
        <v>2.237459267280727E-2</v>
      </c>
      <c r="I94" s="31">
        <v>2.5999999999999999E-3</v>
      </c>
      <c r="J94" s="153">
        <f t="shared" si="7"/>
        <v>2.4974592672807272E-2</v>
      </c>
      <c r="K94" s="31" t="s">
        <v>257</v>
      </c>
      <c r="L94" s="31">
        <v>3.206</v>
      </c>
      <c r="M94" s="31">
        <v>2877</v>
      </c>
      <c r="N94" s="154">
        <f t="shared" si="9"/>
        <v>49.734658340931709</v>
      </c>
      <c r="O94" s="154">
        <f t="shared" ref="O94:O157" si="10">0.76*Q94</f>
        <v>39.418231757313258</v>
      </c>
      <c r="P94" s="154">
        <f t="shared" ref="P94:P157" si="11">0.92*Q94</f>
        <v>47.716806864116052</v>
      </c>
      <c r="Q94" s="154">
        <f t="shared" ref="Q94:Q157" si="12">2023*M94^(-0.46)</f>
        <v>51.866094417517445</v>
      </c>
      <c r="R94" s="154">
        <f t="shared" ref="R94:R157" si="13">1.14*Q94</f>
        <v>59.127347635969883</v>
      </c>
      <c r="S94" s="154">
        <f t="shared" ref="S94:S157" si="14">1.3*Q94</f>
        <v>67.425922742772684</v>
      </c>
      <c r="T94" s="29" t="str">
        <f t="shared" ref="T94:T157" si="15">IF(N94&lt;=O94,"A",IF((AND(N94&lt;=P94,N94&gt;O94)),"B",IF((AND(N94&lt;=Q94,N94&gt;P94)),"C",IF((AND(N94&lt;=R94,N94&gt;Q94)),"D","E"))))</f>
        <v>C</v>
      </c>
      <c r="U94" s="16">
        <f>((SUM($J$30:J94)*L94/(M94*SUM($G$30:G94))))*10^6</f>
        <v>38.735251970521553</v>
      </c>
    </row>
    <row r="95" spans="2:21" ht="15.75" x14ac:dyDescent="0.25">
      <c r="B95" s="13">
        <v>66</v>
      </c>
      <c r="C95" s="456"/>
      <c r="D95" s="456"/>
      <c r="E95" s="256"/>
      <c r="F95" s="54">
        <v>0.97430555555554499</v>
      </c>
      <c r="G95" s="21">
        <f>'Testing DF8 (3)'!N96</f>
        <v>0.32375580398137516</v>
      </c>
      <c r="H95" s="153">
        <f>'Testing DF8 (3)'!CA96</f>
        <v>4.1017345763652074E-3</v>
      </c>
      <c r="I95" s="31">
        <v>2.5999999999999999E-3</v>
      </c>
      <c r="J95" s="153">
        <f t="shared" ref="J95:J130" si="16">H95+I95</f>
        <v>6.7017345763652073E-3</v>
      </c>
      <c r="K95" s="31" t="s">
        <v>257</v>
      </c>
      <c r="L95" s="31">
        <v>3.206</v>
      </c>
      <c r="M95" s="31">
        <v>2877</v>
      </c>
      <c r="N95" s="154">
        <f t="shared" si="9"/>
        <v>23.067116916729649</v>
      </c>
      <c r="O95" s="154">
        <f t="shared" si="10"/>
        <v>39.418231757313258</v>
      </c>
      <c r="P95" s="154">
        <f t="shared" si="11"/>
        <v>47.716806864116052</v>
      </c>
      <c r="Q95" s="154">
        <f t="shared" si="12"/>
        <v>51.866094417517445</v>
      </c>
      <c r="R95" s="154">
        <f t="shared" si="13"/>
        <v>59.127347635969883</v>
      </c>
      <c r="S95" s="154">
        <f t="shared" si="14"/>
        <v>67.425922742772684</v>
      </c>
      <c r="T95" s="29" t="str">
        <f t="shared" si="15"/>
        <v>A</v>
      </c>
      <c r="U95" s="16">
        <f>((SUM($J$30:J95)*L95/(M95*SUM($G$30:G95))))*10^6</f>
        <v>38.528916622547612</v>
      </c>
    </row>
    <row r="96" spans="2:21" ht="15.75" x14ac:dyDescent="0.25">
      <c r="B96" s="13">
        <v>67</v>
      </c>
      <c r="C96" s="456"/>
      <c r="D96" s="456"/>
      <c r="E96" s="256"/>
      <c r="F96" s="54">
        <v>0.97638888888887798</v>
      </c>
      <c r="G96" s="21">
        <f>'Testing DF8 (3)'!N97</f>
        <v>0.4114656507442197</v>
      </c>
      <c r="H96" s="153">
        <f>'Testing DF8 (3)'!CA97</f>
        <v>8.1729774382598014E-3</v>
      </c>
      <c r="I96" s="31">
        <v>2.5999999999999999E-3</v>
      </c>
      <c r="J96" s="153">
        <f t="shared" si="16"/>
        <v>1.0772977438259801E-2</v>
      </c>
      <c r="K96" s="31" t="s">
        <v>257</v>
      </c>
      <c r="L96" s="31">
        <v>3.206</v>
      </c>
      <c r="M96" s="31">
        <v>2877</v>
      </c>
      <c r="N96" s="154">
        <f t="shared" si="9"/>
        <v>29.176004708055014</v>
      </c>
      <c r="O96" s="154">
        <f t="shared" si="10"/>
        <v>39.418231757313258</v>
      </c>
      <c r="P96" s="154">
        <f t="shared" si="11"/>
        <v>47.716806864116052</v>
      </c>
      <c r="Q96" s="154">
        <f t="shared" si="12"/>
        <v>51.866094417517445</v>
      </c>
      <c r="R96" s="154">
        <f t="shared" si="13"/>
        <v>59.127347635969883</v>
      </c>
      <c r="S96" s="154">
        <f t="shared" si="14"/>
        <v>67.425922742772684</v>
      </c>
      <c r="T96" s="29" t="str">
        <f t="shared" si="15"/>
        <v>A</v>
      </c>
      <c r="U96" s="16">
        <f>((SUM($J$30:J96)*L96/(M96*SUM($G$30:G96))))*10^6</f>
        <v>38.374955646993321</v>
      </c>
    </row>
    <row r="97" spans="2:21" ht="15.75" x14ac:dyDescent="0.25">
      <c r="B97" s="13">
        <v>68</v>
      </c>
      <c r="C97" s="456"/>
      <c r="D97" s="456"/>
      <c r="E97" s="256"/>
      <c r="F97" s="54">
        <v>0.97847222222221097</v>
      </c>
      <c r="G97" s="21">
        <f>'Testing DF8 (3)'!N98</f>
        <v>0.42856210961449076</v>
      </c>
      <c r="H97" s="153">
        <f>'Testing DF8 (3)'!CA98</f>
        <v>9.2275113229069745E-3</v>
      </c>
      <c r="I97" s="31">
        <v>2.5999999999999999E-3</v>
      </c>
      <c r="J97" s="153">
        <f t="shared" si="16"/>
        <v>1.1827511322906974E-2</v>
      </c>
      <c r="K97" s="31" t="s">
        <v>257</v>
      </c>
      <c r="L97" s="31">
        <v>3.206</v>
      </c>
      <c r="M97" s="31">
        <v>2877</v>
      </c>
      <c r="N97" s="154">
        <f t="shared" ref="N97:N130" si="17">((J97*L97)/(M97*G97))*10^6</f>
        <v>30.75411665755281</v>
      </c>
      <c r="O97" s="154">
        <f t="shared" si="10"/>
        <v>39.418231757313258</v>
      </c>
      <c r="P97" s="154">
        <f t="shared" si="11"/>
        <v>47.716806864116052</v>
      </c>
      <c r="Q97" s="154">
        <f t="shared" si="12"/>
        <v>51.866094417517445</v>
      </c>
      <c r="R97" s="154">
        <f t="shared" si="13"/>
        <v>59.127347635969883</v>
      </c>
      <c r="S97" s="154">
        <f t="shared" si="14"/>
        <v>67.425922742772684</v>
      </c>
      <c r="T97" s="29" t="str">
        <f t="shared" si="15"/>
        <v>A</v>
      </c>
      <c r="U97" s="16">
        <f>((SUM($J$30:J97)*L97/(M97*SUM($G$30:G97))))*10^6</f>
        <v>38.246496864035777</v>
      </c>
    </row>
    <row r="98" spans="2:21" ht="15.75" x14ac:dyDescent="0.25">
      <c r="B98" s="13">
        <v>69</v>
      </c>
      <c r="C98" s="456"/>
      <c r="D98" s="456"/>
      <c r="E98" s="257"/>
      <c r="F98" s="54">
        <v>0.98055555555554397</v>
      </c>
      <c r="G98" s="21">
        <f>'Testing DF8 (3)'!N99</f>
        <v>0.57291623656170343</v>
      </c>
      <c r="H98" s="153">
        <f>'Testing DF8 (3)'!CA99</f>
        <v>2.4435990307199725E-2</v>
      </c>
      <c r="I98" s="31">
        <v>2.5999999999999999E-3</v>
      </c>
      <c r="J98" s="153">
        <f t="shared" si="16"/>
        <v>2.7035990307199727E-2</v>
      </c>
      <c r="K98" s="31" t="s">
        <v>257</v>
      </c>
      <c r="L98" s="31">
        <v>3.206</v>
      </c>
      <c r="M98" s="31">
        <v>2877</v>
      </c>
      <c r="N98" s="154">
        <f t="shared" si="17"/>
        <v>52.58656554888826</v>
      </c>
      <c r="O98" s="154">
        <f t="shared" si="10"/>
        <v>39.418231757313258</v>
      </c>
      <c r="P98" s="154">
        <f t="shared" si="11"/>
        <v>47.716806864116052</v>
      </c>
      <c r="Q98" s="154">
        <f t="shared" si="12"/>
        <v>51.866094417517445</v>
      </c>
      <c r="R98" s="154">
        <f t="shared" si="13"/>
        <v>59.127347635969883</v>
      </c>
      <c r="S98" s="154">
        <f t="shared" si="14"/>
        <v>67.425922742772684</v>
      </c>
      <c r="T98" s="29" t="str">
        <f t="shared" si="15"/>
        <v>D</v>
      </c>
      <c r="U98" s="16">
        <f>((SUM($J$30:J98)*L98/(M98*SUM($G$30:G98))))*10^6</f>
        <v>38.562514884468847</v>
      </c>
    </row>
    <row r="99" spans="2:21" ht="15.75" x14ac:dyDescent="0.25">
      <c r="B99" s="13">
        <v>70</v>
      </c>
      <c r="C99" s="456"/>
      <c r="D99" s="456"/>
      <c r="E99" s="255">
        <v>0.98263888888888895</v>
      </c>
      <c r="F99" s="54">
        <v>0.98263888888887696</v>
      </c>
      <c r="G99" s="21">
        <f>'Testing DF8 (3)'!N100</f>
        <v>0.41251920628157246</v>
      </c>
      <c r="H99" s="153">
        <f>'Testing DF8 (3)'!CA100</f>
        <v>8.2350045951286414E-3</v>
      </c>
      <c r="I99" s="31">
        <v>2.3999999999999998E-3</v>
      </c>
      <c r="J99" s="153">
        <f t="shared" si="16"/>
        <v>1.0635004595128641E-2</v>
      </c>
      <c r="K99" s="31" t="s">
        <v>257</v>
      </c>
      <c r="L99" s="31">
        <v>3.206</v>
      </c>
      <c r="M99" s="31">
        <v>2877</v>
      </c>
      <c r="N99" s="154">
        <f t="shared" si="17"/>
        <v>28.728778741342008</v>
      </c>
      <c r="O99" s="154">
        <f t="shared" si="10"/>
        <v>39.418231757313258</v>
      </c>
      <c r="P99" s="154">
        <f t="shared" si="11"/>
        <v>47.716806864116052</v>
      </c>
      <c r="Q99" s="154">
        <f t="shared" si="12"/>
        <v>51.866094417517445</v>
      </c>
      <c r="R99" s="154">
        <f t="shared" si="13"/>
        <v>59.127347635969883</v>
      </c>
      <c r="S99" s="154">
        <f t="shared" si="14"/>
        <v>67.425922742772684</v>
      </c>
      <c r="T99" s="29" t="str">
        <f t="shared" si="15"/>
        <v>A</v>
      </c>
      <c r="U99" s="16">
        <f>((SUM($J$30:J99)*L99/(M99*SUM($G$30:G99))))*10^6</f>
        <v>38.408913523360226</v>
      </c>
    </row>
    <row r="100" spans="2:21" ht="15.75" x14ac:dyDescent="0.25">
      <c r="B100" s="13">
        <v>71</v>
      </c>
      <c r="C100" s="456"/>
      <c r="D100" s="456"/>
      <c r="E100" s="256"/>
      <c r="F100" s="54">
        <v>0.98472222222220995</v>
      </c>
      <c r="G100" s="21">
        <f>'Testing DF8 (3)'!N101</f>
        <v>0.47940681459032403</v>
      </c>
      <c r="H100" s="153">
        <f>'Testing DF8 (3)'!CA101</f>
        <v>1.3084945603751135E-2</v>
      </c>
      <c r="I100" s="31">
        <v>2.3999999999999998E-3</v>
      </c>
      <c r="J100" s="153">
        <f t="shared" si="16"/>
        <v>1.5484945603751134E-2</v>
      </c>
      <c r="K100" s="31" t="s">
        <v>257</v>
      </c>
      <c r="L100" s="31">
        <v>3.206</v>
      </c>
      <c r="M100" s="31">
        <v>2877</v>
      </c>
      <c r="N100" s="154">
        <f t="shared" si="17"/>
        <v>35.993919177513725</v>
      </c>
      <c r="O100" s="154">
        <f t="shared" si="10"/>
        <v>39.418231757313258</v>
      </c>
      <c r="P100" s="154">
        <f t="shared" si="11"/>
        <v>47.716806864116052</v>
      </c>
      <c r="Q100" s="154">
        <f t="shared" si="12"/>
        <v>51.866094417517445</v>
      </c>
      <c r="R100" s="154">
        <f t="shared" si="13"/>
        <v>59.127347635969883</v>
      </c>
      <c r="S100" s="154">
        <f t="shared" si="14"/>
        <v>67.425922742772684</v>
      </c>
      <c r="T100" s="29" t="str">
        <f t="shared" si="15"/>
        <v>A</v>
      </c>
      <c r="U100" s="16">
        <f>((SUM($J$30:J100)*L100/(M100*SUM($G$30:G100))))*10^6</f>
        <v>38.365856913971825</v>
      </c>
    </row>
    <row r="101" spans="2:21" ht="15.75" x14ac:dyDescent="0.25">
      <c r="B101" s="13">
        <v>72</v>
      </c>
      <c r="C101" s="456"/>
      <c r="D101" s="456"/>
      <c r="E101" s="256"/>
      <c r="F101" s="54">
        <v>0.98680555555554295</v>
      </c>
      <c r="G101" s="21">
        <f>'Testing DF8 (3)'!N102</f>
        <v>0.39091455066133263</v>
      </c>
      <c r="H101" s="153">
        <f>'Testing DF8 (3)'!CA102</f>
        <v>7.0340529924223256E-3</v>
      </c>
      <c r="I101" s="31">
        <v>2.3999999999999998E-3</v>
      </c>
      <c r="J101" s="153">
        <f t="shared" si="16"/>
        <v>9.4340529924223249E-3</v>
      </c>
      <c r="K101" s="31" t="s">
        <v>257</v>
      </c>
      <c r="L101" s="31">
        <v>3.206</v>
      </c>
      <c r="M101" s="31">
        <v>2877</v>
      </c>
      <c r="N101" s="154">
        <f t="shared" si="17"/>
        <v>26.893054467289712</v>
      </c>
      <c r="O101" s="154">
        <f t="shared" si="10"/>
        <v>39.418231757313258</v>
      </c>
      <c r="P101" s="154">
        <f t="shared" si="11"/>
        <v>47.716806864116052</v>
      </c>
      <c r="Q101" s="154">
        <f t="shared" si="12"/>
        <v>51.866094417517445</v>
      </c>
      <c r="R101" s="154">
        <f t="shared" si="13"/>
        <v>59.127347635969883</v>
      </c>
      <c r="S101" s="154">
        <f t="shared" si="14"/>
        <v>67.425922742772684</v>
      </c>
      <c r="T101" s="29" t="str">
        <f t="shared" si="15"/>
        <v>A</v>
      </c>
      <c r="U101" s="16">
        <f>((SUM($J$30:J101)*L101/(M101*SUM($G$30:G101))))*10^6</f>
        <v>38.201456621249818</v>
      </c>
    </row>
    <row r="102" spans="2:21" ht="15.75" x14ac:dyDescent="0.25">
      <c r="B102" s="13">
        <v>73</v>
      </c>
      <c r="C102" s="456"/>
      <c r="D102" s="456"/>
      <c r="E102" s="256"/>
      <c r="F102" s="54">
        <v>0.98888888888887605</v>
      </c>
      <c r="G102" s="21">
        <f>'Testing DF8 (3)'!N103</f>
        <v>0.41014442277637292</v>
      </c>
      <c r="H102" s="153">
        <f>'Testing DF8 (3)'!CA103</f>
        <v>8.0957159142296762E-3</v>
      </c>
      <c r="I102" s="31">
        <v>2.3999999999999998E-3</v>
      </c>
      <c r="J102" s="153">
        <f t="shared" si="16"/>
        <v>1.0495715914229676E-2</v>
      </c>
      <c r="K102" s="31" t="s">
        <v>257</v>
      </c>
      <c r="L102" s="31">
        <v>3.206</v>
      </c>
      <c r="M102" s="31">
        <v>2877</v>
      </c>
      <c r="N102" s="154">
        <f t="shared" si="17"/>
        <v>28.516676770698329</v>
      </c>
      <c r="O102" s="154">
        <f t="shared" si="10"/>
        <v>39.418231757313258</v>
      </c>
      <c r="P102" s="154">
        <f t="shared" si="11"/>
        <v>47.716806864116052</v>
      </c>
      <c r="Q102" s="154">
        <f t="shared" si="12"/>
        <v>51.866094417517445</v>
      </c>
      <c r="R102" s="154">
        <f t="shared" si="13"/>
        <v>59.127347635969883</v>
      </c>
      <c r="S102" s="154">
        <f t="shared" si="14"/>
        <v>67.425922742772684</v>
      </c>
      <c r="T102" s="29" t="str">
        <f t="shared" si="15"/>
        <v>A</v>
      </c>
      <c r="U102" s="16">
        <f>((SUM($J$30:J102)*L102/(M102*SUM($G$30:G102))))*10^6</f>
        <v>38.058007791859133</v>
      </c>
    </row>
    <row r="103" spans="2:21" ht="15.75" x14ac:dyDescent="0.25">
      <c r="B103" s="13">
        <v>74</v>
      </c>
      <c r="C103" s="456"/>
      <c r="D103" s="456"/>
      <c r="E103" s="257"/>
      <c r="F103" s="54">
        <v>0.99097222222220904</v>
      </c>
      <c r="G103" s="21">
        <f>'Testing DF8 (3)'!N104</f>
        <v>0.40322466161912457</v>
      </c>
      <c r="H103" s="153">
        <f>'Testing DF8 (3)'!CA104</f>
        <v>7.7003951474576898E-3</v>
      </c>
      <c r="I103" s="31">
        <v>2.3999999999999998E-3</v>
      </c>
      <c r="J103" s="153">
        <f t="shared" si="16"/>
        <v>1.010039514745769E-2</v>
      </c>
      <c r="K103" s="31" t="s">
        <v>257</v>
      </c>
      <c r="L103" s="31">
        <v>3.206</v>
      </c>
      <c r="M103" s="31">
        <v>2877</v>
      </c>
      <c r="N103" s="154">
        <f t="shared" si="17"/>
        <v>27.913541111277588</v>
      </c>
      <c r="O103" s="154">
        <f t="shared" si="10"/>
        <v>39.418231757313258</v>
      </c>
      <c r="P103" s="154">
        <f t="shared" si="11"/>
        <v>47.716806864116052</v>
      </c>
      <c r="Q103" s="154">
        <f t="shared" si="12"/>
        <v>51.866094417517445</v>
      </c>
      <c r="R103" s="154">
        <f t="shared" si="13"/>
        <v>59.127347635969883</v>
      </c>
      <c r="S103" s="154">
        <f t="shared" si="14"/>
        <v>67.425922742772684</v>
      </c>
      <c r="T103" s="29" t="str">
        <f t="shared" si="15"/>
        <v>A</v>
      </c>
      <c r="U103" s="16">
        <f>((SUM($J$30:J103)*L103/(M103*SUM($G$30:G103))))*10^6</f>
        <v>37.912405500484681</v>
      </c>
    </row>
    <row r="104" spans="2:21" ht="15.75" x14ac:dyDescent="0.25">
      <c r="B104" s="13">
        <v>75</v>
      </c>
      <c r="C104" s="456"/>
      <c r="D104" s="456"/>
      <c r="E104" s="255">
        <v>0.99305555555555503</v>
      </c>
      <c r="F104" s="54">
        <v>0.99305555555554204</v>
      </c>
      <c r="G104" s="21">
        <f>'Testing DF8 (3)'!N105</f>
        <v>0.42076826224702446</v>
      </c>
      <c r="H104" s="153">
        <f>'Testing DF8 (3)'!CA105</f>
        <v>8.7338281613492351E-3</v>
      </c>
      <c r="I104" s="31">
        <v>2.5999999999999999E-3</v>
      </c>
      <c r="J104" s="153">
        <f t="shared" si="16"/>
        <v>1.1333828161349235E-2</v>
      </c>
      <c r="K104" s="31" t="s">
        <v>257</v>
      </c>
      <c r="L104" s="31">
        <v>3.206</v>
      </c>
      <c r="M104" s="31">
        <v>2877</v>
      </c>
      <c r="N104" s="154">
        <f t="shared" si="17"/>
        <v>30.016310244109771</v>
      </c>
      <c r="O104" s="154">
        <f t="shared" si="10"/>
        <v>39.418231757313258</v>
      </c>
      <c r="P104" s="154">
        <f t="shared" si="11"/>
        <v>47.716806864116052</v>
      </c>
      <c r="Q104" s="154">
        <f t="shared" si="12"/>
        <v>51.866094417517445</v>
      </c>
      <c r="R104" s="154">
        <f t="shared" si="13"/>
        <v>59.127347635969883</v>
      </c>
      <c r="S104" s="154">
        <f t="shared" si="14"/>
        <v>67.425922742772684</v>
      </c>
      <c r="T104" s="29" t="str">
        <f t="shared" si="15"/>
        <v>A</v>
      </c>
      <c r="U104" s="16">
        <f>((SUM($J$30:J104)*L104/(M104*SUM($G$30:G104))))*10^6</f>
        <v>37.795888067656172</v>
      </c>
    </row>
    <row r="105" spans="2:21" ht="15.75" x14ac:dyDescent="0.25">
      <c r="B105" s="13">
        <v>76</v>
      </c>
      <c r="C105" s="456"/>
      <c r="D105" s="456"/>
      <c r="E105" s="256"/>
      <c r="F105" s="54">
        <v>0.99513888888887503</v>
      </c>
      <c r="G105" s="21">
        <f>'Testing DF8 (3)'!N106</f>
        <v>0.51422551177914511</v>
      </c>
      <c r="H105" s="153">
        <f>'Testing DF8 (3)'!CA106</f>
        <v>1.6538155763651138E-2</v>
      </c>
      <c r="I105" s="31">
        <v>2.5999999999999999E-3</v>
      </c>
      <c r="J105" s="153">
        <f t="shared" si="16"/>
        <v>1.9138155763651139E-2</v>
      </c>
      <c r="K105" s="31" t="s">
        <v>257</v>
      </c>
      <c r="L105" s="31">
        <v>3.206</v>
      </c>
      <c r="M105" s="31">
        <v>2877</v>
      </c>
      <c r="N105" s="154">
        <f t="shared" si="17"/>
        <v>41.473445990412827</v>
      </c>
      <c r="O105" s="154">
        <f t="shared" si="10"/>
        <v>39.418231757313258</v>
      </c>
      <c r="P105" s="154">
        <f t="shared" si="11"/>
        <v>47.716806864116052</v>
      </c>
      <c r="Q105" s="154">
        <f t="shared" si="12"/>
        <v>51.866094417517445</v>
      </c>
      <c r="R105" s="154">
        <f t="shared" si="13"/>
        <v>59.127347635969883</v>
      </c>
      <c r="S105" s="154">
        <f t="shared" si="14"/>
        <v>67.425922742772684</v>
      </c>
      <c r="T105" s="29" t="str">
        <f t="shared" si="15"/>
        <v>B</v>
      </c>
      <c r="U105" s="16">
        <f>((SUM($J$30:J105)*L105/(M105*SUM($G$30:G105))))*10^6</f>
        <v>37.861033873941331</v>
      </c>
    </row>
    <row r="106" spans="2:21" ht="15.75" x14ac:dyDescent="0.25">
      <c r="B106" s="13">
        <v>77</v>
      </c>
      <c r="C106" s="456"/>
      <c r="D106" s="456"/>
      <c r="E106" s="256"/>
      <c r="F106" s="54">
        <v>0.99722222222220802</v>
      </c>
      <c r="G106" s="21">
        <f>'Testing DF8 (3)'!N107</f>
        <v>0.43180652323310953</v>
      </c>
      <c r="H106" s="153">
        <f>'Testing DF8 (3)'!CA107</f>
        <v>9.4397507776211066E-3</v>
      </c>
      <c r="I106" s="31">
        <v>2.5999999999999999E-3</v>
      </c>
      <c r="J106" s="153">
        <f t="shared" si="16"/>
        <v>1.2039750777621107E-2</v>
      </c>
      <c r="K106" s="31" t="s">
        <v>257</v>
      </c>
      <c r="L106" s="31">
        <v>3.206</v>
      </c>
      <c r="M106" s="31">
        <v>2877</v>
      </c>
      <c r="N106" s="154">
        <f t="shared" si="17"/>
        <v>31.070765583279158</v>
      </c>
      <c r="O106" s="154">
        <f t="shared" si="10"/>
        <v>39.418231757313258</v>
      </c>
      <c r="P106" s="154">
        <f t="shared" si="11"/>
        <v>47.716806864116052</v>
      </c>
      <c r="Q106" s="154">
        <f t="shared" si="12"/>
        <v>51.866094417517445</v>
      </c>
      <c r="R106" s="154">
        <f t="shared" si="13"/>
        <v>59.127347635969883</v>
      </c>
      <c r="S106" s="154">
        <f t="shared" si="14"/>
        <v>67.425922742772684</v>
      </c>
      <c r="T106" s="29" t="str">
        <f t="shared" si="15"/>
        <v>A</v>
      </c>
      <c r="U106" s="16">
        <f>((SUM($J$30:J106)*L106/(M106*SUM($G$30:G106))))*10^6</f>
        <v>37.761507812059435</v>
      </c>
    </row>
    <row r="107" spans="2:21" ht="15.75" x14ac:dyDescent="0.25">
      <c r="B107" s="13">
        <v>78</v>
      </c>
      <c r="C107" s="456"/>
      <c r="D107" s="456"/>
      <c r="E107" s="256"/>
      <c r="F107" s="54">
        <v>0.99930555555554201</v>
      </c>
      <c r="G107" s="21">
        <f>'Testing DF8 (3)'!N108</f>
        <v>0.39869610933893002</v>
      </c>
      <c r="H107" s="153">
        <f>'Testing DF8 (3)'!CA108</f>
        <v>7.4499119830399507E-3</v>
      </c>
      <c r="I107" s="31">
        <v>2.5999999999999999E-3</v>
      </c>
      <c r="J107" s="153">
        <f t="shared" si="16"/>
        <v>1.004991198303995E-2</v>
      </c>
      <c r="K107" s="31" t="s">
        <v>257</v>
      </c>
      <c r="L107" s="31">
        <v>3.206</v>
      </c>
      <c r="M107" s="31">
        <v>2877</v>
      </c>
      <c r="N107" s="154">
        <f t="shared" si="17"/>
        <v>28.089494049495396</v>
      </c>
      <c r="O107" s="154">
        <f t="shared" si="10"/>
        <v>39.418231757313258</v>
      </c>
      <c r="P107" s="154">
        <f t="shared" si="11"/>
        <v>47.716806864116052</v>
      </c>
      <c r="Q107" s="154">
        <f t="shared" si="12"/>
        <v>51.866094417517445</v>
      </c>
      <c r="R107" s="154">
        <f t="shared" si="13"/>
        <v>59.127347635969883</v>
      </c>
      <c r="S107" s="154">
        <f t="shared" si="14"/>
        <v>67.425922742772684</v>
      </c>
      <c r="T107" s="29" t="str">
        <f t="shared" si="15"/>
        <v>A</v>
      </c>
      <c r="U107" s="16">
        <f>((SUM($J$30:J107)*L107/(M107*SUM($G$30:G107))))*10^6</f>
        <v>37.632361626933076</v>
      </c>
    </row>
    <row r="108" spans="2:21" ht="15.75" x14ac:dyDescent="0.25">
      <c r="B108" s="13">
        <v>79</v>
      </c>
      <c r="C108" s="456"/>
      <c r="D108" s="456"/>
      <c r="E108" s="257"/>
      <c r="F108" s="54">
        <v>1.00138888888887</v>
      </c>
      <c r="G108" s="21">
        <f>'Testing DF8 (3)'!N109</f>
        <v>0.29503306933737855</v>
      </c>
      <c r="H108" s="153">
        <f>'Testing DF8 (3)'!CA109</f>
        <v>3.1523507618017041E-3</v>
      </c>
      <c r="I108" s="31">
        <v>2.5999999999999999E-3</v>
      </c>
      <c r="J108" s="153">
        <f t="shared" si="16"/>
        <v>5.752350761801704E-3</v>
      </c>
      <c r="K108" s="31" t="s">
        <v>257</v>
      </c>
      <c r="L108" s="31">
        <v>3.206</v>
      </c>
      <c r="M108" s="31">
        <v>2877</v>
      </c>
      <c r="N108" s="154">
        <f t="shared" si="17"/>
        <v>21.72692768706591</v>
      </c>
      <c r="O108" s="154">
        <f t="shared" si="10"/>
        <v>39.418231757313258</v>
      </c>
      <c r="P108" s="154">
        <f t="shared" si="11"/>
        <v>47.716806864116052</v>
      </c>
      <c r="Q108" s="154">
        <f t="shared" si="12"/>
        <v>51.866094417517445</v>
      </c>
      <c r="R108" s="154">
        <f t="shared" si="13"/>
        <v>59.127347635969883</v>
      </c>
      <c r="S108" s="154">
        <f t="shared" si="14"/>
        <v>67.425922742772684</v>
      </c>
      <c r="T108" s="29" t="str">
        <f t="shared" si="15"/>
        <v>A</v>
      </c>
      <c r="U108" s="16">
        <f>((SUM($J$30:J108)*L108/(M108*SUM($G$30:G108))))*10^6</f>
        <v>37.476740423157558</v>
      </c>
    </row>
    <row r="109" spans="2:21" ht="15.75" x14ac:dyDescent="0.25">
      <c r="B109" s="13">
        <v>80</v>
      </c>
      <c r="C109" s="456"/>
      <c r="D109" s="456"/>
      <c r="E109" s="255">
        <v>1.0034722222222201</v>
      </c>
      <c r="F109" s="54">
        <v>1.0034722222221999</v>
      </c>
      <c r="G109" s="21">
        <f>'Testing DF8 (3)'!N110</f>
        <v>0.76927717202367396</v>
      </c>
      <c r="H109" s="153">
        <f>'Testing DF8 (3)'!CA110</f>
        <v>8.0467386516123382E-2</v>
      </c>
      <c r="I109" s="31">
        <v>2.5999999999999999E-3</v>
      </c>
      <c r="J109" s="153">
        <f t="shared" si="16"/>
        <v>8.3067386516123387E-2</v>
      </c>
      <c r="K109" s="31" t="s">
        <v>257</v>
      </c>
      <c r="L109" s="31">
        <v>3.206</v>
      </c>
      <c r="M109" s="31">
        <v>2877</v>
      </c>
      <c r="N109" s="154">
        <f t="shared" si="17"/>
        <v>120.32929101244252</v>
      </c>
      <c r="O109" s="154">
        <f t="shared" si="10"/>
        <v>39.418231757313258</v>
      </c>
      <c r="P109" s="154">
        <f t="shared" si="11"/>
        <v>47.716806864116052</v>
      </c>
      <c r="Q109" s="154">
        <f t="shared" si="12"/>
        <v>51.866094417517445</v>
      </c>
      <c r="R109" s="154">
        <f t="shared" si="13"/>
        <v>59.127347635969883</v>
      </c>
      <c r="S109" s="154">
        <f t="shared" si="14"/>
        <v>67.425922742772684</v>
      </c>
      <c r="T109" s="29" t="str">
        <f t="shared" si="15"/>
        <v>E</v>
      </c>
      <c r="U109" s="16">
        <f>((SUM($J$30:J109)*L109/(M109*SUM($G$30:G109))))*10^6</f>
        <v>39.53784846812173</v>
      </c>
    </row>
    <row r="110" spans="2:21" ht="15.75" x14ac:dyDescent="0.25">
      <c r="B110" s="13">
        <v>81</v>
      </c>
      <c r="C110" s="456"/>
      <c r="D110" s="456"/>
      <c r="E110" s="256"/>
      <c r="F110" s="54">
        <v>1.00555555555553</v>
      </c>
      <c r="G110" s="21">
        <f>'Testing DF8 (3)'!N111</f>
        <v>0.44617338593304123</v>
      </c>
      <c r="H110" s="153">
        <f>'Testing DF8 (3)'!CA111</f>
        <v>1.0430349776123652E-2</v>
      </c>
      <c r="I110" s="31">
        <v>2.5999999999999999E-3</v>
      </c>
      <c r="J110" s="153">
        <f t="shared" si="16"/>
        <v>1.3030349776123652E-2</v>
      </c>
      <c r="K110" s="31" t="s">
        <v>257</v>
      </c>
      <c r="L110" s="31">
        <v>3.206</v>
      </c>
      <c r="M110" s="31">
        <v>2877</v>
      </c>
      <c r="N110" s="154">
        <f t="shared" si="17"/>
        <v>32.54438497331784</v>
      </c>
      <c r="O110" s="154">
        <f t="shared" si="10"/>
        <v>39.418231757313258</v>
      </c>
      <c r="P110" s="154">
        <f t="shared" si="11"/>
        <v>47.716806864116052</v>
      </c>
      <c r="Q110" s="154">
        <f t="shared" si="12"/>
        <v>51.866094417517445</v>
      </c>
      <c r="R110" s="154">
        <f t="shared" si="13"/>
        <v>59.127347635969883</v>
      </c>
      <c r="S110" s="154">
        <f t="shared" si="14"/>
        <v>67.425922742772684</v>
      </c>
      <c r="T110" s="29" t="str">
        <f t="shared" si="15"/>
        <v>A</v>
      </c>
      <c r="U110" s="16">
        <f>((SUM($J$30:J110)*L110/(M110*SUM($G$30:G110))))*10^6</f>
        <v>39.438379722708284</v>
      </c>
    </row>
    <row r="111" spans="2:21" ht="15.75" x14ac:dyDescent="0.25">
      <c r="B111" s="13">
        <v>82</v>
      </c>
      <c r="C111" s="456"/>
      <c r="D111" s="456"/>
      <c r="E111" s="256"/>
      <c r="F111" s="54">
        <v>1.0076388888888499</v>
      </c>
      <c r="G111" s="21">
        <f>'Testing DF8 (3)'!N112</f>
        <v>0.47277385624536389</v>
      </c>
      <c r="H111" s="153">
        <f>'Testing DF8 (3)'!CA112</f>
        <v>1.2510156774940167E-2</v>
      </c>
      <c r="I111" s="31">
        <v>2.5999999999999999E-3</v>
      </c>
      <c r="J111" s="153">
        <f t="shared" si="16"/>
        <v>1.5110156774940167E-2</v>
      </c>
      <c r="K111" s="31" t="s">
        <v>257</v>
      </c>
      <c r="L111" s="31">
        <v>3.206</v>
      </c>
      <c r="M111" s="31">
        <v>2877</v>
      </c>
      <c r="N111" s="154">
        <f t="shared" si="17"/>
        <v>35.615510509140762</v>
      </c>
      <c r="O111" s="154">
        <f t="shared" si="10"/>
        <v>39.418231757313258</v>
      </c>
      <c r="P111" s="154">
        <f t="shared" si="11"/>
        <v>47.716806864116052</v>
      </c>
      <c r="Q111" s="154">
        <f t="shared" si="12"/>
        <v>51.866094417517445</v>
      </c>
      <c r="R111" s="154">
        <f t="shared" si="13"/>
        <v>59.127347635969883</v>
      </c>
      <c r="S111" s="154">
        <f t="shared" si="14"/>
        <v>67.425922742772684</v>
      </c>
      <c r="T111" s="29" t="str">
        <f t="shared" si="15"/>
        <v>A</v>
      </c>
      <c r="U111" s="16">
        <f>((SUM($J$30:J111)*L111/(M111*SUM($G$30:G111))))*10^6</f>
        <v>39.381620412486335</v>
      </c>
    </row>
    <row r="112" spans="2:21" ht="15.75" x14ac:dyDescent="0.25">
      <c r="B112" s="13">
        <v>83</v>
      </c>
      <c r="C112" s="456"/>
      <c r="D112" s="456"/>
      <c r="E112" s="256"/>
      <c r="F112" s="54">
        <v>1.00972222222218</v>
      </c>
      <c r="G112" s="21">
        <f>'Testing DF8 (3)'!N113</f>
        <v>0.44387148755594874</v>
      </c>
      <c r="H112" s="153">
        <f>'Testing DF8 (3)'!CA113</f>
        <v>1.0265836619439736E-2</v>
      </c>
      <c r="I112" s="31">
        <v>2.5999999999999999E-3</v>
      </c>
      <c r="J112" s="153">
        <f t="shared" si="16"/>
        <v>1.2865836619439736E-2</v>
      </c>
      <c r="K112" s="31" t="s">
        <v>257</v>
      </c>
      <c r="L112" s="31">
        <v>3.206</v>
      </c>
      <c r="M112" s="31">
        <v>2877</v>
      </c>
      <c r="N112" s="154">
        <f t="shared" si="17"/>
        <v>32.300142590492015</v>
      </c>
      <c r="O112" s="154">
        <f t="shared" si="10"/>
        <v>39.418231757313258</v>
      </c>
      <c r="P112" s="154">
        <f t="shared" si="11"/>
        <v>47.716806864116052</v>
      </c>
      <c r="Q112" s="154">
        <f t="shared" si="12"/>
        <v>51.866094417517445</v>
      </c>
      <c r="R112" s="154">
        <f t="shared" si="13"/>
        <v>59.127347635969883</v>
      </c>
      <c r="S112" s="154">
        <f t="shared" si="14"/>
        <v>67.425922742772684</v>
      </c>
      <c r="T112" s="29" t="str">
        <f t="shared" si="15"/>
        <v>A</v>
      </c>
      <c r="U112" s="16">
        <f>((SUM($J$30:J112)*L112/(M112*SUM($G$30:G112))))*10^6</f>
        <v>39.284264291188585</v>
      </c>
    </row>
    <row r="113" spans="2:21" ht="15.75" x14ac:dyDescent="0.25">
      <c r="B113" s="13">
        <v>84</v>
      </c>
      <c r="C113" s="456"/>
      <c r="D113" s="456"/>
      <c r="E113" s="257"/>
      <c r="F113" s="54">
        <v>1.0118055555555101</v>
      </c>
      <c r="G113" s="21">
        <f>'Testing DF8 (3)'!N114</f>
        <v>0.41919345237041788</v>
      </c>
      <c r="H113" s="153">
        <f>'Testing DF8 (3)'!CA114</f>
        <v>8.6367607926247768E-3</v>
      </c>
      <c r="I113" s="31">
        <v>2.5999999999999999E-3</v>
      </c>
      <c r="J113" s="153">
        <f t="shared" si="16"/>
        <v>1.1236760792624777E-2</v>
      </c>
      <c r="K113" s="31" t="s">
        <v>257</v>
      </c>
      <c r="L113" s="31">
        <v>3.206</v>
      </c>
      <c r="M113" s="31">
        <v>2877</v>
      </c>
      <c r="N113" s="154">
        <f t="shared" si="17"/>
        <v>29.871037106050554</v>
      </c>
      <c r="O113" s="154">
        <f t="shared" si="10"/>
        <v>39.418231757313258</v>
      </c>
      <c r="P113" s="154">
        <f t="shared" si="11"/>
        <v>47.716806864116052</v>
      </c>
      <c r="Q113" s="154">
        <f t="shared" si="12"/>
        <v>51.866094417517445</v>
      </c>
      <c r="R113" s="154">
        <f t="shared" si="13"/>
        <v>59.127347635969883</v>
      </c>
      <c r="S113" s="154">
        <f t="shared" si="14"/>
        <v>67.425922742772684</v>
      </c>
      <c r="T113" s="29" t="str">
        <f t="shared" si="15"/>
        <v>A</v>
      </c>
      <c r="U113" s="16">
        <f>((SUM($J$30:J113)*L113/(M113*SUM($G$30:G113))))*10^6</f>
        <v>39.163612794763871</v>
      </c>
    </row>
    <row r="114" spans="2:21" ht="15.75" x14ac:dyDescent="0.25">
      <c r="B114" s="13">
        <v>85</v>
      </c>
      <c r="C114" s="456"/>
      <c r="D114" s="456"/>
      <c r="E114" s="255">
        <v>1.0138888888888899</v>
      </c>
      <c r="F114" s="54">
        <v>1.01388888888884</v>
      </c>
      <c r="G114" s="21">
        <f>'Testing DF8 (3)'!N115</f>
        <v>0.43399418852338617</v>
      </c>
      <c r="H114" s="153">
        <f>'Testing DF8 (3)'!CA115</f>
        <v>9.5851704879316973E-3</v>
      </c>
      <c r="I114" s="31">
        <v>2.5999999999999999E-3</v>
      </c>
      <c r="J114" s="153">
        <f t="shared" si="16"/>
        <v>1.2185170487931697E-2</v>
      </c>
      <c r="K114" s="31" t="s">
        <v>257</v>
      </c>
      <c r="L114" s="31">
        <v>3.206</v>
      </c>
      <c r="M114" s="31">
        <v>2877</v>
      </c>
      <c r="N114" s="154">
        <f t="shared" si="17"/>
        <v>31.287535258945113</v>
      </c>
      <c r="O114" s="154">
        <f t="shared" si="10"/>
        <v>39.418231757313258</v>
      </c>
      <c r="P114" s="154">
        <f t="shared" si="11"/>
        <v>47.716806864116052</v>
      </c>
      <c r="Q114" s="154">
        <f t="shared" si="12"/>
        <v>51.866094417517445</v>
      </c>
      <c r="R114" s="154">
        <f t="shared" si="13"/>
        <v>59.127347635969883</v>
      </c>
      <c r="S114" s="154">
        <f t="shared" si="14"/>
        <v>67.425922742772684</v>
      </c>
      <c r="T114" s="29" t="str">
        <f t="shared" si="15"/>
        <v>A</v>
      </c>
      <c r="U114" s="16">
        <f>((SUM($J$30:J114)*L114/(M114*SUM($G$30:G114))))*10^6</f>
        <v>39.060467721153408</v>
      </c>
    </row>
    <row r="115" spans="2:21" ht="15.75" x14ac:dyDescent="0.25">
      <c r="B115" s="13">
        <v>86</v>
      </c>
      <c r="C115" s="456"/>
      <c r="D115" s="456"/>
      <c r="E115" s="256"/>
      <c r="F115" s="54">
        <v>1.0159722222221701</v>
      </c>
      <c r="G115" s="21">
        <f>'Testing DF8 (3)'!N116</f>
        <v>0.54262895930142296</v>
      </c>
      <c r="H115" s="153">
        <f>'Testing DF8 (3)'!CA116</f>
        <v>1.9992172269161987E-2</v>
      </c>
      <c r="I115" s="31">
        <v>2.5999999999999999E-3</v>
      </c>
      <c r="J115" s="153">
        <f t="shared" si="16"/>
        <v>2.2592172269161985E-2</v>
      </c>
      <c r="K115" s="31" t="s">
        <v>257</v>
      </c>
      <c r="L115" s="31">
        <v>3.206</v>
      </c>
      <c r="M115" s="31">
        <v>2877</v>
      </c>
      <c r="N115" s="154">
        <f t="shared" si="17"/>
        <v>46.395801255148633</v>
      </c>
      <c r="O115" s="154">
        <f t="shared" si="10"/>
        <v>39.418231757313258</v>
      </c>
      <c r="P115" s="154">
        <f t="shared" si="11"/>
        <v>47.716806864116052</v>
      </c>
      <c r="Q115" s="154">
        <f t="shared" si="12"/>
        <v>51.866094417517445</v>
      </c>
      <c r="R115" s="154">
        <f t="shared" si="13"/>
        <v>59.127347635969883</v>
      </c>
      <c r="S115" s="154">
        <f t="shared" si="14"/>
        <v>67.425922742772684</v>
      </c>
      <c r="T115" s="29" t="str">
        <f t="shared" si="15"/>
        <v>B</v>
      </c>
      <c r="U115" s="16">
        <f>((SUM($J$30:J115)*L115/(M115*SUM($G$30:G115))))*10^6</f>
        <v>39.178642237951685</v>
      </c>
    </row>
    <row r="116" spans="2:21" ht="15.75" x14ac:dyDescent="0.25">
      <c r="B116" s="13">
        <v>87</v>
      </c>
      <c r="C116" s="456"/>
      <c r="D116" s="456"/>
      <c r="E116" s="256"/>
      <c r="F116" s="54">
        <v>1.0180555555555</v>
      </c>
      <c r="G116" s="21">
        <f>'Testing DF8 (3)'!N117</f>
        <v>0.41841241467642715</v>
      </c>
      <c r="H116" s="153">
        <f>'Testing DF8 (3)'!CA117</f>
        <v>8.588946024017283E-3</v>
      </c>
      <c r="I116" s="31">
        <v>2.5999999999999999E-3</v>
      </c>
      <c r="J116" s="153">
        <f t="shared" si="16"/>
        <v>1.1188946024017283E-2</v>
      </c>
      <c r="K116" s="31" t="s">
        <v>257</v>
      </c>
      <c r="L116" s="31">
        <v>3.206</v>
      </c>
      <c r="M116" s="31">
        <v>2877</v>
      </c>
      <c r="N116" s="154">
        <f t="shared" si="17"/>
        <v>29.799451678528243</v>
      </c>
      <c r="O116" s="154">
        <f t="shared" si="10"/>
        <v>39.418231757313258</v>
      </c>
      <c r="P116" s="154">
        <f t="shared" si="11"/>
        <v>47.716806864116052</v>
      </c>
      <c r="Q116" s="154">
        <f t="shared" si="12"/>
        <v>51.866094417517445</v>
      </c>
      <c r="R116" s="154">
        <f t="shared" si="13"/>
        <v>59.127347635969883</v>
      </c>
      <c r="S116" s="154">
        <f t="shared" si="14"/>
        <v>67.425922742772684</v>
      </c>
      <c r="T116" s="29" t="str">
        <f t="shared" si="15"/>
        <v>A</v>
      </c>
      <c r="U116" s="16">
        <f>((SUM($J$30:J116)*L116/(M116*SUM($G$30:G116))))*10^6</f>
        <v>39.063559767239042</v>
      </c>
    </row>
    <row r="117" spans="2:21" ht="15.75" x14ac:dyDescent="0.25">
      <c r="B117" s="13">
        <v>88</v>
      </c>
      <c r="C117" s="456"/>
      <c r="D117" s="456"/>
      <c r="E117" s="256"/>
      <c r="F117" s="54">
        <v>1.0201388888888301</v>
      </c>
      <c r="G117" s="21">
        <f>'Testing DF8 (3)'!N118</f>
        <v>0.40687429482930942</v>
      </c>
      <c r="H117" s="153">
        <f>'Testing DF8 (3)'!CA118</f>
        <v>7.9069651978764983E-3</v>
      </c>
      <c r="I117" s="31">
        <v>2.5999999999999999E-3</v>
      </c>
      <c r="J117" s="153">
        <f t="shared" si="16"/>
        <v>1.0506965197876498E-2</v>
      </c>
      <c r="K117" s="31" t="s">
        <v>257</v>
      </c>
      <c r="L117" s="31">
        <v>3.206</v>
      </c>
      <c r="M117" s="31">
        <v>2877</v>
      </c>
      <c r="N117" s="154">
        <f t="shared" si="17"/>
        <v>28.776680612396103</v>
      </c>
      <c r="O117" s="154">
        <f t="shared" si="10"/>
        <v>39.418231757313258</v>
      </c>
      <c r="P117" s="154">
        <f t="shared" si="11"/>
        <v>47.716806864116052</v>
      </c>
      <c r="Q117" s="154">
        <f t="shared" si="12"/>
        <v>51.866094417517445</v>
      </c>
      <c r="R117" s="154">
        <f t="shared" si="13"/>
        <v>59.127347635969883</v>
      </c>
      <c r="S117" s="154">
        <f t="shared" si="14"/>
        <v>67.425922742772684</v>
      </c>
      <c r="T117" s="29" t="str">
        <f t="shared" si="15"/>
        <v>A</v>
      </c>
      <c r="U117" s="16">
        <f>((SUM($J$30:J117)*L117/(M117*SUM($G$30:G117))))*10^6</f>
        <v>38.942267816989443</v>
      </c>
    </row>
    <row r="118" spans="2:21" ht="15.75" x14ac:dyDescent="0.25">
      <c r="B118" s="13">
        <v>89</v>
      </c>
      <c r="C118" s="456"/>
      <c r="D118" s="456"/>
      <c r="E118" s="257"/>
      <c r="F118" s="54">
        <v>1.02222222222216</v>
      </c>
      <c r="G118" s="21">
        <f>'Testing DF8 (3)'!N119</f>
        <v>0.53435730109613089</v>
      </c>
      <c r="H118" s="153">
        <f>'Testing DF8 (3)'!CA119</f>
        <v>1.8920096467249146E-2</v>
      </c>
      <c r="I118" s="31">
        <v>4.0000000000000001E-3</v>
      </c>
      <c r="J118" s="153">
        <f t="shared" si="16"/>
        <v>2.2920096467249147E-2</v>
      </c>
      <c r="K118" s="31" t="s">
        <v>257</v>
      </c>
      <c r="L118" s="31">
        <v>3.206</v>
      </c>
      <c r="M118" s="31">
        <v>2877</v>
      </c>
      <c r="N118" s="154">
        <f t="shared" si="17"/>
        <v>47.797848638357223</v>
      </c>
      <c r="O118" s="154">
        <f t="shared" si="10"/>
        <v>39.418231757313258</v>
      </c>
      <c r="P118" s="154">
        <f t="shared" si="11"/>
        <v>47.716806864116052</v>
      </c>
      <c r="Q118" s="154">
        <f t="shared" si="12"/>
        <v>51.866094417517445</v>
      </c>
      <c r="R118" s="154">
        <f t="shared" si="13"/>
        <v>59.127347635969883</v>
      </c>
      <c r="S118" s="154">
        <f t="shared" si="14"/>
        <v>67.425922742772684</v>
      </c>
      <c r="T118" s="29" t="str">
        <f t="shared" si="15"/>
        <v>C</v>
      </c>
      <c r="U118" s="16">
        <f>((SUM($J$30:J118)*L118/(M118*SUM($G$30:G118))))*10^6</f>
        <v>39.077308069815231</v>
      </c>
    </row>
    <row r="119" spans="2:21" ht="15.75" x14ac:dyDescent="0.25">
      <c r="B119" s="13">
        <v>90</v>
      </c>
      <c r="C119" s="456"/>
      <c r="D119" s="456"/>
      <c r="E119" s="255">
        <v>1.02430555555556</v>
      </c>
      <c r="F119" s="54">
        <v>1.0243055555554901</v>
      </c>
      <c r="G119" s="21">
        <f>'Testing DF8 (3)'!N120</f>
        <v>0.46960208610776527</v>
      </c>
      <c r="H119" s="153">
        <f>'Testing DF8 (3)'!CA120</f>
        <v>1.2243705984019521E-2</v>
      </c>
      <c r="I119" s="31">
        <v>4.0000000000000001E-3</v>
      </c>
      <c r="J119" s="153">
        <f t="shared" si="16"/>
        <v>1.6243705984019523E-2</v>
      </c>
      <c r="K119" s="31" t="s">
        <v>257</v>
      </c>
      <c r="L119" s="31">
        <v>3.206</v>
      </c>
      <c r="M119" s="31">
        <v>2877</v>
      </c>
      <c r="N119" s="154">
        <f t="shared" si="17"/>
        <v>38.545950437486056</v>
      </c>
      <c r="O119" s="154">
        <f t="shared" si="10"/>
        <v>39.418231757313258</v>
      </c>
      <c r="P119" s="154">
        <f t="shared" si="11"/>
        <v>47.716806864116052</v>
      </c>
      <c r="Q119" s="154">
        <f t="shared" si="12"/>
        <v>51.866094417517445</v>
      </c>
      <c r="R119" s="154">
        <f t="shared" si="13"/>
        <v>59.127347635969883</v>
      </c>
      <c r="S119" s="154">
        <f t="shared" si="14"/>
        <v>67.425922742772684</v>
      </c>
      <c r="T119" s="29" t="str">
        <f t="shared" si="15"/>
        <v>A</v>
      </c>
      <c r="U119" s="16">
        <f>((SUM($J$30:J119)*L119/(M119*SUM($G$30:G119))))*10^6</f>
        <v>39.070281393311298</v>
      </c>
    </row>
    <row r="120" spans="2:21" ht="15.75" x14ac:dyDescent="0.25">
      <c r="B120" s="13">
        <v>91</v>
      </c>
      <c r="C120" s="456"/>
      <c r="D120" s="456"/>
      <c r="E120" s="256"/>
      <c r="F120" s="54">
        <v>1.02638888888882</v>
      </c>
      <c r="G120" s="21">
        <f>'Testing DF8 (3)'!N121</f>
        <v>0.41876447590387833</v>
      </c>
      <c r="H120" s="153">
        <f>'Testing DF8 (3)'!CA121</f>
        <v>8.6104723886085612E-3</v>
      </c>
      <c r="I120" s="31">
        <v>4.0000000000000001E-3</v>
      </c>
      <c r="J120" s="153">
        <f t="shared" si="16"/>
        <v>1.2610472388608561E-2</v>
      </c>
      <c r="K120" s="31" t="s">
        <v>257</v>
      </c>
      <c r="L120" s="31">
        <v>3.206</v>
      </c>
      <c r="M120" s="31">
        <v>2877</v>
      </c>
      <c r="N120" s="154">
        <f t="shared" si="17"/>
        <v>33.557158455491447</v>
      </c>
      <c r="O120" s="154">
        <f t="shared" si="10"/>
        <v>39.418231757313258</v>
      </c>
      <c r="P120" s="154">
        <f t="shared" si="11"/>
        <v>47.716806864116052</v>
      </c>
      <c r="Q120" s="154">
        <f t="shared" si="12"/>
        <v>51.866094417517445</v>
      </c>
      <c r="R120" s="154">
        <f t="shared" si="13"/>
        <v>59.127347635969883</v>
      </c>
      <c r="S120" s="154">
        <f t="shared" si="14"/>
        <v>67.425922742772684</v>
      </c>
      <c r="T120" s="29" t="str">
        <f t="shared" si="15"/>
        <v>A</v>
      </c>
      <c r="U120" s="16">
        <f>((SUM($J$30:J120)*L120/(M120*SUM($G$30:G120))))*10^6</f>
        <v>39.006026070649391</v>
      </c>
    </row>
    <row r="121" spans="2:21" ht="15.75" x14ac:dyDescent="0.25">
      <c r="B121" s="13">
        <v>92</v>
      </c>
      <c r="C121" s="456"/>
      <c r="D121" s="456"/>
      <c r="E121" s="256"/>
      <c r="F121" s="54">
        <v>1.0284722222221501</v>
      </c>
      <c r="G121" s="21">
        <f>'Testing DF8 (3)'!N122</f>
        <v>0.39477693540687292</v>
      </c>
      <c r="H121" s="153">
        <f>'Testing DF8 (3)'!CA122</f>
        <v>7.2382081491697038E-3</v>
      </c>
      <c r="I121" s="31">
        <v>4.0000000000000001E-3</v>
      </c>
      <c r="J121" s="153">
        <f t="shared" si="16"/>
        <v>1.1238208149169704E-2</v>
      </c>
      <c r="K121" s="31" t="s">
        <v>257</v>
      </c>
      <c r="L121" s="31">
        <v>3.206</v>
      </c>
      <c r="M121" s="31">
        <v>2877</v>
      </c>
      <c r="N121" s="154">
        <f t="shared" si="17"/>
        <v>31.722613244363647</v>
      </c>
      <c r="O121" s="154">
        <f t="shared" si="10"/>
        <v>39.418231757313258</v>
      </c>
      <c r="P121" s="154">
        <f t="shared" si="11"/>
        <v>47.716806864116052</v>
      </c>
      <c r="Q121" s="154">
        <f t="shared" si="12"/>
        <v>51.866094417517445</v>
      </c>
      <c r="R121" s="154">
        <f t="shared" si="13"/>
        <v>59.127347635969883</v>
      </c>
      <c r="S121" s="154">
        <f t="shared" si="14"/>
        <v>67.425922742772684</v>
      </c>
      <c r="T121" s="29" t="str">
        <f t="shared" si="15"/>
        <v>A</v>
      </c>
      <c r="U121" s="16">
        <f>((SUM($J$30:J121)*L121/(M121*SUM($G$30:G121))))*10^6</f>
        <v>38.926870301959269</v>
      </c>
    </row>
    <row r="122" spans="2:21" ht="15.75" x14ac:dyDescent="0.25">
      <c r="B122" s="13">
        <v>93</v>
      </c>
      <c r="C122" s="456"/>
      <c r="D122" s="456"/>
      <c r="E122" s="256"/>
      <c r="F122" s="54">
        <v>1.03055555555548</v>
      </c>
      <c r="G122" s="21">
        <f>'Testing DF8 (3)'!N123</f>
        <v>0.46883501648170484</v>
      </c>
      <c r="H122" s="153">
        <f>'Testing DF8 (3)'!CA123</f>
        <v>1.2180061598314071E-2</v>
      </c>
      <c r="I122" s="31">
        <v>4.0000000000000001E-3</v>
      </c>
      <c r="J122" s="153">
        <f t="shared" si="16"/>
        <v>1.6180061598314071E-2</v>
      </c>
      <c r="K122" s="31" t="s">
        <v>257</v>
      </c>
      <c r="L122" s="31">
        <v>3.206</v>
      </c>
      <c r="M122" s="31">
        <v>2877</v>
      </c>
      <c r="N122" s="154">
        <f t="shared" si="17"/>
        <v>38.457742379423529</v>
      </c>
      <c r="O122" s="154">
        <f t="shared" si="10"/>
        <v>39.418231757313258</v>
      </c>
      <c r="P122" s="154">
        <f t="shared" si="11"/>
        <v>47.716806864116052</v>
      </c>
      <c r="Q122" s="154">
        <f t="shared" si="12"/>
        <v>51.866094417517445</v>
      </c>
      <c r="R122" s="154">
        <f t="shared" si="13"/>
        <v>59.127347635969883</v>
      </c>
      <c r="S122" s="154">
        <f t="shared" si="14"/>
        <v>67.425922742772684</v>
      </c>
      <c r="T122" s="29" t="str">
        <f t="shared" si="15"/>
        <v>A</v>
      </c>
      <c r="U122" s="16">
        <f>((SUM($J$30:J122)*L122/(M122*SUM($G$30:G122))))*10^6</f>
        <v>38.920892552017087</v>
      </c>
    </row>
    <row r="123" spans="2:21" ht="15.75" x14ac:dyDescent="0.25">
      <c r="B123" s="13">
        <v>94</v>
      </c>
      <c r="C123" s="456"/>
      <c r="D123" s="456"/>
      <c r="E123" s="257"/>
      <c r="F123" s="54">
        <v>1.0326388888888101</v>
      </c>
      <c r="G123" s="21">
        <f>'Testing DF8 (3)'!N124</f>
        <v>0.35279675813382066</v>
      </c>
      <c r="H123" s="153">
        <f>'Testing DF8 (3)'!CA124</f>
        <v>5.2368154617820992E-3</v>
      </c>
      <c r="I123" s="31">
        <v>4.0000000000000001E-3</v>
      </c>
      <c r="J123" s="153">
        <f t="shared" si="16"/>
        <v>9.2368154617820993E-3</v>
      </c>
      <c r="K123" s="31" t="s">
        <v>257</v>
      </c>
      <c r="L123" s="31">
        <v>3.206</v>
      </c>
      <c r="M123" s="31">
        <v>2877</v>
      </c>
      <c r="N123" s="154">
        <f t="shared" si="17"/>
        <v>29.175703550655125</v>
      </c>
      <c r="O123" s="154">
        <f t="shared" si="10"/>
        <v>39.418231757313258</v>
      </c>
      <c r="P123" s="154">
        <f t="shared" si="11"/>
        <v>47.716806864116052</v>
      </c>
      <c r="Q123" s="154">
        <f t="shared" si="12"/>
        <v>51.866094417517445</v>
      </c>
      <c r="R123" s="154">
        <f t="shared" si="13"/>
        <v>59.127347635969883</v>
      </c>
      <c r="S123" s="154">
        <f t="shared" si="14"/>
        <v>67.425922742772684</v>
      </c>
      <c r="T123" s="29" t="str">
        <f t="shared" si="15"/>
        <v>A</v>
      </c>
      <c r="U123" s="16">
        <f>((SUM($J$30:J123)*L123/(M123*SUM($G$30:G123))))*10^6</f>
        <v>38.828338193738226</v>
      </c>
    </row>
    <row r="124" spans="2:21" ht="15.75" x14ac:dyDescent="0.25">
      <c r="B124" s="13">
        <v>95</v>
      </c>
      <c r="C124" s="456"/>
      <c r="D124" s="456"/>
      <c r="E124" s="255">
        <v>1.0347222222222201</v>
      </c>
      <c r="F124" s="54">
        <v>1.0347222222221399</v>
      </c>
      <c r="G124" s="21">
        <f>'Testing DF8 (3)'!N125</f>
        <v>0.27574833307167468</v>
      </c>
      <c r="H124" s="153">
        <f>'Testing DF8 (3)'!CA125</f>
        <v>2.6031074678789616E-3</v>
      </c>
      <c r="I124" s="31">
        <v>4.0000000000000001E-3</v>
      </c>
      <c r="J124" s="153">
        <f t="shared" si="16"/>
        <v>6.6031074678789617E-3</v>
      </c>
      <c r="K124" s="31" t="s">
        <v>257</v>
      </c>
      <c r="L124" s="31">
        <v>3.206</v>
      </c>
      <c r="M124" s="31">
        <v>2877</v>
      </c>
      <c r="N124" s="154">
        <f t="shared" si="17"/>
        <v>26.68450346251549</v>
      </c>
      <c r="O124" s="154">
        <f t="shared" si="10"/>
        <v>39.418231757313258</v>
      </c>
      <c r="P124" s="154">
        <f t="shared" si="11"/>
        <v>47.716806864116052</v>
      </c>
      <c r="Q124" s="154">
        <f t="shared" si="12"/>
        <v>51.866094417517445</v>
      </c>
      <c r="R124" s="154">
        <f t="shared" si="13"/>
        <v>59.127347635969883</v>
      </c>
      <c r="S124" s="154">
        <f t="shared" si="14"/>
        <v>67.425922742772684</v>
      </c>
      <c r="T124" s="29" t="str">
        <f t="shared" si="15"/>
        <v>A</v>
      </c>
      <c r="U124" s="16">
        <f>((SUM($J$30:J124)*L124/(M124*SUM($G$30:G124))))*10^6</f>
        <v>38.738855553421203</v>
      </c>
    </row>
    <row r="125" spans="2:21" ht="15.75" x14ac:dyDescent="0.25">
      <c r="B125" s="13">
        <v>96</v>
      </c>
      <c r="C125" s="456"/>
      <c r="D125" s="456"/>
      <c r="E125" s="256"/>
      <c r="F125" s="54">
        <v>1.03680555555547</v>
      </c>
      <c r="G125" s="21">
        <f>'Testing DF8 (3)'!N126</f>
        <v>0.11338586798513042</v>
      </c>
      <c r="H125" s="153">
        <f>'Testing DF8 (3)'!CA126</f>
        <v>2.0764644262807221E-4</v>
      </c>
      <c r="I125" s="31">
        <v>4.0000000000000001E-3</v>
      </c>
      <c r="J125" s="153">
        <f t="shared" si="16"/>
        <v>4.207646442628072E-3</v>
      </c>
      <c r="K125" s="31" t="s">
        <v>257</v>
      </c>
      <c r="L125" s="31">
        <v>3.206</v>
      </c>
      <c r="M125" s="31">
        <v>2877</v>
      </c>
      <c r="N125" s="154">
        <f t="shared" si="17"/>
        <v>41.35270918206534</v>
      </c>
      <c r="O125" s="154">
        <f t="shared" si="10"/>
        <v>39.418231757313258</v>
      </c>
      <c r="P125" s="154">
        <f t="shared" si="11"/>
        <v>47.716806864116052</v>
      </c>
      <c r="Q125" s="154">
        <f t="shared" si="12"/>
        <v>51.866094417517445</v>
      </c>
      <c r="R125" s="154">
        <f t="shared" si="13"/>
        <v>59.127347635969883</v>
      </c>
      <c r="S125" s="154">
        <f t="shared" si="14"/>
        <v>67.425922742772684</v>
      </c>
      <c r="T125" s="29" t="str">
        <f t="shared" si="15"/>
        <v>B</v>
      </c>
      <c r="U125" s="16">
        <f>((SUM($J$30:J125)*L125/(M125*SUM($G$30:G125))))*10^6</f>
        <v>38.74675135739836</v>
      </c>
    </row>
    <row r="126" spans="2:21" ht="15.75" x14ac:dyDescent="0.25">
      <c r="B126" s="13">
        <v>97</v>
      </c>
      <c r="C126" s="456"/>
      <c r="D126" s="456"/>
      <c r="E126" s="256"/>
      <c r="F126" s="54">
        <v>1.0388888888887999</v>
      </c>
      <c r="G126" s="21">
        <v>0.1</v>
      </c>
      <c r="H126" s="153">
        <f>'Testing DF8 (3)'!CA127</f>
        <v>0</v>
      </c>
      <c r="I126" s="31">
        <v>4.0000000000000001E-3</v>
      </c>
      <c r="J126" s="153">
        <f t="shared" si="16"/>
        <v>4.0000000000000001E-3</v>
      </c>
      <c r="K126" s="31" t="s">
        <v>257</v>
      </c>
      <c r="L126" s="31">
        <v>3.206</v>
      </c>
      <c r="M126" s="31">
        <v>2877</v>
      </c>
      <c r="N126" s="154">
        <f t="shared" si="17"/>
        <v>44.574209245742097</v>
      </c>
      <c r="O126" s="154">
        <f t="shared" si="10"/>
        <v>39.418231757313258</v>
      </c>
      <c r="P126" s="154">
        <f t="shared" si="11"/>
        <v>47.716806864116052</v>
      </c>
      <c r="Q126" s="154">
        <f t="shared" si="12"/>
        <v>51.866094417517445</v>
      </c>
      <c r="R126" s="154">
        <f t="shared" si="13"/>
        <v>59.127347635969883</v>
      </c>
      <c r="S126" s="154">
        <f t="shared" si="14"/>
        <v>67.425922742772684</v>
      </c>
      <c r="T126" s="29" t="str">
        <f t="shared" si="15"/>
        <v>B</v>
      </c>
      <c r="U126" s="16">
        <f>((SUM($J$30:J126)*L126/(M126*SUM($G$30:G126))))*10^6</f>
        <v>38.762235238510982</v>
      </c>
    </row>
    <row r="127" spans="2:21" ht="15.75" x14ac:dyDescent="0.25">
      <c r="B127" s="13">
        <v>98</v>
      </c>
      <c r="C127" s="456"/>
      <c r="D127" s="456"/>
      <c r="E127" s="256"/>
      <c r="F127" s="54">
        <v>1.04097222222213</v>
      </c>
      <c r="G127" s="21">
        <v>0.1</v>
      </c>
      <c r="H127" s="153">
        <f>'Testing DF8 (3)'!CA128</f>
        <v>0</v>
      </c>
      <c r="I127" s="31">
        <v>4.0000000000000001E-3</v>
      </c>
      <c r="J127" s="153">
        <f t="shared" si="16"/>
        <v>4.0000000000000001E-3</v>
      </c>
      <c r="K127" s="31" t="s">
        <v>257</v>
      </c>
      <c r="L127" s="31">
        <v>3.206</v>
      </c>
      <c r="M127" s="31">
        <v>2877</v>
      </c>
      <c r="N127" s="154">
        <f t="shared" si="17"/>
        <v>44.574209245742097</v>
      </c>
      <c r="O127" s="154">
        <f t="shared" si="10"/>
        <v>39.418231757313258</v>
      </c>
      <c r="P127" s="154">
        <f t="shared" si="11"/>
        <v>47.716806864116052</v>
      </c>
      <c r="Q127" s="154">
        <f t="shared" si="12"/>
        <v>51.866094417517445</v>
      </c>
      <c r="R127" s="154">
        <f t="shared" si="13"/>
        <v>59.127347635969883</v>
      </c>
      <c r="S127" s="154">
        <f t="shared" si="14"/>
        <v>67.425922742772684</v>
      </c>
      <c r="T127" s="29" t="str">
        <f t="shared" si="15"/>
        <v>B</v>
      </c>
      <c r="U127" s="16">
        <f>((SUM($J$30:J127)*L127/(M127*SUM($G$30:G127))))*10^6</f>
        <v>38.777637054600959</v>
      </c>
    </row>
    <row r="128" spans="2:21" ht="15.75" x14ac:dyDescent="0.25">
      <c r="B128" s="13">
        <v>99</v>
      </c>
      <c r="C128" s="456"/>
      <c r="D128" s="456"/>
      <c r="E128" s="257"/>
      <c r="F128" s="54">
        <v>1.0430555555554599</v>
      </c>
      <c r="G128" s="21">
        <v>0.1</v>
      </c>
      <c r="H128" s="153">
        <f>'Testing DF8 (3)'!CA129</f>
        <v>0</v>
      </c>
      <c r="I128" s="31">
        <v>4.0000000000000001E-3</v>
      </c>
      <c r="J128" s="153">
        <f t="shared" si="16"/>
        <v>4.0000000000000001E-3</v>
      </c>
      <c r="K128" s="31" t="s">
        <v>257</v>
      </c>
      <c r="L128" s="31">
        <v>3.206</v>
      </c>
      <c r="M128" s="31">
        <v>2877</v>
      </c>
      <c r="N128" s="154">
        <f t="shared" si="17"/>
        <v>44.574209245742097</v>
      </c>
      <c r="O128" s="154">
        <f t="shared" si="10"/>
        <v>39.418231757313258</v>
      </c>
      <c r="P128" s="154">
        <f t="shared" si="11"/>
        <v>47.716806864116052</v>
      </c>
      <c r="Q128" s="154">
        <f t="shared" si="12"/>
        <v>51.866094417517445</v>
      </c>
      <c r="R128" s="154">
        <f t="shared" si="13"/>
        <v>59.127347635969883</v>
      </c>
      <c r="S128" s="154">
        <f t="shared" si="14"/>
        <v>67.425922742772684</v>
      </c>
      <c r="T128" s="29" t="str">
        <f t="shared" si="15"/>
        <v>B</v>
      </c>
      <c r="U128" s="16">
        <f>((SUM($J$30:J128)*L128/(M128*SUM($G$30:G128))))*10^6</f>
        <v>38.792957456364462</v>
      </c>
    </row>
    <row r="129" spans="2:21" ht="15.75" x14ac:dyDescent="0.25">
      <c r="B129" s="13">
        <v>100</v>
      </c>
      <c r="C129" s="456"/>
      <c r="D129" s="456"/>
      <c r="E129" s="255">
        <v>1.0451388888888899</v>
      </c>
      <c r="F129" s="54">
        <v>1.04513888888879</v>
      </c>
      <c r="G129" s="21">
        <v>0.1</v>
      </c>
      <c r="H129" s="153">
        <f>'Testing DF8 (3)'!CA130</f>
        <v>2.9725509054482391E-6</v>
      </c>
      <c r="I129" s="31">
        <v>4.0000000000000001E-3</v>
      </c>
      <c r="J129" s="153">
        <f t="shared" si="16"/>
        <v>4.0029725509054485E-3</v>
      </c>
      <c r="K129" s="31" t="s">
        <v>257</v>
      </c>
      <c r="L129" s="31">
        <v>3.206</v>
      </c>
      <c r="M129" s="31">
        <v>2877</v>
      </c>
      <c r="N129" s="154">
        <f t="shared" si="17"/>
        <v>44.607334022255365</v>
      </c>
      <c r="O129" s="154">
        <f t="shared" si="10"/>
        <v>39.418231757313258</v>
      </c>
      <c r="P129" s="154">
        <f t="shared" si="11"/>
        <v>47.716806864116052</v>
      </c>
      <c r="Q129" s="154">
        <f t="shared" si="12"/>
        <v>51.866094417517445</v>
      </c>
      <c r="R129" s="154">
        <f t="shared" si="13"/>
        <v>59.127347635969883</v>
      </c>
      <c r="S129" s="154">
        <f t="shared" si="14"/>
        <v>67.425922742772684</v>
      </c>
      <c r="T129" s="29" t="str">
        <f t="shared" si="15"/>
        <v>B</v>
      </c>
      <c r="U129" s="16">
        <f>((SUM($J$30:J129)*L129/(M129*SUM($G$30:G129))))*10^6</f>
        <v>38.808284405988836</v>
      </c>
    </row>
    <row r="130" spans="2:21" ht="15.75" x14ac:dyDescent="0.25">
      <c r="B130" s="13">
        <v>101</v>
      </c>
      <c r="C130" s="456"/>
      <c r="D130" s="456"/>
      <c r="E130" s="256"/>
      <c r="F130" s="54">
        <v>1.0472222222221199</v>
      </c>
      <c r="G130" s="21">
        <v>0.1</v>
      </c>
      <c r="H130" s="153">
        <v>0</v>
      </c>
      <c r="I130" s="31">
        <v>4.0000000000000001E-3</v>
      </c>
      <c r="J130" s="153">
        <f t="shared" si="16"/>
        <v>4.0000000000000001E-3</v>
      </c>
      <c r="K130" s="31" t="s">
        <v>257</v>
      </c>
      <c r="L130" s="31">
        <v>3.206</v>
      </c>
      <c r="M130" s="31">
        <v>2877</v>
      </c>
      <c r="N130" s="154">
        <f t="shared" si="17"/>
        <v>44.574209245742097</v>
      </c>
      <c r="O130" s="154">
        <f t="shared" si="10"/>
        <v>39.418231757313258</v>
      </c>
      <c r="P130" s="154">
        <f t="shared" si="11"/>
        <v>47.716806864116052</v>
      </c>
      <c r="Q130" s="154">
        <f t="shared" si="12"/>
        <v>51.866094417517445</v>
      </c>
      <c r="R130" s="154">
        <f t="shared" si="13"/>
        <v>59.127347635969883</v>
      </c>
      <c r="S130" s="154">
        <f t="shared" si="14"/>
        <v>67.425922742772684</v>
      </c>
      <c r="T130" s="29" t="str">
        <f t="shared" si="15"/>
        <v>B</v>
      </c>
      <c r="U130" s="16">
        <f>((SUM($J$30:J130)*L130/(M130*SUM($G$30:G130))))*10^6</f>
        <v>38.823443674264077</v>
      </c>
    </row>
    <row r="131" spans="2:21" ht="15.75" x14ac:dyDescent="0.25">
      <c r="B131" s="13">
        <v>102</v>
      </c>
      <c r="C131" s="236"/>
      <c r="D131" s="236"/>
      <c r="E131" s="256"/>
      <c r="F131" s="54">
        <v>1.04930555555545</v>
      </c>
      <c r="G131" s="21">
        <v>0.1</v>
      </c>
      <c r="H131" s="153">
        <v>0</v>
      </c>
      <c r="I131" s="31">
        <v>4.0000000000000001E-3</v>
      </c>
      <c r="J131" s="153">
        <f t="shared" ref="J131:J133" si="18">H131+I131</f>
        <v>4.0000000000000001E-3</v>
      </c>
      <c r="K131" s="31" t="s">
        <v>257</v>
      </c>
      <c r="L131" s="31">
        <v>3.206</v>
      </c>
      <c r="M131" s="31">
        <v>2877</v>
      </c>
      <c r="N131" s="154">
        <f t="shared" ref="N131:N133" si="19">((J131*L131)/(M131*G131))*10^6</f>
        <v>44.574209245742097</v>
      </c>
      <c r="O131" s="154">
        <f t="shared" si="10"/>
        <v>39.418231757313258</v>
      </c>
      <c r="P131" s="154">
        <f t="shared" si="11"/>
        <v>47.716806864116052</v>
      </c>
      <c r="Q131" s="154">
        <f t="shared" si="12"/>
        <v>51.866094417517445</v>
      </c>
      <c r="R131" s="154">
        <f t="shared" si="13"/>
        <v>59.127347635969883</v>
      </c>
      <c r="S131" s="154">
        <f t="shared" si="14"/>
        <v>67.425922742772684</v>
      </c>
      <c r="T131" s="29" t="str">
        <f t="shared" si="15"/>
        <v>B</v>
      </c>
      <c r="U131" s="16">
        <f>((SUM($J$30:J131)*L131/(M131*SUM($G$30:G131))))*10^6</f>
        <v>38.838523440698381</v>
      </c>
    </row>
    <row r="132" spans="2:21" ht="15.75" x14ac:dyDescent="0.25">
      <c r="B132" s="13">
        <v>103</v>
      </c>
      <c r="C132" s="236"/>
      <c r="D132" s="236"/>
      <c r="E132" s="256"/>
      <c r="F132" s="54">
        <v>1.0513888888887799</v>
      </c>
      <c r="G132" s="21">
        <v>0.1</v>
      </c>
      <c r="H132" s="153">
        <v>0</v>
      </c>
      <c r="I132" s="31">
        <v>4.0000000000000001E-3</v>
      </c>
      <c r="J132" s="153">
        <f t="shared" si="18"/>
        <v>4.0000000000000001E-3</v>
      </c>
      <c r="K132" s="31" t="s">
        <v>257</v>
      </c>
      <c r="L132" s="31">
        <v>3.206</v>
      </c>
      <c r="M132" s="31">
        <v>2877</v>
      </c>
      <c r="N132" s="154">
        <f t="shared" si="19"/>
        <v>44.574209245742097</v>
      </c>
      <c r="O132" s="154">
        <f t="shared" si="10"/>
        <v>39.418231757313258</v>
      </c>
      <c r="P132" s="154">
        <f t="shared" si="11"/>
        <v>47.716806864116052</v>
      </c>
      <c r="Q132" s="154">
        <f t="shared" si="12"/>
        <v>51.866094417517445</v>
      </c>
      <c r="R132" s="154">
        <f t="shared" si="13"/>
        <v>59.127347635969883</v>
      </c>
      <c r="S132" s="154">
        <f t="shared" si="14"/>
        <v>67.425922742772684</v>
      </c>
      <c r="T132" s="29" t="str">
        <f t="shared" si="15"/>
        <v>B</v>
      </c>
      <c r="U132" s="16">
        <f>((SUM($J$30:J132)*L132/(M132*SUM($G$30:G132))))*10^6</f>
        <v>38.853524329069749</v>
      </c>
    </row>
    <row r="133" spans="2:21" ht="16.5" thickBot="1" x14ac:dyDescent="0.3">
      <c r="B133" s="237">
        <v>104</v>
      </c>
      <c r="C133" s="238"/>
      <c r="D133" s="238"/>
      <c r="E133" s="458"/>
      <c r="F133" s="239">
        <v>1.05347222222211</v>
      </c>
      <c r="G133" s="21">
        <v>0.1</v>
      </c>
      <c r="H133" s="241">
        <v>0</v>
      </c>
      <c r="I133" s="242">
        <v>4.0000000000000001E-3</v>
      </c>
      <c r="J133" s="241">
        <f t="shared" si="18"/>
        <v>4.0000000000000001E-3</v>
      </c>
      <c r="K133" s="242" t="s">
        <v>257</v>
      </c>
      <c r="L133" s="242">
        <v>3.206</v>
      </c>
      <c r="M133" s="242">
        <v>2877</v>
      </c>
      <c r="N133" s="243">
        <f t="shared" si="19"/>
        <v>44.574209245742097</v>
      </c>
      <c r="O133" s="243">
        <f t="shared" si="10"/>
        <v>39.418231757313258</v>
      </c>
      <c r="P133" s="243">
        <f t="shared" si="11"/>
        <v>47.716806864116052</v>
      </c>
      <c r="Q133" s="243">
        <f t="shared" si="12"/>
        <v>51.866094417517445</v>
      </c>
      <c r="R133" s="243">
        <f t="shared" si="13"/>
        <v>59.127347635969883</v>
      </c>
      <c r="S133" s="243">
        <f t="shared" si="14"/>
        <v>67.425922742772684</v>
      </c>
      <c r="T133" s="244" t="str">
        <f t="shared" si="15"/>
        <v>B</v>
      </c>
      <c r="U133" s="16">
        <f>((SUM($J$30:J133)*L133/(M133*SUM($G$30:G133))))*10^6</f>
        <v>38.868446956647595</v>
      </c>
    </row>
    <row r="134" spans="2:21" ht="15.75" x14ac:dyDescent="0.25">
      <c r="B134" s="13">
        <v>1</v>
      </c>
      <c r="C134" s="456" t="s">
        <v>82</v>
      </c>
      <c r="D134" s="456" t="s">
        <v>81</v>
      </c>
      <c r="E134" s="457">
        <v>9.0277777777777776E-2</v>
      </c>
      <c r="F134" s="54">
        <v>9.0277777777777776E-2</v>
      </c>
      <c r="G134" s="21">
        <v>0.1</v>
      </c>
      <c r="H134" s="153">
        <v>0</v>
      </c>
      <c r="I134" s="16">
        <v>4.7999999999999996E-3</v>
      </c>
      <c r="J134" s="153">
        <f>H134+I134</f>
        <v>4.7999999999999996E-3</v>
      </c>
      <c r="K134" s="31" t="s">
        <v>257</v>
      </c>
      <c r="L134" s="31">
        <v>3.206</v>
      </c>
      <c r="M134" s="31">
        <v>2877</v>
      </c>
      <c r="N134" s="31">
        <f>(J134*L134)/(M134*G134)</f>
        <v>5.3489051094890508E-5</v>
      </c>
      <c r="O134" s="154">
        <f t="shared" si="10"/>
        <v>39.418231757313258</v>
      </c>
      <c r="P134" s="154">
        <f t="shared" si="11"/>
        <v>47.716806864116052</v>
      </c>
      <c r="Q134" s="154">
        <f t="shared" si="12"/>
        <v>51.866094417517445</v>
      </c>
      <c r="R134" s="154">
        <f t="shared" si="13"/>
        <v>59.127347635969883</v>
      </c>
      <c r="S134" s="154">
        <f t="shared" si="14"/>
        <v>67.425922742772684</v>
      </c>
      <c r="T134" s="29" t="str">
        <f t="shared" si="15"/>
        <v>A</v>
      </c>
      <c r="U134" s="16">
        <f>((SUM($J$30:J134)*L134/(M134*SUM($G$30:G134))))*10^6</f>
        <v>38.906486140611101</v>
      </c>
    </row>
    <row r="135" spans="2:21" ht="15.75" x14ac:dyDescent="0.25">
      <c r="B135" s="13">
        <v>2</v>
      </c>
      <c r="C135" s="456"/>
      <c r="D135" s="456"/>
      <c r="E135" s="457"/>
      <c r="F135" s="54">
        <v>9.2361111111111116E-2</v>
      </c>
      <c r="G135" s="21">
        <v>0.1</v>
      </c>
      <c r="H135" s="153">
        <v>0</v>
      </c>
      <c r="I135" s="16">
        <v>4.7999999999999996E-3</v>
      </c>
      <c r="J135" s="153">
        <f t="shared" ref="J135:J198" si="20">H135+I135</f>
        <v>4.7999999999999996E-3</v>
      </c>
      <c r="K135" s="31" t="s">
        <v>257</v>
      </c>
      <c r="L135" s="31">
        <v>3.206</v>
      </c>
      <c r="M135" s="31">
        <v>2877</v>
      </c>
      <c r="N135" s="31">
        <f t="shared" ref="N135" si="21">(J135*L135)/(M135*G135)</f>
        <v>5.3489051094890508E-5</v>
      </c>
      <c r="O135" s="154">
        <f t="shared" si="10"/>
        <v>39.418231757313258</v>
      </c>
      <c r="P135" s="154">
        <f t="shared" si="11"/>
        <v>47.716806864116052</v>
      </c>
      <c r="Q135" s="154">
        <f t="shared" si="12"/>
        <v>51.866094417517445</v>
      </c>
      <c r="R135" s="154">
        <f t="shared" si="13"/>
        <v>59.127347635969883</v>
      </c>
      <c r="S135" s="154">
        <f t="shared" si="14"/>
        <v>67.425922742772684</v>
      </c>
      <c r="T135" s="29" t="str">
        <f t="shared" si="15"/>
        <v>A</v>
      </c>
      <c r="U135" s="16">
        <f>((SUM($J$30:J135)*L135/(M135*SUM($G$30:G135))))*10^6</f>
        <v>38.944327901186263</v>
      </c>
    </row>
    <row r="136" spans="2:21" ht="15.75" x14ac:dyDescent="0.25">
      <c r="B136" s="13">
        <v>3</v>
      </c>
      <c r="C136" s="456"/>
      <c r="D136" s="456"/>
      <c r="E136" s="457"/>
      <c r="F136" s="54">
        <v>9.4444444444444442E-2</v>
      </c>
      <c r="G136" s="15">
        <f>'Testing DF8 (3)'!N142</f>
        <v>3.3240872442874811E-2</v>
      </c>
      <c r="H136" s="153">
        <f>'Testing DF8 (3)'!CA142</f>
        <v>6.5813026368813156E-6</v>
      </c>
      <c r="I136" s="16">
        <v>4.7999999999999996E-3</v>
      </c>
      <c r="J136" s="153">
        <f t="shared" si="20"/>
        <v>4.8065813026368807E-3</v>
      </c>
      <c r="K136" s="31" t="s">
        <v>257</v>
      </c>
      <c r="L136" s="31">
        <v>3.206</v>
      </c>
      <c r="M136" s="31">
        <v>2877</v>
      </c>
      <c r="N136" s="155">
        <f>((J136*L136)/(M136*G136))*10^6</f>
        <v>161.13412870600843</v>
      </c>
      <c r="O136" s="154">
        <f t="shared" si="10"/>
        <v>39.418231757313258</v>
      </c>
      <c r="P136" s="154">
        <f t="shared" si="11"/>
        <v>47.716806864116052</v>
      </c>
      <c r="Q136" s="154">
        <f t="shared" si="12"/>
        <v>51.866094417517445</v>
      </c>
      <c r="R136" s="154">
        <f t="shared" si="13"/>
        <v>59.127347635969883</v>
      </c>
      <c r="S136" s="154">
        <f t="shared" si="14"/>
        <v>67.425922742772684</v>
      </c>
      <c r="T136" s="29" t="str">
        <f t="shared" si="15"/>
        <v>E</v>
      </c>
      <c r="U136" s="16">
        <f>((SUM($J$30:J136)*L136/(M136*SUM($G$30:G136))))*10^6</f>
        <v>39.049638073502258</v>
      </c>
    </row>
    <row r="137" spans="2:21" ht="15.75" x14ac:dyDescent="0.25">
      <c r="B137" s="13">
        <v>4</v>
      </c>
      <c r="C137" s="456"/>
      <c r="D137" s="456"/>
      <c r="E137" s="457"/>
      <c r="F137" s="54">
        <v>9.6527777777777796E-2</v>
      </c>
      <c r="G137" s="15">
        <f>'Testing DF8 (3)'!N143</f>
        <v>0.12001519529358783</v>
      </c>
      <c r="H137" s="153">
        <f>'Testing DF8 (3)'!CA143</f>
        <v>2.5579609258922858E-4</v>
      </c>
      <c r="I137" s="16">
        <v>4.7999999999999996E-3</v>
      </c>
      <c r="J137" s="153">
        <f t="shared" si="20"/>
        <v>5.0557960925892284E-3</v>
      </c>
      <c r="K137" s="31" t="s">
        <v>257</v>
      </c>
      <c r="L137" s="31">
        <v>3.206</v>
      </c>
      <c r="M137" s="31">
        <v>2877</v>
      </c>
      <c r="N137" s="155">
        <f t="shared" ref="N137:N200" si="22">((J137*L137)/(M137*G137))*10^6</f>
        <v>46.943662505317349</v>
      </c>
      <c r="O137" s="154">
        <f t="shared" si="10"/>
        <v>39.418231757313258</v>
      </c>
      <c r="P137" s="154">
        <f t="shared" si="11"/>
        <v>47.716806864116052</v>
      </c>
      <c r="Q137" s="154">
        <f t="shared" si="12"/>
        <v>51.866094417517445</v>
      </c>
      <c r="R137" s="154">
        <f t="shared" si="13"/>
        <v>59.127347635969883</v>
      </c>
      <c r="S137" s="154">
        <f t="shared" si="14"/>
        <v>67.425922742772684</v>
      </c>
      <c r="T137" s="29" t="str">
        <f t="shared" si="15"/>
        <v>B</v>
      </c>
      <c r="U137" s="16">
        <f>((SUM($J$30:J137)*L137/(M137*SUM($G$30:G137))))*10^6</f>
        <v>39.074125793722139</v>
      </c>
    </row>
    <row r="138" spans="2:21" ht="15.75" x14ac:dyDescent="0.25">
      <c r="B138" s="13">
        <v>5</v>
      </c>
      <c r="C138" s="456"/>
      <c r="D138" s="456"/>
      <c r="E138" s="457"/>
      <c r="F138" s="54">
        <v>9.8611111111111094E-2</v>
      </c>
      <c r="G138" s="15">
        <f>'Testing DF8 (3)'!N144</f>
        <v>0.61755941619302612</v>
      </c>
      <c r="H138" s="153">
        <f>'Testing DF8 (3)'!CA144</f>
        <v>3.4277306525177673E-2</v>
      </c>
      <c r="I138" s="16">
        <v>4.7999999999999996E-3</v>
      </c>
      <c r="J138" s="153">
        <f t="shared" si="20"/>
        <v>3.9077306525177671E-2</v>
      </c>
      <c r="K138" s="31" t="s">
        <v>257</v>
      </c>
      <c r="L138" s="31">
        <v>3.206</v>
      </c>
      <c r="M138" s="31">
        <v>2877</v>
      </c>
      <c r="N138" s="155">
        <f t="shared" si="22"/>
        <v>70.513054782280179</v>
      </c>
      <c r="O138" s="154">
        <f t="shared" si="10"/>
        <v>39.418231757313258</v>
      </c>
      <c r="P138" s="154">
        <f t="shared" si="11"/>
        <v>47.716806864116052</v>
      </c>
      <c r="Q138" s="154">
        <f t="shared" si="12"/>
        <v>51.866094417517445</v>
      </c>
      <c r="R138" s="154">
        <f t="shared" si="13"/>
        <v>59.127347635969883</v>
      </c>
      <c r="S138" s="154">
        <f t="shared" si="14"/>
        <v>67.425922742772684</v>
      </c>
      <c r="T138" s="29" t="str">
        <f t="shared" si="15"/>
        <v>E</v>
      </c>
      <c r="U138" s="16">
        <f>((SUM($J$30:J138)*L138/(M138*SUM($G$30:G138))))*10^6</f>
        <v>39.568075348901843</v>
      </c>
    </row>
    <row r="139" spans="2:21" ht="15.75" x14ac:dyDescent="0.25">
      <c r="B139" s="13">
        <v>6</v>
      </c>
      <c r="C139" s="456"/>
      <c r="D139" s="456"/>
      <c r="E139" s="457">
        <v>0.10069444444444443</v>
      </c>
      <c r="F139" s="54">
        <v>0.100694444444444</v>
      </c>
      <c r="G139" s="15">
        <f>'Testing DF8 (3)'!N145</f>
        <v>0.51215381223455092</v>
      </c>
      <c r="H139" s="153">
        <f>'Testing DF8 (3)'!CA145</f>
        <v>1.7048939385295503E-2</v>
      </c>
      <c r="I139" s="16">
        <v>4.7999999999999996E-3</v>
      </c>
      <c r="J139" s="153">
        <f t="shared" si="20"/>
        <v>2.1848939385295502E-2</v>
      </c>
      <c r="K139" s="31" t="s">
        <v>257</v>
      </c>
      <c r="L139" s="31">
        <v>3.206</v>
      </c>
      <c r="M139" s="31">
        <v>2877</v>
      </c>
      <c r="N139" s="155">
        <f t="shared" si="22"/>
        <v>47.539390154518713</v>
      </c>
      <c r="O139" s="154">
        <f t="shared" si="10"/>
        <v>39.418231757313258</v>
      </c>
      <c r="P139" s="154">
        <f t="shared" si="11"/>
        <v>47.716806864116052</v>
      </c>
      <c r="Q139" s="154">
        <f t="shared" si="12"/>
        <v>51.866094417517445</v>
      </c>
      <c r="R139" s="154">
        <f t="shared" si="13"/>
        <v>59.127347635969883</v>
      </c>
      <c r="S139" s="154">
        <f t="shared" si="14"/>
        <v>67.425922742772684</v>
      </c>
      <c r="T139" s="29" t="str">
        <f t="shared" si="15"/>
        <v>B</v>
      </c>
      <c r="U139" s="16">
        <f>((SUM($J$30:J139)*L139/(M139*SUM($G$30:G139))))*10^6</f>
        <v>39.670603770892001</v>
      </c>
    </row>
    <row r="140" spans="2:21" ht="15.75" x14ac:dyDescent="0.25">
      <c r="B140" s="13">
        <v>7</v>
      </c>
      <c r="C140" s="456"/>
      <c r="D140" s="456"/>
      <c r="E140" s="457"/>
      <c r="F140" s="54">
        <v>0.102777777777778</v>
      </c>
      <c r="G140" s="15">
        <f>'Testing DF8 (3)'!N146</f>
        <v>0.37257456021402879</v>
      </c>
      <c r="H140" s="153">
        <f>'Testing DF8 (3)'!CA146</f>
        <v>6.3555871333802133E-3</v>
      </c>
      <c r="I140" s="16">
        <v>4.7999999999999996E-3</v>
      </c>
      <c r="J140" s="153">
        <f t="shared" si="20"/>
        <v>1.1155587133380213E-2</v>
      </c>
      <c r="K140" s="31" t="s">
        <v>257</v>
      </c>
      <c r="L140" s="31">
        <v>3.206</v>
      </c>
      <c r="M140" s="31">
        <v>2877</v>
      </c>
      <c r="N140" s="155">
        <f t="shared" si="22"/>
        <v>33.365903650047073</v>
      </c>
      <c r="O140" s="154">
        <f t="shared" si="10"/>
        <v>39.418231757313258</v>
      </c>
      <c r="P140" s="154">
        <f t="shared" si="11"/>
        <v>47.716806864116052</v>
      </c>
      <c r="Q140" s="154">
        <f t="shared" si="12"/>
        <v>51.866094417517445</v>
      </c>
      <c r="R140" s="154">
        <f t="shared" si="13"/>
        <v>59.127347635969883</v>
      </c>
      <c r="S140" s="154">
        <f t="shared" si="14"/>
        <v>67.425922742772684</v>
      </c>
      <c r="T140" s="29" t="str">
        <f t="shared" si="15"/>
        <v>A</v>
      </c>
      <c r="U140" s="16">
        <f>((SUM($J$30:J140)*L140/(M140*SUM($G$30:G140))))*10^6</f>
        <v>39.612158843458943</v>
      </c>
    </row>
    <row r="141" spans="2:21" ht="15.75" x14ac:dyDescent="0.25">
      <c r="B141" s="13">
        <v>8</v>
      </c>
      <c r="C141" s="456"/>
      <c r="D141" s="456"/>
      <c r="E141" s="457"/>
      <c r="F141" s="54">
        <v>0.104861111111111</v>
      </c>
      <c r="G141" s="15">
        <f>'Testing DF8 (3)'!N147</f>
        <v>0.4831802649253375</v>
      </c>
      <c r="H141" s="153">
        <f>'Testing DF8 (3)'!CA147</f>
        <v>1.3990915637941236E-2</v>
      </c>
      <c r="I141" s="16">
        <v>4.7999999999999996E-3</v>
      </c>
      <c r="J141" s="153">
        <f t="shared" si="20"/>
        <v>1.8790915637941236E-2</v>
      </c>
      <c r="K141" s="31" t="s">
        <v>257</v>
      </c>
      <c r="L141" s="31">
        <v>3.206</v>
      </c>
      <c r="M141" s="31">
        <v>2877</v>
      </c>
      <c r="N141" s="155">
        <f t="shared" si="22"/>
        <v>43.337355970763156</v>
      </c>
      <c r="O141" s="154">
        <f t="shared" si="10"/>
        <v>39.418231757313258</v>
      </c>
      <c r="P141" s="154">
        <f t="shared" si="11"/>
        <v>47.716806864116052</v>
      </c>
      <c r="Q141" s="154">
        <f t="shared" si="12"/>
        <v>51.866094417517445</v>
      </c>
      <c r="R141" s="154">
        <f t="shared" si="13"/>
        <v>59.127347635969883</v>
      </c>
      <c r="S141" s="154">
        <f t="shared" si="14"/>
        <v>67.425922742772684</v>
      </c>
      <c r="T141" s="29" t="str">
        <f t="shared" si="15"/>
        <v>B</v>
      </c>
      <c r="U141" s="16">
        <f>((SUM($J$30:J141)*L141/(M141*SUM($G$30:G141))))*10^6</f>
        <v>39.656411328660312</v>
      </c>
    </row>
    <row r="142" spans="2:21" ht="15.75" x14ac:dyDescent="0.25">
      <c r="B142" s="13">
        <v>9</v>
      </c>
      <c r="C142" s="456"/>
      <c r="D142" s="456"/>
      <c r="E142" s="457"/>
      <c r="F142" s="54">
        <v>0.106944444444444</v>
      </c>
      <c r="G142" s="15">
        <f>'Testing DF8 (3)'!N148</f>
        <v>0.39850774859565136</v>
      </c>
      <c r="H142" s="153">
        <f>'Testing DF8 (3)'!CA148</f>
        <v>7.7218710225150349E-3</v>
      </c>
      <c r="I142" s="16">
        <v>4.7999999999999996E-3</v>
      </c>
      <c r="J142" s="153">
        <f t="shared" si="20"/>
        <v>1.2521871022515035E-2</v>
      </c>
      <c r="K142" s="31" t="s">
        <v>257</v>
      </c>
      <c r="L142" s="31">
        <v>3.206</v>
      </c>
      <c r="M142" s="31">
        <v>2877</v>
      </c>
      <c r="N142" s="155">
        <f t="shared" si="22"/>
        <v>35.015159747377524</v>
      </c>
      <c r="O142" s="154">
        <f t="shared" si="10"/>
        <v>39.418231757313258</v>
      </c>
      <c r="P142" s="154">
        <f t="shared" si="11"/>
        <v>47.716806864116052</v>
      </c>
      <c r="Q142" s="154">
        <f t="shared" si="12"/>
        <v>51.866094417517445</v>
      </c>
      <c r="R142" s="154">
        <f t="shared" si="13"/>
        <v>59.127347635969883</v>
      </c>
      <c r="S142" s="154">
        <f t="shared" si="14"/>
        <v>67.425922742772684</v>
      </c>
      <c r="T142" s="29" t="str">
        <f t="shared" si="15"/>
        <v>A</v>
      </c>
      <c r="U142" s="16">
        <f>((SUM($J$30:J142)*L142/(M142*SUM($G$30:G142))))*10^6</f>
        <v>39.611379788499526</v>
      </c>
    </row>
    <row r="143" spans="2:21" ht="15.75" x14ac:dyDescent="0.25">
      <c r="B143" s="13">
        <v>10</v>
      </c>
      <c r="C143" s="456"/>
      <c r="D143" s="456"/>
      <c r="E143" s="457"/>
      <c r="F143" s="54">
        <v>0.109027777777778</v>
      </c>
      <c r="G143" s="15">
        <f>'Testing DF8 (3)'!N149</f>
        <v>0.40563300616283049</v>
      </c>
      <c r="H143" s="153">
        <f>'Testing DF8 (3)'!CA149</f>
        <v>8.1338969046133754E-3</v>
      </c>
      <c r="I143" s="16">
        <v>4.7999999999999996E-3</v>
      </c>
      <c r="J143" s="153">
        <f t="shared" si="20"/>
        <v>1.2933896904613374E-2</v>
      </c>
      <c r="K143" s="31" t="s">
        <v>257</v>
      </c>
      <c r="L143" s="31">
        <v>3.206</v>
      </c>
      <c r="M143" s="31">
        <v>2877</v>
      </c>
      <c r="N143" s="155">
        <f t="shared" si="22"/>
        <v>35.532009120928429</v>
      </c>
      <c r="O143" s="154">
        <f t="shared" si="10"/>
        <v>39.418231757313258</v>
      </c>
      <c r="P143" s="154">
        <f t="shared" si="11"/>
        <v>47.716806864116052</v>
      </c>
      <c r="Q143" s="154">
        <f t="shared" si="12"/>
        <v>51.866094417517445</v>
      </c>
      <c r="R143" s="154">
        <f t="shared" si="13"/>
        <v>59.127347635969883</v>
      </c>
      <c r="S143" s="154">
        <f t="shared" si="14"/>
        <v>67.425922742772684</v>
      </c>
      <c r="T143" s="29" t="str">
        <f t="shared" si="15"/>
        <v>A</v>
      </c>
      <c r="U143" s="16">
        <f>((SUM($J$30:J143)*L143/(M143*SUM($G$30:G143))))*10^6</f>
        <v>39.571486177161297</v>
      </c>
    </row>
    <row r="144" spans="2:21" ht="15.75" x14ac:dyDescent="0.25">
      <c r="B144" s="13">
        <v>11</v>
      </c>
      <c r="C144" s="456"/>
      <c r="D144" s="456"/>
      <c r="E144" s="457">
        <v>0.1111111111111111</v>
      </c>
      <c r="F144" s="54">
        <v>0.11111111111111099</v>
      </c>
      <c r="G144" s="15">
        <f>'Testing DF8 (3)'!N150</f>
        <v>0.4256952539175482</v>
      </c>
      <c r="H144" s="153">
        <f>'Testing DF8 (3)'!CA150</f>
        <v>9.3907418357722268E-3</v>
      </c>
      <c r="I144" s="16">
        <v>5.0000000000000001E-3</v>
      </c>
      <c r="J144" s="153">
        <f t="shared" si="20"/>
        <v>1.4390741835772228E-2</v>
      </c>
      <c r="K144" s="31" t="s">
        <v>257</v>
      </c>
      <c r="L144" s="31">
        <v>3.206</v>
      </c>
      <c r="M144" s="31">
        <v>2877</v>
      </c>
      <c r="N144" s="155">
        <f t="shared" si="22"/>
        <v>37.671076426506737</v>
      </c>
      <c r="O144" s="154">
        <f t="shared" si="10"/>
        <v>39.418231757313258</v>
      </c>
      <c r="P144" s="154">
        <f t="shared" si="11"/>
        <v>47.716806864116052</v>
      </c>
      <c r="Q144" s="154">
        <f t="shared" si="12"/>
        <v>51.866094417517445</v>
      </c>
      <c r="R144" s="154">
        <f t="shared" si="13"/>
        <v>59.127347635969883</v>
      </c>
      <c r="S144" s="154">
        <f t="shared" si="14"/>
        <v>67.425922742772684</v>
      </c>
      <c r="T144" s="29" t="str">
        <f t="shared" si="15"/>
        <v>A</v>
      </c>
      <c r="U144" s="16">
        <f>((SUM($J$30:J144)*L144/(M144*SUM($G$30:G144))))*10^6</f>
        <v>39.552180346432181</v>
      </c>
    </row>
    <row r="145" spans="2:21" ht="15.75" x14ac:dyDescent="0.25">
      <c r="B145" s="13">
        <v>12</v>
      </c>
      <c r="C145" s="456"/>
      <c r="D145" s="456"/>
      <c r="E145" s="457"/>
      <c r="F145" s="54">
        <v>0.113194444444444</v>
      </c>
      <c r="G145" s="15">
        <f>'Testing DF8 (3)'!N151</f>
        <v>0.53085849053068845</v>
      </c>
      <c r="H145" s="153">
        <f>'Testing DF8 (3)'!CA151</f>
        <v>1.9355181013254969E-2</v>
      </c>
      <c r="I145" s="16">
        <v>5.0000000000000001E-3</v>
      </c>
      <c r="J145" s="153">
        <f t="shared" si="20"/>
        <v>2.435518101325497E-2</v>
      </c>
      <c r="K145" s="31" t="s">
        <v>257</v>
      </c>
      <c r="L145" s="31">
        <v>3.206</v>
      </c>
      <c r="M145" s="31">
        <v>2877</v>
      </c>
      <c r="N145" s="155">
        <f t="shared" si="22"/>
        <v>51.125344798454989</v>
      </c>
      <c r="O145" s="154">
        <f t="shared" si="10"/>
        <v>39.418231757313258</v>
      </c>
      <c r="P145" s="154">
        <f t="shared" si="11"/>
        <v>47.716806864116052</v>
      </c>
      <c r="Q145" s="154">
        <f t="shared" si="12"/>
        <v>51.866094417517445</v>
      </c>
      <c r="R145" s="154">
        <f t="shared" si="13"/>
        <v>59.127347635969883</v>
      </c>
      <c r="S145" s="154">
        <f t="shared" si="14"/>
        <v>67.425922742772684</v>
      </c>
      <c r="T145" s="29" t="str">
        <f t="shared" si="15"/>
        <v>C</v>
      </c>
      <c r="U145" s="16">
        <f>((SUM($J$30:J145)*L145/(M145*SUM($G$30:G145))))*10^6</f>
        <v>39.696959514539195</v>
      </c>
    </row>
    <row r="146" spans="2:21" ht="15.75" x14ac:dyDescent="0.25">
      <c r="B146" s="13">
        <v>13</v>
      </c>
      <c r="C146" s="456"/>
      <c r="D146" s="456"/>
      <c r="E146" s="457"/>
      <c r="F146" s="54">
        <v>0.11527777777777801</v>
      </c>
      <c r="G146" s="15">
        <f>'Testing DF8 (3)'!N152</f>
        <v>0.40474059361355885</v>
      </c>
      <c r="H146" s="153">
        <f>'Testing DF8 (3)'!CA152</f>
        <v>8.0813585418697109E-3</v>
      </c>
      <c r="I146" s="16">
        <v>5.0000000000000001E-3</v>
      </c>
      <c r="J146" s="153">
        <f t="shared" si="20"/>
        <v>1.308135854186971E-2</v>
      </c>
      <c r="K146" s="31" t="s">
        <v>257</v>
      </c>
      <c r="L146" s="31">
        <v>3.206</v>
      </c>
      <c r="M146" s="31">
        <v>2877</v>
      </c>
      <c r="N146" s="155">
        <f t="shared" si="22"/>
        <v>36.016353564760308</v>
      </c>
      <c r="O146" s="154">
        <f t="shared" si="10"/>
        <v>39.418231757313258</v>
      </c>
      <c r="P146" s="154">
        <f t="shared" si="11"/>
        <v>47.716806864116052</v>
      </c>
      <c r="Q146" s="154">
        <f t="shared" si="12"/>
        <v>51.866094417517445</v>
      </c>
      <c r="R146" s="154">
        <f t="shared" si="13"/>
        <v>59.127347635969883</v>
      </c>
      <c r="S146" s="154">
        <f t="shared" si="14"/>
        <v>67.425922742772684</v>
      </c>
      <c r="T146" s="29" t="str">
        <f t="shared" si="15"/>
        <v>A</v>
      </c>
      <c r="U146" s="16">
        <f>((SUM($J$30:J146)*L146/(M146*SUM($G$30:G146))))*10^6</f>
        <v>39.662185994727416</v>
      </c>
    </row>
    <row r="147" spans="2:21" ht="15.75" x14ac:dyDescent="0.25">
      <c r="B147" s="13">
        <v>14</v>
      </c>
      <c r="C147" s="456"/>
      <c r="D147" s="456"/>
      <c r="E147" s="457"/>
      <c r="F147" s="54">
        <v>0.117361111111111</v>
      </c>
      <c r="G147" s="15">
        <f>'Testing DF8 (3)'!N153</f>
        <v>0.37856338554254793</v>
      </c>
      <c r="H147" s="153">
        <f>'Testing DF8 (3)'!CA153</f>
        <v>6.6536645411268396E-3</v>
      </c>
      <c r="I147" s="16">
        <v>5.0000000000000001E-3</v>
      </c>
      <c r="J147" s="153">
        <f t="shared" si="20"/>
        <v>1.1653664541126839E-2</v>
      </c>
      <c r="K147" s="31" t="s">
        <v>257</v>
      </c>
      <c r="L147" s="31">
        <v>3.206</v>
      </c>
      <c r="M147" s="31">
        <v>2877</v>
      </c>
      <c r="N147" s="155">
        <f t="shared" si="22"/>
        <v>34.304221008550876</v>
      </c>
      <c r="O147" s="154">
        <f t="shared" si="10"/>
        <v>39.418231757313258</v>
      </c>
      <c r="P147" s="154">
        <f t="shared" si="11"/>
        <v>47.716806864116052</v>
      </c>
      <c r="Q147" s="154">
        <f t="shared" si="12"/>
        <v>51.866094417517445</v>
      </c>
      <c r="R147" s="154">
        <f t="shared" si="13"/>
        <v>59.127347635969883</v>
      </c>
      <c r="S147" s="154">
        <f t="shared" si="14"/>
        <v>67.425922742772684</v>
      </c>
      <c r="T147" s="29" t="str">
        <f t="shared" si="15"/>
        <v>A</v>
      </c>
      <c r="U147" s="16">
        <f>((SUM($J$30:J147)*L147/(M147*SUM($G$30:G147))))*10^6</f>
        <v>39.615253876018421</v>
      </c>
    </row>
    <row r="148" spans="2:21" ht="15.75" x14ac:dyDescent="0.25">
      <c r="B148" s="13">
        <v>15</v>
      </c>
      <c r="C148" s="456"/>
      <c r="D148" s="456"/>
      <c r="E148" s="457"/>
      <c r="F148" s="54">
        <v>0.11944444444444501</v>
      </c>
      <c r="G148" s="15">
        <f>'Testing DF8 (3)'!N154</f>
        <v>0.54495363288423171</v>
      </c>
      <c r="H148" s="153">
        <f>'Testing DF8 (3)'!CA154</f>
        <v>2.1285929757555215E-2</v>
      </c>
      <c r="I148" s="16">
        <v>5.0000000000000001E-3</v>
      </c>
      <c r="J148" s="153">
        <f t="shared" si="20"/>
        <v>2.6285929757555216E-2</v>
      </c>
      <c r="K148" s="31" t="s">
        <v>257</v>
      </c>
      <c r="L148" s="31">
        <v>3.206</v>
      </c>
      <c r="M148" s="31">
        <v>2877</v>
      </c>
      <c r="N148" s="155">
        <f t="shared" si="22"/>
        <v>53.751111219816927</v>
      </c>
      <c r="O148" s="154">
        <f t="shared" si="10"/>
        <v>39.418231757313258</v>
      </c>
      <c r="P148" s="154">
        <f t="shared" si="11"/>
        <v>47.716806864116052</v>
      </c>
      <c r="Q148" s="154">
        <f t="shared" si="12"/>
        <v>51.866094417517445</v>
      </c>
      <c r="R148" s="154">
        <f t="shared" si="13"/>
        <v>59.127347635969883</v>
      </c>
      <c r="S148" s="154">
        <f t="shared" si="14"/>
        <v>67.425922742772684</v>
      </c>
      <c r="T148" s="29" t="str">
        <f t="shared" si="15"/>
        <v>D</v>
      </c>
      <c r="U148" s="16">
        <f>((SUM($J$30:J148)*L148/(M148*SUM($G$30:G148))))*10^6</f>
        <v>39.791277708839779</v>
      </c>
    </row>
    <row r="149" spans="2:21" ht="15.75" x14ac:dyDescent="0.25">
      <c r="B149" s="13">
        <v>16</v>
      </c>
      <c r="C149" s="456"/>
      <c r="D149" s="456"/>
      <c r="E149" s="457">
        <v>0.121527777777778</v>
      </c>
      <c r="F149" s="54">
        <v>0.121527777777778</v>
      </c>
      <c r="G149" s="15">
        <f>'Testing DF8 (3)'!N155</f>
        <v>0.5420627625219423</v>
      </c>
      <c r="H149" s="153">
        <f>'Testing DF8 (3)'!CA155</f>
        <v>2.0875755031138539E-2</v>
      </c>
      <c r="I149" s="16">
        <v>4.4000000000000003E-3</v>
      </c>
      <c r="J149" s="153">
        <f t="shared" si="20"/>
        <v>2.527575503113854E-2</v>
      </c>
      <c r="K149" s="31" t="s">
        <v>257</v>
      </c>
      <c r="L149" s="31">
        <v>3.206</v>
      </c>
      <c r="M149" s="31">
        <v>2877</v>
      </c>
      <c r="N149" s="155">
        <f t="shared" si="22"/>
        <v>51.961086035516132</v>
      </c>
      <c r="O149" s="154">
        <f t="shared" si="10"/>
        <v>39.418231757313258</v>
      </c>
      <c r="P149" s="154">
        <f t="shared" si="11"/>
        <v>47.716806864116052</v>
      </c>
      <c r="Q149" s="154">
        <f t="shared" si="12"/>
        <v>51.866094417517445</v>
      </c>
      <c r="R149" s="154">
        <f t="shared" si="13"/>
        <v>59.127347635969883</v>
      </c>
      <c r="S149" s="154">
        <f t="shared" si="14"/>
        <v>67.425922742772684</v>
      </c>
      <c r="T149" s="29" t="str">
        <f t="shared" si="15"/>
        <v>D</v>
      </c>
      <c r="U149" s="16">
        <f>((SUM($J$30:J149)*L149/(M149*SUM($G$30:G149))))*10^6</f>
        <v>39.940171589017581</v>
      </c>
    </row>
    <row r="150" spans="2:21" ht="15.75" x14ac:dyDescent="0.25">
      <c r="B150" s="13">
        <v>17</v>
      </c>
      <c r="C150" s="456"/>
      <c r="D150" s="456"/>
      <c r="E150" s="457"/>
      <c r="F150" s="54">
        <v>0.12361111111111101</v>
      </c>
      <c r="G150" s="15">
        <f>'Testing DF8 (3)'!N156</f>
        <v>0.34272452883433513</v>
      </c>
      <c r="H150" s="153">
        <f>'Testing DF8 (3)'!CA156</f>
        <v>5.0093608485096341E-3</v>
      </c>
      <c r="I150" s="16">
        <v>4.4000000000000003E-3</v>
      </c>
      <c r="J150" s="153">
        <f t="shared" si="20"/>
        <v>9.4093608485096344E-3</v>
      </c>
      <c r="K150" s="31" t="s">
        <v>257</v>
      </c>
      <c r="L150" s="31">
        <v>3.206</v>
      </c>
      <c r="M150" s="31">
        <v>2877</v>
      </c>
      <c r="N150" s="155">
        <f t="shared" si="22"/>
        <v>30.594164120428111</v>
      </c>
      <c r="O150" s="154">
        <f t="shared" si="10"/>
        <v>39.418231757313258</v>
      </c>
      <c r="P150" s="154">
        <f t="shared" si="11"/>
        <v>47.716806864116052</v>
      </c>
      <c r="Q150" s="154">
        <f t="shared" si="12"/>
        <v>51.866094417517445</v>
      </c>
      <c r="R150" s="154">
        <f t="shared" si="13"/>
        <v>59.127347635969883</v>
      </c>
      <c r="S150" s="154">
        <f t="shared" si="14"/>
        <v>67.425922742772684</v>
      </c>
      <c r="T150" s="29" t="str">
        <f t="shared" si="15"/>
        <v>A</v>
      </c>
      <c r="U150" s="16">
        <f>((SUM($J$30:J150)*L150/(M150*SUM($G$30:G150))))*10^6</f>
        <v>39.868430446821101</v>
      </c>
    </row>
    <row r="151" spans="2:21" ht="15.75" x14ac:dyDescent="0.25">
      <c r="B151" s="13">
        <v>18</v>
      </c>
      <c r="C151" s="456"/>
      <c r="D151" s="456"/>
      <c r="E151" s="457"/>
      <c r="F151" s="54">
        <v>0.125694444444445</v>
      </c>
      <c r="G151" s="15">
        <f>'Testing DF8 (3)'!N157</f>
        <v>0.47630554146912579</v>
      </c>
      <c r="H151" s="153">
        <f>'Testing DF8 (3)'!CA157</f>
        <v>1.3347064952049355E-2</v>
      </c>
      <c r="I151" s="16">
        <v>4.4000000000000003E-3</v>
      </c>
      <c r="J151" s="153">
        <f t="shared" si="20"/>
        <v>1.7747064952049356E-2</v>
      </c>
      <c r="K151" s="31" t="s">
        <v>257</v>
      </c>
      <c r="L151" s="31">
        <v>3.206</v>
      </c>
      <c r="M151" s="31">
        <v>2877</v>
      </c>
      <c r="N151" s="155">
        <f t="shared" si="22"/>
        <v>41.52068986172506</v>
      </c>
      <c r="O151" s="154">
        <f t="shared" si="10"/>
        <v>39.418231757313258</v>
      </c>
      <c r="P151" s="154">
        <f t="shared" si="11"/>
        <v>47.716806864116052</v>
      </c>
      <c r="Q151" s="154">
        <f t="shared" si="12"/>
        <v>51.866094417517445</v>
      </c>
      <c r="R151" s="154">
        <f t="shared" si="13"/>
        <v>59.127347635969883</v>
      </c>
      <c r="S151" s="154">
        <f t="shared" si="14"/>
        <v>67.425922742772684</v>
      </c>
      <c r="T151" s="29" t="str">
        <f t="shared" si="15"/>
        <v>B</v>
      </c>
      <c r="U151" s="16">
        <f>((SUM($J$30:J151)*L151/(M151*SUM($G$30:G151))))*10^6</f>
        <v>39.885870681859814</v>
      </c>
    </row>
    <row r="152" spans="2:21" ht="15.75" x14ac:dyDescent="0.25">
      <c r="B152" s="13">
        <v>19</v>
      </c>
      <c r="C152" s="456"/>
      <c r="D152" s="456"/>
      <c r="E152" s="457"/>
      <c r="F152" s="54">
        <v>0.12777777777777799</v>
      </c>
      <c r="G152" s="15">
        <f>'Testing DF8 (3)'!N158</f>
        <v>0.39003295452263603</v>
      </c>
      <c r="H152" s="153">
        <f>'Testing DF8 (3)'!CA158</f>
        <v>7.2532095332524275E-3</v>
      </c>
      <c r="I152" s="16">
        <v>4.4000000000000003E-3</v>
      </c>
      <c r="J152" s="153">
        <f t="shared" si="20"/>
        <v>1.1653209533252428E-2</v>
      </c>
      <c r="K152" s="31" t="s">
        <v>257</v>
      </c>
      <c r="L152" s="31">
        <v>3.206</v>
      </c>
      <c r="M152" s="31">
        <v>2877</v>
      </c>
      <c r="N152" s="155">
        <f t="shared" si="22"/>
        <v>33.294148231359536</v>
      </c>
      <c r="O152" s="154">
        <f t="shared" si="10"/>
        <v>39.418231757313258</v>
      </c>
      <c r="P152" s="154">
        <f t="shared" si="11"/>
        <v>47.716806864116052</v>
      </c>
      <c r="Q152" s="154">
        <f t="shared" si="12"/>
        <v>51.866094417517445</v>
      </c>
      <c r="R152" s="154">
        <f t="shared" si="13"/>
        <v>59.127347635969883</v>
      </c>
      <c r="S152" s="154">
        <f t="shared" si="14"/>
        <v>67.425922742772684</v>
      </c>
      <c r="T152" s="29" t="str">
        <f t="shared" si="15"/>
        <v>A</v>
      </c>
      <c r="U152" s="16">
        <f>((SUM($J$30:J152)*L152/(M152*SUM($G$30:G152))))*10^6</f>
        <v>39.829383360045099</v>
      </c>
    </row>
    <row r="153" spans="2:21" ht="15.75" x14ac:dyDescent="0.25">
      <c r="B153" s="13">
        <v>20</v>
      </c>
      <c r="C153" s="456"/>
      <c r="D153" s="456"/>
      <c r="E153" s="457"/>
      <c r="F153" s="54">
        <v>0.12986111111111101</v>
      </c>
      <c r="G153" s="15">
        <f>'Testing DF8 (3)'!N159</f>
        <v>0.3980860527257975</v>
      </c>
      <c r="H153" s="153">
        <f>'Testing DF8 (3)'!CA159</f>
        <v>7.6980113716648459E-3</v>
      </c>
      <c r="I153" s="16">
        <v>4.4000000000000003E-3</v>
      </c>
      <c r="J153" s="153">
        <f t="shared" si="20"/>
        <v>1.2098011371664847E-2</v>
      </c>
      <c r="K153" s="31" t="s">
        <v>257</v>
      </c>
      <c r="L153" s="31">
        <v>3.206</v>
      </c>
      <c r="M153" s="31">
        <v>2877</v>
      </c>
      <c r="N153" s="155">
        <f t="shared" si="22"/>
        <v>33.865748790086293</v>
      </c>
      <c r="O153" s="154">
        <f t="shared" si="10"/>
        <v>39.418231757313258</v>
      </c>
      <c r="P153" s="154">
        <f t="shared" si="11"/>
        <v>47.716806864116052</v>
      </c>
      <c r="Q153" s="154">
        <f t="shared" si="12"/>
        <v>51.866094417517445</v>
      </c>
      <c r="R153" s="154">
        <f t="shared" si="13"/>
        <v>59.127347635969883</v>
      </c>
      <c r="S153" s="154">
        <f t="shared" si="14"/>
        <v>67.425922742772684</v>
      </c>
      <c r="T153" s="29" t="str">
        <f t="shared" si="15"/>
        <v>A</v>
      </c>
      <c r="U153" s="16">
        <f>((SUM($J$30:J153)*L153/(M153*SUM($G$30:G153))))*10^6</f>
        <v>39.777675475497922</v>
      </c>
    </row>
    <row r="154" spans="2:21" ht="15.75" x14ac:dyDescent="0.25">
      <c r="B154" s="13">
        <v>21</v>
      </c>
      <c r="C154" s="456"/>
      <c r="D154" s="456"/>
      <c r="E154" s="457">
        <v>0.131944444444444</v>
      </c>
      <c r="F154" s="54">
        <v>0.131944444444445</v>
      </c>
      <c r="G154" s="15">
        <f>'Testing DF8 (3)'!N160</f>
        <v>0.40567556865953053</v>
      </c>
      <c r="H154" s="153">
        <f>'Testing DF8 (3)'!CA160</f>
        <v>8.1364094568779615E-3</v>
      </c>
      <c r="I154" s="16">
        <v>4.7999999999999996E-3</v>
      </c>
      <c r="J154" s="153">
        <f t="shared" si="20"/>
        <v>1.2936409456877962E-2</v>
      </c>
      <c r="K154" s="31" t="s">
        <v>257</v>
      </c>
      <c r="L154" s="31">
        <v>3.206</v>
      </c>
      <c r="M154" s="31">
        <v>2877</v>
      </c>
      <c r="N154" s="155">
        <f t="shared" si="22"/>
        <v>35.535182949569055</v>
      </c>
      <c r="O154" s="154">
        <f t="shared" si="10"/>
        <v>39.418231757313258</v>
      </c>
      <c r="P154" s="154">
        <f t="shared" si="11"/>
        <v>47.716806864116052</v>
      </c>
      <c r="Q154" s="154">
        <f t="shared" si="12"/>
        <v>51.866094417517445</v>
      </c>
      <c r="R154" s="154">
        <f t="shared" si="13"/>
        <v>59.127347635969883</v>
      </c>
      <c r="S154" s="154">
        <f t="shared" si="14"/>
        <v>67.425922742772684</v>
      </c>
      <c r="T154" s="29" t="str">
        <f t="shared" si="15"/>
        <v>A</v>
      </c>
      <c r="U154" s="16">
        <f>((SUM($J$30:J154)*L154/(M154*SUM($G$30:G154))))*10^6</f>
        <v>39.740517826877159</v>
      </c>
    </row>
    <row r="155" spans="2:21" ht="15.75" x14ac:dyDescent="0.25">
      <c r="B155" s="13">
        <v>22</v>
      </c>
      <c r="C155" s="456"/>
      <c r="D155" s="456"/>
      <c r="E155" s="457"/>
      <c r="F155" s="54">
        <v>0.134027777777778</v>
      </c>
      <c r="G155" s="15">
        <f>'Testing DF8 (3)'!N161</f>
        <v>0.51416058404852727</v>
      </c>
      <c r="H155" s="153">
        <f>'Testing DF8 (3)'!CA161</f>
        <v>1.7283126211189128E-2</v>
      </c>
      <c r="I155" s="16">
        <v>4.7999999999999996E-3</v>
      </c>
      <c r="J155" s="153">
        <f t="shared" si="20"/>
        <v>2.2083126211189127E-2</v>
      </c>
      <c r="K155" s="31" t="s">
        <v>257</v>
      </c>
      <c r="L155" s="31">
        <v>3.206</v>
      </c>
      <c r="M155" s="31">
        <v>2877</v>
      </c>
      <c r="N155" s="155">
        <f t="shared" si="22"/>
        <v>47.861403570988855</v>
      </c>
      <c r="O155" s="154">
        <f t="shared" si="10"/>
        <v>39.418231757313258</v>
      </c>
      <c r="P155" s="154">
        <f t="shared" si="11"/>
        <v>47.716806864116052</v>
      </c>
      <c r="Q155" s="154">
        <f t="shared" si="12"/>
        <v>51.866094417517445</v>
      </c>
      <c r="R155" s="154">
        <f t="shared" si="13"/>
        <v>59.127347635969883</v>
      </c>
      <c r="S155" s="154">
        <f t="shared" si="14"/>
        <v>67.425922742772684</v>
      </c>
      <c r="T155" s="29" t="str">
        <f t="shared" si="15"/>
        <v>C</v>
      </c>
      <c r="U155" s="16">
        <f>((SUM($J$30:J155)*L155/(M155*SUM($G$30:G155))))*10^6</f>
        <v>39.829674958887239</v>
      </c>
    </row>
    <row r="156" spans="2:21" ht="15.75" x14ac:dyDescent="0.25">
      <c r="B156" s="13">
        <v>23</v>
      </c>
      <c r="C156" s="456"/>
      <c r="D156" s="456"/>
      <c r="E156" s="457"/>
      <c r="F156" s="54">
        <v>0.13611111111111099</v>
      </c>
      <c r="G156" s="15">
        <f>'Testing DF8 (3)'!N162</f>
        <v>0.38316240933174994</v>
      </c>
      <c r="H156" s="153">
        <f>'Testing DF8 (3)'!CA162</f>
        <v>6.8894374282025134E-3</v>
      </c>
      <c r="I156" s="16">
        <v>4.7999999999999996E-3</v>
      </c>
      <c r="J156" s="153">
        <f t="shared" si="20"/>
        <v>1.1689437428202512E-2</v>
      </c>
      <c r="K156" s="31" t="s">
        <v>257</v>
      </c>
      <c r="L156" s="31">
        <v>3.206</v>
      </c>
      <c r="M156" s="31">
        <v>2877</v>
      </c>
      <c r="N156" s="155">
        <f t="shared" si="22"/>
        <v>33.996512784124292</v>
      </c>
      <c r="O156" s="154">
        <f t="shared" si="10"/>
        <v>39.418231757313258</v>
      </c>
      <c r="P156" s="154">
        <f t="shared" si="11"/>
        <v>47.716806864116052</v>
      </c>
      <c r="Q156" s="154">
        <f t="shared" si="12"/>
        <v>51.866094417517445</v>
      </c>
      <c r="R156" s="154">
        <f t="shared" si="13"/>
        <v>59.127347635969883</v>
      </c>
      <c r="S156" s="154">
        <f t="shared" si="14"/>
        <v>67.425922742772684</v>
      </c>
      <c r="T156" s="29" t="str">
        <f t="shared" si="15"/>
        <v>A</v>
      </c>
      <c r="U156" s="16">
        <f>((SUM($J$30:J156)*L156/(M156*SUM($G$30:G156))))*10^6</f>
        <v>39.782337809627059</v>
      </c>
    </row>
    <row r="157" spans="2:21" ht="15.75" x14ac:dyDescent="0.25">
      <c r="B157" s="13">
        <v>24</v>
      </c>
      <c r="C157" s="456"/>
      <c r="D157" s="456"/>
      <c r="E157" s="457"/>
      <c r="F157" s="54">
        <v>0.13819444444444501</v>
      </c>
      <c r="G157" s="15">
        <f>'Testing DF8 (3)'!N163</f>
        <v>0.40935997715267769</v>
      </c>
      <c r="H157" s="153">
        <f>'Testing DF8 (3)'!CA163</f>
        <v>8.356282392870831E-3</v>
      </c>
      <c r="I157" s="16">
        <v>4.7999999999999996E-3</v>
      </c>
      <c r="J157" s="153">
        <f t="shared" si="20"/>
        <v>1.3156282392870831E-2</v>
      </c>
      <c r="K157" s="31" t="s">
        <v>257</v>
      </c>
      <c r="L157" s="31">
        <v>3.206</v>
      </c>
      <c r="M157" s="31">
        <v>2877</v>
      </c>
      <c r="N157" s="155">
        <f t="shared" si="22"/>
        <v>35.813887348907684</v>
      </c>
      <c r="O157" s="154">
        <f t="shared" si="10"/>
        <v>39.418231757313258</v>
      </c>
      <c r="P157" s="154">
        <f t="shared" si="11"/>
        <v>47.716806864116052</v>
      </c>
      <c r="Q157" s="154">
        <f t="shared" si="12"/>
        <v>51.866094417517445</v>
      </c>
      <c r="R157" s="154">
        <f t="shared" si="13"/>
        <v>59.127347635969883</v>
      </c>
      <c r="S157" s="154">
        <f t="shared" si="14"/>
        <v>67.425922742772684</v>
      </c>
      <c r="T157" s="29" t="str">
        <f t="shared" si="15"/>
        <v>A</v>
      </c>
      <c r="U157" s="16">
        <f>((SUM($J$30:J157)*L157/(M157*SUM($G$30:G157))))*10^6</f>
        <v>39.748226972293558</v>
      </c>
    </row>
    <row r="158" spans="2:21" ht="15.75" x14ac:dyDescent="0.25">
      <c r="B158" s="13">
        <v>25</v>
      </c>
      <c r="C158" s="456"/>
      <c r="D158" s="456"/>
      <c r="E158" s="457"/>
      <c r="F158" s="54">
        <v>0.140277777777778</v>
      </c>
      <c r="G158" s="15">
        <f>'Testing DF8 (3)'!N164</f>
        <v>0.5309550318111681</v>
      </c>
      <c r="H158" s="153">
        <f>'Testing DF8 (3)'!CA164</f>
        <v>1.9367823632272664E-2</v>
      </c>
      <c r="I158" s="16">
        <v>4.7999999999999996E-3</v>
      </c>
      <c r="J158" s="153">
        <f t="shared" si="20"/>
        <v>2.4167823632272663E-2</v>
      </c>
      <c r="K158" s="31" t="s">
        <v>257</v>
      </c>
      <c r="L158" s="31">
        <v>3.206</v>
      </c>
      <c r="M158" s="31">
        <v>2877</v>
      </c>
      <c r="N158" s="155">
        <f t="shared" si="22"/>
        <v>50.722827878869978</v>
      </c>
      <c r="O158" s="154">
        <f t="shared" ref="O158:O221" si="23">0.76*Q158</f>
        <v>39.418231757313258</v>
      </c>
      <c r="P158" s="154">
        <f t="shared" ref="P158:P221" si="24">0.92*Q158</f>
        <v>47.716806864116052</v>
      </c>
      <c r="Q158" s="154">
        <f t="shared" ref="Q158:Q221" si="25">2023*M158^(-0.46)</f>
        <v>51.866094417517445</v>
      </c>
      <c r="R158" s="154">
        <f t="shared" ref="R158:R221" si="26">1.14*Q158</f>
        <v>59.127347635969883</v>
      </c>
      <c r="S158" s="154">
        <f t="shared" ref="S158:S221" si="27">1.3*Q158</f>
        <v>67.425922742772684</v>
      </c>
      <c r="T158" s="29" t="str">
        <f t="shared" ref="T158:T221" si="28">IF(N158&lt;=O158,"A",IF((AND(N158&lt;=P158,N158&gt;O158)),"B",IF((AND(N158&lt;=Q158,N158&gt;P158)),"C",IF((AND(N158&lt;=R158,N158&gt;Q158)),"D","E"))))</f>
        <v>C</v>
      </c>
      <c r="U158" s="16">
        <f>((SUM($J$30:J158)*L158/(M158*SUM($G$30:G158))))*10^6</f>
        <v>39.869230349438716</v>
      </c>
    </row>
    <row r="159" spans="2:21" ht="15.75" x14ac:dyDescent="0.25">
      <c r="B159" s="13">
        <v>26</v>
      </c>
      <c r="C159" s="456"/>
      <c r="D159" s="456"/>
      <c r="E159" s="457">
        <v>0.14236111111111099</v>
      </c>
      <c r="F159" s="54">
        <v>0.14236111111111099</v>
      </c>
      <c r="G159" s="15">
        <f>'Testing DF8 (3)'!N165</f>
        <v>0.48556507457743114</v>
      </c>
      <c r="H159" s="153">
        <f>'Testing DF8 (3)'!CA165</f>
        <v>1.4221150343912045E-2</v>
      </c>
      <c r="I159" s="16">
        <v>2.5999999999999999E-3</v>
      </c>
      <c r="J159" s="153">
        <f t="shared" si="20"/>
        <v>1.6821150343912045E-2</v>
      </c>
      <c r="K159" s="31" t="s">
        <v>257</v>
      </c>
      <c r="L159" s="31">
        <v>3.206</v>
      </c>
      <c r="M159" s="31">
        <v>2877</v>
      </c>
      <c r="N159" s="155">
        <f t="shared" si="22"/>
        <v>38.60396445502878</v>
      </c>
      <c r="O159" s="154">
        <f t="shared" si="23"/>
        <v>39.418231757313258</v>
      </c>
      <c r="P159" s="154">
        <f t="shared" si="24"/>
        <v>47.716806864116052</v>
      </c>
      <c r="Q159" s="154">
        <f t="shared" si="25"/>
        <v>51.866094417517445</v>
      </c>
      <c r="R159" s="154">
        <f t="shared" si="26"/>
        <v>59.127347635969883</v>
      </c>
      <c r="S159" s="154">
        <f t="shared" si="27"/>
        <v>67.425922742772684</v>
      </c>
      <c r="T159" s="29" t="str">
        <f t="shared" si="28"/>
        <v>A</v>
      </c>
      <c r="U159" s="16">
        <f>((SUM($J$30:J159)*L159/(M159*SUM($G$30:G159))))*10^6</f>
        <v>39.856599774814399</v>
      </c>
    </row>
    <row r="160" spans="2:21" ht="15.75" x14ac:dyDescent="0.25">
      <c r="B160" s="13">
        <v>27</v>
      </c>
      <c r="C160" s="456"/>
      <c r="D160" s="456"/>
      <c r="E160" s="457"/>
      <c r="F160" s="54">
        <v>0.14444444444444501</v>
      </c>
      <c r="G160" s="15">
        <f>'Testing DF8 (3)'!N166</f>
        <v>0.3645929568168253</v>
      </c>
      <c r="H160" s="153">
        <f>'Testing DF8 (3)'!CA166</f>
        <v>5.9734630259486452E-3</v>
      </c>
      <c r="I160" s="16">
        <v>2.5999999999999999E-3</v>
      </c>
      <c r="J160" s="153">
        <f t="shared" si="20"/>
        <v>8.5734630259486459E-3</v>
      </c>
      <c r="K160" s="31" t="s">
        <v>257</v>
      </c>
      <c r="L160" s="31">
        <v>3.206</v>
      </c>
      <c r="M160" s="31">
        <v>2877</v>
      </c>
      <c r="N160" s="155">
        <f t="shared" si="22"/>
        <v>26.204245565779424</v>
      </c>
      <c r="O160" s="154">
        <f t="shared" si="23"/>
        <v>39.418231757313258</v>
      </c>
      <c r="P160" s="154">
        <f t="shared" si="24"/>
        <v>47.716806864116052</v>
      </c>
      <c r="Q160" s="154">
        <f t="shared" si="25"/>
        <v>51.866094417517445</v>
      </c>
      <c r="R160" s="154">
        <f t="shared" si="26"/>
        <v>59.127347635969883</v>
      </c>
      <c r="S160" s="154">
        <f t="shared" si="27"/>
        <v>67.425922742772684</v>
      </c>
      <c r="T160" s="29" t="str">
        <f t="shared" si="28"/>
        <v>A</v>
      </c>
      <c r="U160" s="16">
        <f>((SUM($J$30:J160)*L160/(M160*SUM($G$30:G160))))*10^6</f>
        <v>39.755029515393403</v>
      </c>
    </row>
    <row r="161" spans="2:21" ht="15.75" x14ac:dyDescent="0.25">
      <c r="B161" s="13">
        <v>28</v>
      </c>
      <c r="C161" s="456"/>
      <c r="D161" s="456"/>
      <c r="E161" s="457"/>
      <c r="F161" s="54">
        <v>0.14652777777777801</v>
      </c>
      <c r="G161" s="15">
        <f>'Testing DF8 (3)'!N167</f>
        <v>0.3784115118771621</v>
      </c>
      <c r="H161" s="153">
        <f>'Testing DF8 (3)'!CA167</f>
        <v>6.6459816574764149E-3</v>
      </c>
      <c r="I161" s="16">
        <v>2.5999999999999999E-3</v>
      </c>
      <c r="J161" s="153">
        <f t="shared" si="20"/>
        <v>9.2459816574764139E-3</v>
      </c>
      <c r="K161" s="31" t="s">
        <v>257</v>
      </c>
      <c r="L161" s="31">
        <v>3.206</v>
      </c>
      <c r="M161" s="31">
        <v>2877</v>
      </c>
      <c r="N161" s="155">
        <f t="shared" si="22"/>
        <v>27.227786955939063</v>
      </c>
      <c r="O161" s="154">
        <f t="shared" si="23"/>
        <v>39.418231757313258</v>
      </c>
      <c r="P161" s="154">
        <f t="shared" si="24"/>
        <v>47.716806864116052</v>
      </c>
      <c r="Q161" s="154">
        <f t="shared" si="25"/>
        <v>51.866094417517445</v>
      </c>
      <c r="R161" s="154">
        <f t="shared" si="26"/>
        <v>59.127347635969883</v>
      </c>
      <c r="S161" s="154">
        <f t="shared" si="27"/>
        <v>67.425922742772684</v>
      </c>
      <c r="T161" s="29" t="str">
        <f t="shared" si="28"/>
        <v>A</v>
      </c>
      <c r="U161" s="16">
        <f>((SUM($J$30:J161)*L161/(M161*SUM($G$30:G161))))*10^6</f>
        <v>39.659038642988655</v>
      </c>
    </row>
    <row r="162" spans="2:21" ht="15.75" x14ac:dyDescent="0.25">
      <c r="B162" s="13">
        <v>29</v>
      </c>
      <c r="C162" s="456"/>
      <c r="D162" s="456"/>
      <c r="E162" s="457"/>
      <c r="F162" s="54">
        <v>0.148611111111111</v>
      </c>
      <c r="G162" s="15">
        <f>'Testing DF8 (3)'!N168</f>
        <v>0.47204448890070766</v>
      </c>
      <c r="H162" s="153">
        <f>'Testing DF8 (3)'!CA168</f>
        <v>1.2962319768910914E-2</v>
      </c>
      <c r="I162" s="16">
        <v>2.5999999999999999E-3</v>
      </c>
      <c r="J162" s="153">
        <f t="shared" si="20"/>
        <v>1.5562319768910914E-2</v>
      </c>
      <c r="K162" s="31" t="s">
        <v>257</v>
      </c>
      <c r="L162" s="31">
        <v>3.206</v>
      </c>
      <c r="M162" s="31">
        <v>2877</v>
      </c>
      <c r="N162" s="155">
        <f t="shared" si="22"/>
        <v>36.737961889143875</v>
      </c>
      <c r="O162" s="154">
        <f t="shared" si="23"/>
        <v>39.418231757313258</v>
      </c>
      <c r="P162" s="154">
        <f t="shared" si="24"/>
        <v>47.716806864116052</v>
      </c>
      <c r="Q162" s="154">
        <f t="shared" si="25"/>
        <v>51.866094417517445</v>
      </c>
      <c r="R162" s="154">
        <f t="shared" si="26"/>
        <v>59.127347635969883</v>
      </c>
      <c r="S162" s="154">
        <f t="shared" si="27"/>
        <v>67.425922742772684</v>
      </c>
      <c r="T162" s="29" t="str">
        <f t="shared" si="28"/>
        <v>A</v>
      </c>
      <c r="U162" s="16">
        <f>((SUM($J$30:J162)*L162/(M162*SUM($G$30:G162))))*10^6</f>
        <v>39.631381679802139</v>
      </c>
    </row>
    <row r="163" spans="2:21" ht="15.75" x14ac:dyDescent="0.25">
      <c r="B163" s="13">
        <v>30</v>
      </c>
      <c r="C163" s="456"/>
      <c r="D163" s="456"/>
      <c r="E163" s="457"/>
      <c r="F163" s="54">
        <v>0.15069444444444499</v>
      </c>
      <c r="G163" s="15">
        <f>'Testing DF8 (3)'!N169</f>
        <v>0.42286470182829561</v>
      </c>
      <c r="H163" s="153">
        <f>'Testing DF8 (3)'!CA169</f>
        <v>9.2041999095525857E-3</v>
      </c>
      <c r="I163" s="16">
        <v>2.5999999999999999E-3</v>
      </c>
      <c r="J163" s="153">
        <f t="shared" si="20"/>
        <v>1.1804199909552586E-2</v>
      </c>
      <c r="K163" s="31" t="s">
        <v>257</v>
      </c>
      <c r="L163" s="31">
        <v>3.206</v>
      </c>
      <c r="M163" s="31">
        <v>2877</v>
      </c>
      <c r="N163" s="155">
        <f t="shared" si="22"/>
        <v>31.107046442517657</v>
      </c>
      <c r="O163" s="154">
        <f t="shared" si="23"/>
        <v>39.418231757313258</v>
      </c>
      <c r="P163" s="154">
        <f t="shared" si="24"/>
        <v>47.716806864116052</v>
      </c>
      <c r="Q163" s="154">
        <f t="shared" si="25"/>
        <v>51.866094417517445</v>
      </c>
      <c r="R163" s="154">
        <f t="shared" si="26"/>
        <v>59.127347635969883</v>
      </c>
      <c r="S163" s="154">
        <f t="shared" si="27"/>
        <v>67.425922742772684</v>
      </c>
      <c r="T163" s="29" t="str">
        <f t="shared" si="28"/>
        <v>A</v>
      </c>
      <c r="U163" s="16">
        <f>((SUM($J$30:J163)*L163/(M163*SUM($G$30:G163))))*10^6</f>
        <v>39.559689373921209</v>
      </c>
    </row>
    <row r="164" spans="2:21" ht="15.75" x14ac:dyDescent="0.25">
      <c r="B164" s="13">
        <v>31</v>
      </c>
      <c r="C164" s="456"/>
      <c r="D164" s="456"/>
      <c r="E164" s="457">
        <v>0.15277777777777801</v>
      </c>
      <c r="F164" s="54">
        <v>0.15277777777777801</v>
      </c>
      <c r="G164" s="15">
        <f>'Testing DF8 (3)'!N170</f>
        <v>0.39722268923360227</v>
      </c>
      <c r="H164" s="153">
        <f>'Testing DF8 (3)'!CA170</f>
        <v>7.6493414306222458E-3</v>
      </c>
      <c r="I164" s="16">
        <v>2.8E-3</v>
      </c>
      <c r="J164" s="153">
        <f t="shared" si="20"/>
        <v>1.0449341430622245E-2</v>
      </c>
      <c r="K164" s="31" t="s">
        <v>257</v>
      </c>
      <c r="L164" s="31">
        <v>3.206</v>
      </c>
      <c r="M164" s="31">
        <v>2877</v>
      </c>
      <c r="N164" s="155">
        <f t="shared" si="22"/>
        <v>29.314232547202455</v>
      </c>
      <c r="O164" s="154">
        <f t="shared" si="23"/>
        <v>39.418231757313258</v>
      </c>
      <c r="P164" s="154">
        <f t="shared" si="24"/>
        <v>47.716806864116052</v>
      </c>
      <c r="Q164" s="154">
        <f t="shared" si="25"/>
        <v>51.866094417517445</v>
      </c>
      <c r="R164" s="154">
        <f t="shared" si="26"/>
        <v>59.127347635969883</v>
      </c>
      <c r="S164" s="154">
        <f t="shared" si="27"/>
        <v>67.425922742772684</v>
      </c>
      <c r="T164" s="29" t="str">
        <f t="shared" si="28"/>
        <v>A</v>
      </c>
      <c r="U164" s="16">
        <f>((SUM($J$30:J164)*L164/(M164*SUM($G$30:G164))))*10^6</f>
        <v>39.479381452406763</v>
      </c>
    </row>
    <row r="165" spans="2:21" ht="15.75" x14ac:dyDescent="0.25">
      <c r="B165" s="13">
        <v>32</v>
      </c>
      <c r="C165" s="456"/>
      <c r="D165" s="456"/>
      <c r="E165" s="457"/>
      <c r="F165" s="54">
        <v>0.15486111111111101</v>
      </c>
      <c r="G165" s="15">
        <f>'Testing DF8 (3)'!N171</f>
        <v>0.40135402362199413</v>
      </c>
      <c r="H165" s="153">
        <f>'Testing DF8 (3)'!CA171</f>
        <v>7.8844330802010764E-3</v>
      </c>
      <c r="I165" s="16">
        <v>2.8E-3</v>
      </c>
      <c r="J165" s="153">
        <f t="shared" si="20"/>
        <v>1.0684433080201077E-2</v>
      </c>
      <c r="K165" s="31" t="s">
        <v>257</v>
      </c>
      <c r="L165" s="31">
        <v>3.206</v>
      </c>
      <c r="M165" s="31">
        <v>2877</v>
      </c>
      <c r="N165" s="155">
        <f t="shared" si="22"/>
        <v>29.665216228002517</v>
      </c>
      <c r="O165" s="154">
        <f t="shared" si="23"/>
        <v>39.418231757313258</v>
      </c>
      <c r="P165" s="154">
        <f t="shared" si="24"/>
        <v>47.716806864116052</v>
      </c>
      <c r="Q165" s="154">
        <f t="shared" si="25"/>
        <v>51.866094417517445</v>
      </c>
      <c r="R165" s="154">
        <f t="shared" si="26"/>
        <v>59.127347635969883</v>
      </c>
      <c r="S165" s="154">
        <f t="shared" si="27"/>
        <v>67.425922742772684</v>
      </c>
      <c r="T165" s="29" t="str">
        <f t="shared" si="28"/>
        <v>A</v>
      </c>
      <c r="U165" s="16">
        <f>((SUM($J$30:J165)*L165/(M165*SUM($G$30:G165))))*10^6</f>
        <v>39.402264835267943</v>
      </c>
    </row>
    <row r="166" spans="2:21" ht="15.75" x14ac:dyDescent="0.25">
      <c r="B166" s="13">
        <v>33</v>
      </c>
      <c r="C166" s="456"/>
      <c r="D166" s="456"/>
      <c r="E166" s="457"/>
      <c r="F166" s="54">
        <v>0.156944444444445</v>
      </c>
      <c r="G166" s="15">
        <f>'Testing DF8 (3)'!N172</f>
        <v>0.47745842204828531</v>
      </c>
      <c r="H166" s="153">
        <f>'Testing DF8 (3)'!CA172</f>
        <v>1.3453020296929293E-2</v>
      </c>
      <c r="I166" s="16">
        <v>2.8E-3</v>
      </c>
      <c r="J166" s="153">
        <f t="shared" si="20"/>
        <v>1.6253020296929294E-2</v>
      </c>
      <c r="K166" s="31" t="s">
        <v>257</v>
      </c>
      <c r="L166" s="31">
        <v>3.206</v>
      </c>
      <c r="M166" s="31">
        <v>2877</v>
      </c>
      <c r="N166" s="155">
        <f t="shared" si="22"/>
        <v>37.933435359809955</v>
      </c>
      <c r="O166" s="154">
        <f t="shared" si="23"/>
        <v>39.418231757313258</v>
      </c>
      <c r="P166" s="154">
        <f t="shared" si="24"/>
        <v>47.716806864116052</v>
      </c>
      <c r="Q166" s="154">
        <f t="shared" si="25"/>
        <v>51.866094417517445</v>
      </c>
      <c r="R166" s="154">
        <f t="shared" si="26"/>
        <v>59.127347635969883</v>
      </c>
      <c r="S166" s="154">
        <f t="shared" si="27"/>
        <v>67.425922742772684</v>
      </c>
      <c r="T166" s="29" t="str">
        <f t="shared" si="28"/>
        <v>A</v>
      </c>
      <c r="U166" s="16">
        <f>((SUM($J$30:J166)*L166/(M166*SUM($G$30:G166))))*10^6</f>
        <v>39.38866188393925</v>
      </c>
    </row>
    <row r="167" spans="2:21" ht="15.75" x14ac:dyDescent="0.25">
      <c r="B167" s="13">
        <v>34</v>
      </c>
      <c r="C167" s="456"/>
      <c r="D167" s="456"/>
      <c r="E167" s="457"/>
      <c r="F167" s="54">
        <v>0.15902777777777799</v>
      </c>
      <c r="G167" s="15">
        <f>'Testing DF8 (3)'!N173</f>
        <v>0.41094642922175384</v>
      </c>
      <c r="H167" s="153">
        <f>'Testing DF8 (3)'!CA173</f>
        <v>8.452422437593414E-3</v>
      </c>
      <c r="I167" s="16">
        <v>2.8E-3</v>
      </c>
      <c r="J167" s="153">
        <f t="shared" si="20"/>
        <v>1.1252422437593414E-2</v>
      </c>
      <c r="K167" s="31" t="s">
        <v>257</v>
      </c>
      <c r="L167" s="31">
        <v>3.206</v>
      </c>
      <c r="M167" s="31">
        <v>2877</v>
      </c>
      <c r="N167" s="155">
        <f t="shared" si="22"/>
        <v>30.512969367116547</v>
      </c>
      <c r="O167" s="154">
        <f t="shared" si="23"/>
        <v>39.418231757313258</v>
      </c>
      <c r="P167" s="154">
        <f t="shared" si="24"/>
        <v>47.716806864116052</v>
      </c>
      <c r="Q167" s="154">
        <f t="shared" si="25"/>
        <v>51.866094417517445</v>
      </c>
      <c r="R167" s="154">
        <f t="shared" si="26"/>
        <v>59.127347635969883</v>
      </c>
      <c r="S167" s="154">
        <f t="shared" si="27"/>
        <v>67.425922742772684</v>
      </c>
      <c r="T167" s="29" t="str">
        <f t="shared" si="28"/>
        <v>A</v>
      </c>
      <c r="U167" s="16">
        <f>((SUM($J$30:J167)*L167/(M167*SUM($G$30:G167))))*10^6</f>
        <v>39.318473435862735</v>
      </c>
    </row>
    <row r="168" spans="2:21" ht="15.75" x14ac:dyDescent="0.25">
      <c r="B168" s="13">
        <v>35</v>
      </c>
      <c r="C168" s="456"/>
      <c r="D168" s="456"/>
      <c r="E168" s="457"/>
      <c r="F168" s="54">
        <v>0.16111111111111101</v>
      </c>
      <c r="G168" s="15">
        <f>'Testing DF8 (3)'!N174</f>
        <v>0.41391951979395908</v>
      </c>
      <c r="H168" s="153">
        <f>'Testing DF8 (3)'!CA174</f>
        <v>8.6350216314915757E-3</v>
      </c>
      <c r="I168" s="16">
        <v>2.8E-3</v>
      </c>
      <c r="J168" s="153">
        <f t="shared" si="20"/>
        <v>1.1435021631491576E-2</v>
      </c>
      <c r="K168" s="31" t="s">
        <v>257</v>
      </c>
      <c r="L168" s="31">
        <v>3.206</v>
      </c>
      <c r="M168" s="31">
        <v>2877</v>
      </c>
      <c r="N168" s="155">
        <f t="shared" si="22"/>
        <v>30.785395623853073</v>
      </c>
      <c r="O168" s="154">
        <f t="shared" si="23"/>
        <v>39.418231757313258</v>
      </c>
      <c r="P168" s="154">
        <f t="shared" si="24"/>
        <v>47.716806864116052</v>
      </c>
      <c r="Q168" s="154">
        <f t="shared" si="25"/>
        <v>51.866094417517445</v>
      </c>
      <c r="R168" s="154">
        <f t="shared" si="26"/>
        <v>59.127347635969883</v>
      </c>
      <c r="S168" s="154">
        <f t="shared" si="27"/>
        <v>67.425922742772684</v>
      </c>
      <c r="T168" s="29" t="str">
        <f t="shared" si="28"/>
        <v>A</v>
      </c>
      <c r="U168" s="16">
        <f>((SUM($J$30:J168)*L168/(M168*SUM($G$30:G168))))*10^6</f>
        <v>39.251043262544101</v>
      </c>
    </row>
    <row r="169" spans="2:21" ht="15.75" x14ac:dyDescent="0.25">
      <c r="B169" s="13">
        <v>36</v>
      </c>
      <c r="C169" s="456"/>
      <c r="D169" s="456"/>
      <c r="E169" s="457">
        <v>0.163194444444444</v>
      </c>
      <c r="F169" s="54">
        <v>0.163194444444445</v>
      </c>
      <c r="G169" s="15">
        <f>'Testing DF8 (3)'!N175</f>
        <v>0.40017835326091628</v>
      </c>
      <c r="H169" s="153">
        <f>'Testing DF8 (3)'!CA175</f>
        <v>7.8169634426350186E-3</v>
      </c>
      <c r="I169" s="16">
        <v>2.8E-3</v>
      </c>
      <c r="J169" s="153">
        <f t="shared" si="20"/>
        <v>1.0616963442635019E-2</v>
      </c>
      <c r="K169" s="31" t="s">
        <v>257</v>
      </c>
      <c r="L169" s="31">
        <v>3.206</v>
      </c>
      <c r="M169" s="31">
        <v>2877</v>
      </c>
      <c r="N169" s="155">
        <f t="shared" si="22"/>
        <v>29.564489570095095</v>
      </c>
      <c r="O169" s="154">
        <f t="shared" si="23"/>
        <v>39.418231757313258</v>
      </c>
      <c r="P169" s="154">
        <f t="shared" si="24"/>
        <v>47.716806864116052</v>
      </c>
      <c r="Q169" s="154">
        <f t="shared" si="25"/>
        <v>51.866094417517445</v>
      </c>
      <c r="R169" s="154">
        <f t="shared" si="26"/>
        <v>59.127347635969883</v>
      </c>
      <c r="S169" s="154">
        <f t="shared" si="27"/>
        <v>67.425922742772684</v>
      </c>
      <c r="T169" s="29" t="str">
        <f t="shared" si="28"/>
        <v>A</v>
      </c>
      <c r="U169" s="16">
        <f>((SUM($J$30:J169)*L169/(M169*SUM($G$30:G169))))*10^6</f>
        <v>39.177600297824341</v>
      </c>
    </row>
    <row r="170" spans="2:21" ht="15.75" x14ac:dyDescent="0.25">
      <c r="B170" s="13">
        <v>37</v>
      </c>
      <c r="C170" s="456"/>
      <c r="D170" s="456"/>
      <c r="E170" s="457"/>
      <c r="F170" s="54">
        <v>0.165277777777778</v>
      </c>
      <c r="G170" s="15">
        <f>'Testing DF8 (3)'!N176</f>
        <v>0.61762315840448545</v>
      </c>
      <c r="H170" s="153">
        <f>'Testing DF8 (3)'!CA176</f>
        <v>3.4291170181884996E-2</v>
      </c>
      <c r="I170" s="16">
        <v>2.8E-3</v>
      </c>
      <c r="J170" s="153">
        <f t="shared" si="20"/>
        <v>3.7091170181884993E-2</v>
      </c>
      <c r="K170" s="31" t="s">
        <v>257</v>
      </c>
      <c r="L170" s="31">
        <v>3.206</v>
      </c>
      <c r="M170" s="31">
        <v>2877</v>
      </c>
      <c r="N170" s="155">
        <f t="shared" si="22"/>
        <v>66.922263129178532</v>
      </c>
      <c r="O170" s="154">
        <f t="shared" si="23"/>
        <v>39.418231757313258</v>
      </c>
      <c r="P170" s="154">
        <f t="shared" si="24"/>
        <v>47.716806864116052</v>
      </c>
      <c r="Q170" s="154">
        <f t="shared" si="25"/>
        <v>51.866094417517445</v>
      </c>
      <c r="R170" s="154">
        <f t="shared" si="26"/>
        <v>59.127347635969883</v>
      </c>
      <c r="S170" s="154">
        <f t="shared" si="27"/>
        <v>67.425922742772684</v>
      </c>
      <c r="T170" s="29" t="str">
        <f t="shared" si="28"/>
        <v>E</v>
      </c>
      <c r="U170" s="16">
        <f>((SUM($J$30:J170)*L170/(M170*SUM($G$30:G170))))*10^6</f>
        <v>39.498506298708506</v>
      </c>
    </row>
    <row r="171" spans="2:21" ht="15.75" x14ac:dyDescent="0.25">
      <c r="B171" s="13">
        <v>38</v>
      </c>
      <c r="C171" s="456"/>
      <c r="D171" s="456"/>
      <c r="E171" s="457"/>
      <c r="F171" s="54">
        <v>0.16736111111111099</v>
      </c>
      <c r="G171" s="15">
        <f>'Testing DF8 (3)'!N177</f>
        <v>0.53530644713087894</v>
      </c>
      <c r="H171" s="153">
        <f>'Testing DF8 (3)'!CA177</f>
        <v>1.9945866655910274E-2</v>
      </c>
      <c r="I171" s="16">
        <v>2.8E-3</v>
      </c>
      <c r="J171" s="153">
        <f t="shared" si="20"/>
        <v>2.2745866655910274E-2</v>
      </c>
      <c r="K171" s="31" t="s">
        <v>257</v>
      </c>
      <c r="L171" s="31">
        <v>3.206</v>
      </c>
      <c r="M171" s="31">
        <v>2877</v>
      </c>
      <c r="N171" s="155">
        <f t="shared" si="22"/>
        <v>47.35040205617053</v>
      </c>
      <c r="O171" s="154">
        <f t="shared" si="23"/>
        <v>39.418231757313258</v>
      </c>
      <c r="P171" s="154">
        <f t="shared" si="24"/>
        <v>47.716806864116052</v>
      </c>
      <c r="Q171" s="154">
        <f t="shared" si="25"/>
        <v>51.866094417517445</v>
      </c>
      <c r="R171" s="154">
        <f t="shared" si="26"/>
        <v>59.127347635969883</v>
      </c>
      <c r="S171" s="154">
        <f t="shared" si="27"/>
        <v>67.425922742772684</v>
      </c>
      <c r="T171" s="29" t="str">
        <f t="shared" si="28"/>
        <v>B</v>
      </c>
      <c r="U171" s="16">
        <f>((SUM($J$30:J171)*L171/(M171*SUM($G$30:G171))))*10^6</f>
        <v>39.576439005598864</v>
      </c>
    </row>
    <row r="172" spans="2:21" ht="15.75" x14ac:dyDescent="0.25">
      <c r="B172" s="13">
        <v>39</v>
      </c>
      <c r="C172" s="456"/>
      <c r="D172" s="456"/>
      <c r="E172" s="457"/>
      <c r="F172" s="54">
        <v>0.16944444444444501</v>
      </c>
      <c r="G172" s="15">
        <f>'Testing DF8 (3)'!N178</f>
        <v>0.4314565525484822</v>
      </c>
      <c r="H172" s="153">
        <f>'Testing DF8 (3)'!CA178</f>
        <v>9.7804466430053746E-3</v>
      </c>
      <c r="I172" s="16">
        <v>2.8E-3</v>
      </c>
      <c r="J172" s="153">
        <f t="shared" si="20"/>
        <v>1.2580446643005375E-2</v>
      </c>
      <c r="K172" s="31" t="s">
        <v>257</v>
      </c>
      <c r="L172" s="31">
        <v>3.206</v>
      </c>
      <c r="M172" s="31">
        <v>2877</v>
      </c>
      <c r="N172" s="155">
        <f t="shared" si="22"/>
        <v>32.492464059124643</v>
      </c>
      <c r="O172" s="154">
        <f t="shared" si="23"/>
        <v>39.418231757313258</v>
      </c>
      <c r="P172" s="154">
        <f t="shared" si="24"/>
        <v>47.716806864116052</v>
      </c>
      <c r="Q172" s="154">
        <f t="shared" si="25"/>
        <v>51.866094417517445</v>
      </c>
      <c r="R172" s="154">
        <f t="shared" si="26"/>
        <v>59.127347635969883</v>
      </c>
      <c r="S172" s="154">
        <f t="shared" si="27"/>
        <v>67.425922742772684</v>
      </c>
      <c r="T172" s="29" t="str">
        <f t="shared" si="28"/>
        <v>A</v>
      </c>
      <c r="U172" s="16">
        <f>((SUM($J$30:J172)*L172/(M172*SUM($G$30:G172))))*10^6</f>
        <v>39.52021828652282</v>
      </c>
    </row>
    <row r="173" spans="2:21" ht="15.75" x14ac:dyDescent="0.25">
      <c r="B173" s="13">
        <v>40</v>
      </c>
      <c r="C173" s="456"/>
      <c r="D173" s="456"/>
      <c r="E173" s="457"/>
      <c r="F173" s="54">
        <v>0.171527777777778</v>
      </c>
      <c r="G173" s="15">
        <f>'Testing DF8 (3)'!N179</f>
        <v>0.5239293902676686</v>
      </c>
      <c r="H173" s="153">
        <f>'Testing DF8 (3)'!CA179</f>
        <v>1.8468015205091757E-2</v>
      </c>
      <c r="I173" s="16">
        <v>2.8E-3</v>
      </c>
      <c r="J173" s="153">
        <f t="shared" si="20"/>
        <v>2.1268015205091757E-2</v>
      </c>
      <c r="K173" s="31" t="s">
        <v>257</v>
      </c>
      <c r="L173" s="31">
        <v>3.206</v>
      </c>
      <c r="M173" s="31">
        <v>2877</v>
      </c>
      <c r="N173" s="155">
        <f t="shared" si="22"/>
        <v>45.235339799751507</v>
      </c>
      <c r="O173" s="154">
        <f t="shared" si="23"/>
        <v>39.418231757313258</v>
      </c>
      <c r="P173" s="154">
        <f t="shared" si="24"/>
        <v>47.716806864116052</v>
      </c>
      <c r="Q173" s="154">
        <f t="shared" si="25"/>
        <v>51.866094417517445</v>
      </c>
      <c r="R173" s="154">
        <f t="shared" si="26"/>
        <v>59.127347635969883</v>
      </c>
      <c r="S173" s="154">
        <f t="shared" si="27"/>
        <v>67.425922742772684</v>
      </c>
      <c r="T173" s="29" t="str">
        <f t="shared" si="28"/>
        <v>B</v>
      </c>
      <c r="U173" s="16">
        <f>((SUM($J$30:J173)*L173/(M173*SUM($G$30:G173))))*10^6</f>
        <v>39.574770849147711</v>
      </c>
    </row>
    <row r="174" spans="2:21" ht="15.75" x14ac:dyDescent="0.25">
      <c r="B174" s="13">
        <v>41</v>
      </c>
      <c r="C174" s="456"/>
      <c r="D174" s="456"/>
      <c r="E174" s="457">
        <v>0.17361111111111099</v>
      </c>
      <c r="F174" s="54">
        <v>0.17361111111111099</v>
      </c>
      <c r="G174" s="15">
        <f>'Testing DF8 (3)'!N180</f>
        <v>0.44018854070875563</v>
      </c>
      <c r="H174" s="153">
        <f>'Testing DF8 (3)'!CA180</f>
        <v>1.0397945652135837E-2</v>
      </c>
      <c r="I174" s="16">
        <v>3.0000000000000001E-3</v>
      </c>
      <c r="J174" s="153">
        <f t="shared" si="20"/>
        <v>1.3397945652135836E-2</v>
      </c>
      <c r="K174" s="31" t="s">
        <v>257</v>
      </c>
      <c r="L174" s="31">
        <v>3.206</v>
      </c>
      <c r="M174" s="31">
        <v>2877</v>
      </c>
      <c r="N174" s="155">
        <f t="shared" si="22"/>
        <v>33.917445465516664</v>
      </c>
      <c r="O174" s="154">
        <f t="shared" si="23"/>
        <v>39.418231757313258</v>
      </c>
      <c r="P174" s="154">
        <f t="shared" si="24"/>
        <v>47.716806864116052</v>
      </c>
      <c r="Q174" s="154">
        <f t="shared" si="25"/>
        <v>51.866094417517445</v>
      </c>
      <c r="R174" s="154">
        <f t="shared" si="26"/>
        <v>59.127347635969883</v>
      </c>
      <c r="S174" s="154">
        <f t="shared" si="27"/>
        <v>67.425922742772684</v>
      </c>
      <c r="T174" s="29" t="str">
        <f t="shared" si="28"/>
        <v>A</v>
      </c>
      <c r="U174" s="16">
        <f>((SUM($J$30:J174)*L174/(M174*SUM($G$30:G174))))*10^6</f>
        <v>39.529762009462651</v>
      </c>
    </row>
    <row r="175" spans="2:21" ht="15.75" x14ac:dyDescent="0.25">
      <c r="B175" s="13">
        <v>42</v>
      </c>
      <c r="C175" s="456"/>
      <c r="D175" s="456"/>
      <c r="E175" s="457"/>
      <c r="F175" s="54">
        <v>0.17569444444444501</v>
      </c>
      <c r="G175" s="15">
        <f>'Testing DF8 (3)'!N181</f>
        <v>0.41651248022395748</v>
      </c>
      <c r="H175" s="153">
        <f>'Testing DF8 (3)'!CA181</f>
        <v>8.7969081389501387E-3</v>
      </c>
      <c r="I175" s="16">
        <v>3.0000000000000001E-3</v>
      </c>
      <c r="J175" s="153">
        <f t="shared" si="20"/>
        <v>1.1796908138950138E-2</v>
      </c>
      <c r="K175" s="31" t="s">
        <v>257</v>
      </c>
      <c r="L175" s="31">
        <v>3.206</v>
      </c>
      <c r="M175" s="31">
        <v>2877</v>
      </c>
      <c r="N175" s="155">
        <f t="shared" si="22"/>
        <v>31.561950530006929</v>
      </c>
      <c r="O175" s="154">
        <f t="shared" si="23"/>
        <v>39.418231757313258</v>
      </c>
      <c r="P175" s="154">
        <f t="shared" si="24"/>
        <v>47.716806864116052</v>
      </c>
      <c r="Q175" s="154">
        <f t="shared" si="25"/>
        <v>51.866094417517445</v>
      </c>
      <c r="R175" s="154">
        <f t="shared" si="26"/>
        <v>59.127347635969883</v>
      </c>
      <c r="S175" s="154">
        <f t="shared" si="27"/>
        <v>67.425922742772684</v>
      </c>
      <c r="T175" s="29" t="str">
        <f t="shared" si="28"/>
        <v>A</v>
      </c>
      <c r="U175" s="16">
        <f>((SUM($J$30:J175)*L175/(M175*SUM($G$30:G175))))*10^6</f>
        <v>39.470228991598333</v>
      </c>
    </row>
    <row r="176" spans="2:21" ht="15.75" x14ac:dyDescent="0.25">
      <c r="B176" s="13">
        <v>43</v>
      </c>
      <c r="C176" s="456"/>
      <c r="D176" s="456"/>
      <c r="E176" s="457"/>
      <c r="F176" s="54">
        <v>0.17777777777777801</v>
      </c>
      <c r="G176" s="15">
        <f>'Testing DF8 (3)'!N182</f>
        <v>0.4305224253723019</v>
      </c>
      <c r="H176" s="153">
        <f>'Testing DF8 (3)'!CA182</f>
        <v>9.7163289035958871E-3</v>
      </c>
      <c r="I176" s="16">
        <v>3.0000000000000001E-3</v>
      </c>
      <c r="J176" s="153">
        <f t="shared" si="20"/>
        <v>1.2716328903595888E-2</v>
      </c>
      <c r="K176" s="31" t="s">
        <v>257</v>
      </c>
      <c r="L176" s="31">
        <v>3.206</v>
      </c>
      <c r="M176" s="31">
        <v>2877</v>
      </c>
      <c r="N176" s="155">
        <f t="shared" si="22"/>
        <v>32.914679467416434</v>
      </c>
      <c r="O176" s="154">
        <f t="shared" si="23"/>
        <v>39.418231757313258</v>
      </c>
      <c r="P176" s="154">
        <f t="shared" si="24"/>
        <v>47.716806864116052</v>
      </c>
      <c r="Q176" s="154">
        <f t="shared" si="25"/>
        <v>51.866094417517445</v>
      </c>
      <c r="R176" s="154">
        <f t="shared" si="26"/>
        <v>59.127347635969883</v>
      </c>
      <c r="S176" s="154">
        <f t="shared" si="27"/>
        <v>67.425922742772684</v>
      </c>
      <c r="T176" s="29" t="str">
        <f t="shared" si="28"/>
        <v>A</v>
      </c>
      <c r="U176" s="16">
        <f>((SUM($J$30:J176)*L176/(M176*SUM($G$30:G176))))*10^6</f>
        <v>39.419988424250761</v>
      </c>
    </row>
    <row r="177" spans="2:21" ht="15.75" x14ac:dyDescent="0.25">
      <c r="B177" s="13">
        <v>44</v>
      </c>
      <c r="C177" s="456"/>
      <c r="D177" s="456"/>
      <c r="E177" s="457"/>
      <c r="F177" s="54">
        <v>0.179861111111111</v>
      </c>
      <c r="G177" s="15">
        <f>'Testing DF8 (3)'!N183</f>
        <v>0.49489627173562589</v>
      </c>
      <c r="H177" s="153">
        <f>'Testing DF8 (3)'!CA183</f>
        <v>1.5157609275890707E-2</v>
      </c>
      <c r="I177" s="16">
        <v>3.0000000000000001E-3</v>
      </c>
      <c r="J177" s="153">
        <f t="shared" si="20"/>
        <v>1.8157609275890708E-2</v>
      </c>
      <c r="K177" s="31" t="s">
        <v>257</v>
      </c>
      <c r="L177" s="31">
        <v>3.206</v>
      </c>
      <c r="M177" s="31">
        <v>2877</v>
      </c>
      <c r="N177" s="155">
        <f t="shared" si="22"/>
        <v>40.885389600305054</v>
      </c>
      <c r="O177" s="154">
        <f t="shared" si="23"/>
        <v>39.418231757313258</v>
      </c>
      <c r="P177" s="154">
        <f t="shared" si="24"/>
        <v>47.716806864116052</v>
      </c>
      <c r="Q177" s="154">
        <f t="shared" si="25"/>
        <v>51.866094417517445</v>
      </c>
      <c r="R177" s="154">
        <f t="shared" si="26"/>
        <v>59.127347635969883</v>
      </c>
      <c r="S177" s="154">
        <f t="shared" si="27"/>
        <v>67.425922742772684</v>
      </c>
      <c r="T177" s="29" t="str">
        <f t="shared" si="28"/>
        <v>B</v>
      </c>
      <c r="U177" s="16">
        <f>((SUM($J$30:J177)*L177/(M177*SUM($G$30:G177))))*10^6</f>
        <v>39.432785510555355</v>
      </c>
    </row>
    <row r="178" spans="2:21" ht="15.75" x14ac:dyDescent="0.25">
      <c r="B178" s="13">
        <v>45</v>
      </c>
      <c r="C178" s="456"/>
      <c r="D178" s="456"/>
      <c r="E178" s="457"/>
      <c r="F178" s="54">
        <v>0.18194444444444499</v>
      </c>
      <c r="G178" s="15">
        <f>'Testing DF8 (3)'!N184</f>
        <v>0.44513291342814509</v>
      </c>
      <c r="H178" s="153">
        <f>'Testing DF8 (3)'!CA184</f>
        <v>1.0762722405024261E-2</v>
      </c>
      <c r="I178" s="16">
        <v>3.0000000000000001E-3</v>
      </c>
      <c r="J178" s="153">
        <f t="shared" si="20"/>
        <v>1.3762722405024262E-2</v>
      </c>
      <c r="K178" s="31" t="s">
        <v>257</v>
      </c>
      <c r="L178" s="31">
        <v>3.206</v>
      </c>
      <c r="M178" s="31">
        <v>2877</v>
      </c>
      <c r="N178" s="155">
        <f t="shared" si="22"/>
        <v>34.453892857983512</v>
      </c>
      <c r="O178" s="154">
        <f t="shared" si="23"/>
        <v>39.418231757313258</v>
      </c>
      <c r="P178" s="154">
        <f t="shared" si="24"/>
        <v>47.716806864116052</v>
      </c>
      <c r="Q178" s="154">
        <f t="shared" si="25"/>
        <v>51.866094417517445</v>
      </c>
      <c r="R178" s="154">
        <f t="shared" si="26"/>
        <v>59.127347635969883</v>
      </c>
      <c r="S178" s="154">
        <f t="shared" si="27"/>
        <v>67.425922742772684</v>
      </c>
      <c r="T178" s="29" t="str">
        <f t="shared" si="28"/>
        <v>A</v>
      </c>
      <c r="U178" s="16">
        <f>((SUM($J$30:J178)*L178/(M178*SUM($G$30:G178))))*10^6</f>
        <v>39.393982544657618</v>
      </c>
    </row>
    <row r="179" spans="2:21" ht="15.75" x14ac:dyDescent="0.25">
      <c r="B179" s="13">
        <v>46</v>
      </c>
      <c r="C179" s="456"/>
      <c r="D179" s="456"/>
      <c r="E179" s="457">
        <v>0.18402777777777801</v>
      </c>
      <c r="F179" s="54">
        <v>0.18402777777777801</v>
      </c>
      <c r="G179" s="15">
        <f>'Testing DF8 (3)'!N185</f>
        <v>0.39903011413344175</v>
      </c>
      <c r="H179" s="153">
        <f>'Testing DF8 (3)'!CA185</f>
        <v>7.7515066669420858E-3</v>
      </c>
      <c r="I179" s="16">
        <v>2.8E-3</v>
      </c>
      <c r="J179" s="153">
        <f t="shared" si="20"/>
        <v>1.0551506666942085E-2</v>
      </c>
      <c r="K179" s="31" t="s">
        <v>257</v>
      </c>
      <c r="L179" s="31">
        <v>3.206</v>
      </c>
      <c r="M179" s="31">
        <v>2877</v>
      </c>
      <c r="N179" s="155">
        <f t="shared" si="22"/>
        <v>29.466765124450944</v>
      </c>
      <c r="O179" s="154">
        <f t="shared" si="23"/>
        <v>39.418231757313258</v>
      </c>
      <c r="P179" s="154">
        <f t="shared" si="24"/>
        <v>47.716806864116052</v>
      </c>
      <c r="Q179" s="154">
        <f t="shared" si="25"/>
        <v>51.866094417517445</v>
      </c>
      <c r="R179" s="154">
        <f t="shared" si="26"/>
        <v>59.127347635969883</v>
      </c>
      <c r="S179" s="154">
        <f t="shared" si="27"/>
        <v>67.425922742772684</v>
      </c>
      <c r="T179" s="29" t="str">
        <f t="shared" si="28"/>
        <v>A</v>
      </c>
      <c r="U179" s="16">
        <f>((SUM($J$30:J179)*L179/(M179*SUM($G$30:G179))))*10^6</f>
        <v>39.325109054776348</v>
      </c>
    </row>
    <row r="180" spans="2:21" ht="15.75" x14ac:dyDescent="0.25">
      <c r="B180" s="13">
        <v>47</v>
      </c>
      <c r="C180" s="456"/>
      <c r="D180" s="456"/>
      <c r="E180" s="457"/>
      <c r="F180" s="54">
        <v>0.18611111111111101</v>
      </c>
      <c r="G180" s="15">
        <f>'Testing DF8 (3)'!N186</f>
        <v>0.58751864862841241</v>
      </c>
      <c r="H180" s="153">
        <f>'Testing DF8 (3)'!CA186</f>
        <v>2.8242288277512524E-2</v>
      </c>
      <c r="I180" s="16">
        <v>2.8E-3</v>
      </c>
      <c r="J180" s="153">
        <f t="shared" si="20"/>
        <v>3.1042288277512525E-2</v>
      </c>
      <c r="K180" s="31" t="s">
        <v>257</v>
      </c>
      <c r="L180" s="31">
        <v>3.206</v>
      </c>
      <c r="M180" s="31">
        <v>2877</v>
      </c>
      <c r="N180" s="155">
        <f t="shared" si="22"/>
        <v>58.878363111484347</v>
      </c>
      <c r="O180" s="154">
        <f t="shared" si="23"/>
        <v>39.418231757313258</v>
      </c>
      <c r="P180" s="154">
        <f t="shared" si="24"/>
        <v>47.716806864116052</v>
      </c>
      <c r="Q180" s="154">
        <f t="shared" si="25"/>
        <v>51.866094417517445</v>
      </c>
      <c r="R180" s="154">
        <f t="shared" si="26"/>
        <v>59.127347635969883</v>
      </c>
      <c r="S180" s="154">
        <f t="shared" si="27"/>
        <v>67.425922742772684</v>
      </c>
      <c r="T180" s="29" t="str">
        <f t="shared" si="28"/>
        <v>D</v>
      </c>
      <c r="U180" s="16">
        <f>((SUM($J$30:J180)*L180/(M180*SUM($G$30:G180))))*10^6</f>
        <v>39.522826845135775</v>
      </c>
    </row>
    <row r="181" spans="2:21" ht="15.75" x14ac:dyDescent="0.25">
      <c r="B181" s="13">
        <v>48</v>
      </c>
      <c r="C181" s="456"/>
      <c r="D181" s="456"/>
      <c r="E181" s="457"/>
      <c r="F181" s="54">
        <v>0.188194444444445</v>
      </c>
      <c r="G181" s="15">
        <f>'Testing DF8 (3)'!N187</f>
        <v>0.42224884629196829</v>
      </c>
      <c r="H181" s="153">
        <f>'Testing DF8 (3)'!CA187</f>
        <v>9.1640321208143853E-3</v>
      </c>
      <c r="I181" s="16">
        <v>2.8E-3</v>
      </c>
      <c r="J181" s="153">
        <f t="shared" si="20"/>
        <v>1.1964032120814386E-2</v>
      </c>
      <c r="K181" s="31" t="s">
        <v>257</v>
      </c>
      <c r="L181" s="31">
        <v>3.206</v>
      </c>
      <c r="M181" s="31">
        <v>2877</v>
      </c>
      <c r="N181" s="155">
        <f t="shared" si="22"/>
        <v>31.574229027449675</v>
      </c>
      <c r="O181" s="154">
        <f t="shared" si="23"/>
        <v>39.418231757313258</v>
      </c>
      <c r="P181" s="154">
        <f t="shared" si="24"/>
        <v>47.716806864116052</v>
      </c>
      <c r="Q181" s="154">
        <f t="shared" si="25"/>
        <v>51.866094417517445</v>
      </c>
      <c r="R181" s="154">
        <f t="shared" si="26"/>
        <v>59.127347635969883</v>
      </c>
      <c r="S181" s="154">
        <f t="shared" si="27"/>
        <v>67.425922742772684</v>
      </c>
      <c r="T181" s="29" t="str">
        <f t="shared" si="28"/>
        <v>A</v>
      </c>
      <c r="U181" s="16">
        <f>((SUM($J$30:J181)*L181/(M181*SUM($G$30:G181))))*10^6</f>
        <v>39.465478709288988</v>
      </c>
    </row>
    <row r="182" spans="2:21" ht="15.75" x14ac:dyDescent="0.25">
      <c r="B182" s="13">
        <v>49</v>
      </c>
      <c r="C182" s="456"/>
      <c r="D182" s="456"/>
      <c r="E182" s="457"/>
      <c r="F182" s="54">
        <v>0.19027777777777799</v>
      </c>
      <c r="G182" s="15">
        <f>'Testing DF8 (3)'!N188</f>
        <v>0.45501942657831385</v>
      </c>
      <c r="H182" s="153">
        <f>'Testing DF8 (3)'!CA188</f>
        <v>1.1527074226861096E-2</v>
      </c>
      <c r="I182" s="16">
        <v>2.8E-3</v>
      </c>
      <c r="J182" s="153">
        <f t="shared" si="20"/>
        <v>1.4327074226861096E-2</v>
      </c>
      <c r="K182" s="31" t="s">
        <v>257</v>
      </c>
      <c r="L182" s="31">
        <v>3.206</v>
      </c>
      <c r="M182" s="31">
        <v>2877</v>
      </c>
      <c r="N182" s="155">
        <f t="shared" si="22"/>
        <v>35.087403260433767</v>
      </c>
      <c r="O182" s="154">
        <f t="shared" si="23"/>
        <v>39.418231757313258</v>
      </c>
      <c r="P182" s="154">
        <f t="shared" si="24"/>
        <v>47.716806864116052</v>
      </c>
      <c r="Q182" s="154">
        <f t="shared" si="25"/>
        <v>51.866094417517445</v>
      </c>
      <c r="R182" s="154">
        <f t="shared" si="26"/>
        <v>59.127347635969883</v>
      </c>
      <c r="S182" s="154">
        <f t="shared" si="27"/>
        <v>67.425922742772684</v>
      </c>
      <c r="T182" s="29" t="str">
        <f t="shared" si="28"/>
        <v>A</v>
      </c>
      <c r="U182" s="16">
        <f>((SUM($J$30:J182)*L182/(M182*SUM($G$30:G182))))*10^6</f>
        <v>39.431702571416771</v>
      </c>
    </row>
    <row r="183" spans="2:21" ht="15.75" x14ac:dyDescent="0.25">
      <c r="B183" s="13">
        <v>50</v>
      </c>
      <c r="C183" s="456"/>
      <c r="D183" s="456"/>
      <c r="E183" s="457"/>
      <c r="F183" s="54">
        <v>0.19236111111111201</v>
      </c>
      <c r="G183" s="15">
        <f>'Testing DF8 (3)'!N189</f>
        <v>0.47844204538905999</v>
      </c>
      <c r="H183" s="153">
        <f>'Testing DF8 (3)'!CA189</f>
        <v>1.3544055432880731E-2</v>
      </c>
      <c r="I183" s="16">
        <v>2.8E-3</v>
      </c>
      <c r="J183" s="153">
        <f t="shared" si="20"/>
        <v>1.6344055432880731E-2</v>
      </c>
      <c r="K183" s="31" t="s">
        <v>257</v>
      </c>
      <c r="L183" s="31">
        <v>3.206</v>
      </c>
      <c r="M183" s="31">
        <v>2877</v>
      </c>
      <c r="N183" s="155">
        <f t="shared" si="22"/>
        <v>38.067481412341813</v>
      </c>
      <c r="O183" s="154">
        <f t="shared" si="23"/>
        <v>39.418231757313258</v>
      </c>
      <c r="P183" s="154">
        <f t="shared" si="24"/>
        <v>47.716806864116052</v>
      </c>
      <c r="Q183" s="154">
        <f t="shared" si="25"/>
        <v>51.866094417517445</v>
      </c>
      <c r="R183" s="154">
        <f t="shared" si="26"/>
        <v>59.127347635969883</v>
      </c>
      <c r="S183" s="154">
        <f t="shared" si="27"/>
        <v>67.425922742772684</v>
      </c>
      <c r="T183" s="29" t="str">
        <f t="shared" si="28"/>
        <v>A</v>
      </c>
      <c r="U183" s="16">
        <f>((SUM($J$30:J183)*L183/(M183*SUM($G$30:G183))))*10^6</f>
        <v>39.420725103970156</v>
      </c>
    </row>
    <row r="184" spans="2:21" ht="15.75" x14ac:dyDescent="0.25">
      <c r="B184" s="13">
        <v>51</v>
      </c>
      <c r="C184" s="456"/>
      <c r="D184" s="456"/>
      <c r="E184" s="457">
        <v>0.194444444444445</v>
      </c>
      <c r="F184" s="54">
        <v>0.194444444444445</v>
      </c>
      <c r="G184" s="15">
        <f>'Testing DF8 (3)'!N190</f>
        <v>0.45422655973173226</v>
      </c>
      <c r="H184" s="153">
        <f>'Testing DF8 (3)'!CA190</f>
        <v>1.1463990524718699E-2</v>
      </c>
      <c r="I184" s="16">
        <v>2.8E-3</v>
      </c>
      <c r="J184" s="153">
        <f t="shared" si="20"/>
        <v>1.42639905247187E-2</v>
      </c>
      <c r="K184" s="31" t="s">
        <v>257</v>
      </c>
      <c r="L184" s="31">
        <v>3.206</v>
      </c>
      <c r="M184" s="31">
        <v>2877</v>
      </c>
      <c r="N184" s="155">
        <f t="shared" si="22"/>
        <v>34.993886019324975</v>
      </c>
      <c r="O184" s="154">
        <f t="shared" si="23"/>
        <v>39.418231757313258</v>
      </c>
      <c r="P184" s="154">
        <f t="shared" si="24"/>
        <v>47.716806864116052</v>
      </c>
      <c r="Q184" s="154">
        <f t="shared" si="25"/>
        <v>51.866094417517445</v>
      </c>
      <c r="R184" s="154">
        <f t="shared" si="26"/>
        <v>59.127347635969883</v>
      </c>
      <c r="S184" s="154">
        <f t="shared" si="27"/>
        <v>67.425922742772684</v>
      </c>
      <c r="T184" s="29" t="str">
        <f t="shared" si="28"/>
        <v>A</v>
      </c>
      <c r="U184" s="16">
        <f>((SUM($J$30:J184)*L184/(M184*SUM($G$30:G184))))*10^6</f>
        <v>39.387163002325494</v>
      </c>
    </row>
    <row r="185" spans="2:21" ht="15.75" x14ac:dyDescent="0.25">
      <c r="B185" s="13">
        <v>52</v>
      </c>
      <c r="C185" s="456"/>
      <c r="D185" s="456"/>
      <c r="E185" s="457"/>
      <c r="F185" s="54">
        <v>0.196527777777778</v>
      </c>
      <c r="G185" s="15">
        <f>'Testing DF8 (3)'!N191</f>
        <v>0.37392920928618023</v>
      </c>
      <c r="H185" s="153">
        <f>'Testing DF8 (3)'!CA191</f>
        <v>6.4221426464437419E-3</v>
      </c>
      <c r="I185" s="16">
        <v>2.8E-3</v>
      </c>
      <c r="J185" s="153">
        <f t="shared" si="20"/>
        <v>9.2221426464437414E-3</v>
      </c>
      <c r="K185" s="31" t="s">
        <v>257</v>
      </c>
      <c r="L185" s="31">
        <v>3.206</v>
      </c>
      <c r="M185" s="31">
        <v>2877</v>
      </c>
      <c r="N185" s="155">
        <f t="shared" si="22"/>
        <v>27.483124198921566</v>
      </c>
      <c r="O185" s="154">
        <f t="shared" si="23"/>
        <v>39.418231757313258</v>
      </c>
      <c r="P185" s="154">
        <f t="shared" si="24"/>
        <v>47.716806864116052</v>
      </c>
      <c r="Q185" s="154">
        <f t="shared" si="25"/>
        <v>51.866094417517445</v>
      </c>
      <c r="R185" s="154">
        <f t="shared" si="26"/>
        <v>59.127347635969883</v>
      </c>
      <c r="S185" s="154">
        <f t="shared" si="27"/>
        <v>67.425922742772684</v>
      </c>
      <c r="T185" s="29" t="str">
        <f t="shared" si="28"/>
        <v>A</v>
      </c>
      <c r="U185" s="16">
        <f>((SUM($J$30:J185)*L185/(M185*SUM($G$30:G185))))*10^6</f>
        <v>39.313327626196319</v>
      </c>
    </row>
    <row r="186" spans="2:21" ht="15.75" x14ac:dyDescent="0.25">
      <c r="B186" s="13">
        <v>53</v>
      </c>
      <c r="C186" s="456"/>
      <c r="D186" s="456"/>
      <c r="E186" s="457"/>
      <c r="F186" s="54">
        <v>0.19861111111111199</v>
      </c>
      <c r="G186" s="15">
        <f>'Testing DF8 (3)'!N192</f>
        <v>0.3862235466542992</v>
      </c>
      <c r="H186" s="153">
        <f>'Testing DF8 (3)'!CA192</f>
        <v>7.0497760436446909E-3</v>
      </c>
      <c r="I186" s="16">
        <v>2.8E-3</v>
      </c>
      <c r="J186" s="153">
        <f t="shared" si="20"/>
        <v>9.8497760436446914E-3</v>
      </c>
      <c r="K186" s="31" t="s">
        <v>257</v>
      </c>
      <c r="L186" s="31">
        <v>3.206</v>
      </c>
      <c r="M186" s="31">
        <v>2877</v>
      </c>
      <c r="N186" s="155">
        <f t="shared" si="22"/>
        <v>28.419161790910771</v>
      </c>
      <c r="O186" s="154">
        <f t="shared" si="23"/>
        <v>39.418231757313258</v>
      </c>
      <c r="P186" s="154">
        <f t="shared" si="24"/>
        <v>47.716806864116052</v>
      </c>
      <c r="Q186" s="154">
        <f t="shared" si="25"/>
        <v>51.866094417517445</v>
      </c>
      <c r="R186" s="154">
        <f t="shared" si="26"/>
        <v>59.127347635969883</v>
      </c>
      <c r="S186" s="154">
        <f t="shared" si="27"/>
        <v>67.425922742772684</v>
      </c>
      <c r="T186" s="29" t="str">
        <f t="shared" si="28"/>
        <v>A</v>
      </c>
      <c r="U186" s="16">
        <f>((SUM($J$30:J186)*L186/(M186*SUM($G$30:G186))))*10^6</f>
        <v>39.243978647198375</v>
      </c>
    </row>
    <row r="187" spans="2:21" ht="15.75" x14ac:dyDescent="0.25">
      <c r="B187" s="13">
        <v>54</v>
      </c>
      <c r="C187" s="456"/>
      <c r="D187" s="456"/>
      <c r="E187" s="457"/>
      <c r="F187" s="54">
        <v>0.20069444444444501</v>
      </c>
      <c r="G187" s="15">
        <f>'Testing DF8 (3)'!N193</f>
        <v>0.44065567113315396</v>
      </c>
      <c r="H187" s="153">
        <f>'Testing DF8 (3)'!CA193</f>
        <v>1.0431929152114093E-2</v>
      </c>
      <c r="I187" s="16">
        <v>2.8E-3</v>
      </c>
      <c r="J187" s="153">
        <f t="shared" si="20"/>
        <v>1.3231929152114094E-2</v>
      </c>
      <c r="K187" s="31" t="s">
        <v>257</v>
      </c>
      <c r="L187" s="31">
        <v>3.206</v>
      </c>
      <c r="M187" s="31">
        <v>2877</v>
      </c>
      <c r="N187" s="155">
        <f t="shared" si="22"/>
        <v>33.461658239554701</v>
      </c>
      <c r="O187" s="154">
        <f t="shared" si="23"/>
        <v>39.418231757313258</v>
      </c>
      <c r="P187" s="154">
        <f t="shared" si="24"/>
        <v>47.716806864116052</v>
      </c>
      <c r="Q187" s="154">
        <f t="shared" si="25"/>
        <v>51.866094417517445</v>
      </c>
      <c r="R187" s="154">
        <f t="shared" si="26"/>
        <v>59.127347635969883</v>
      </c>
      <c r="S187" s="154">
        <f t="shared" si="27"/>
        <v>67.425922742772684</v>
      </c>
      <c r="T187" s="29" t="str">
        <f t="shared" si="28"/>
        <v>A</v>
      </c>
      <c r="U187" s="16">
        <f>((SUM($J$30:J187)*L187/(M187*SUM($G$30:G187))))*10^6</f>
        <v>39.202285368887622</v>
      </c>
    </row>
    <row r="188" spans="2:21" ht="15.75" x14ac:dyDescent="0.25">
      <c r="B188" s="13">
        <v>55</v>
      </c>
      <c r="C188" s="456"/>
      <c r="D188" s="456"/>
      <c r="E188" s="457"/>
      <c r="F188" s="54">
        <v>0.202777777777778</v>
      </c>
      <c r="G188" s="15">
        <f>'Testing DF8 (3)'!N194</f>
        <v>0.38361474114825561</v>
      </c>
      <c r="H188" s="153">
        <f>'Testing DF8 (3)'!CA194</f>
        <v>6.9129566511450203E-3</v>
      </c>
      <c r="I188" s="16">
        <v>2.8E-3</v>
      </c>
      <c r="J188" s="153">
        <f t="shared" si="20"/>
        <v>9.7129566511450199E-3</v>
      </c>
      <c r="K188" s="31" t="s">
        <v>257</v>
      </c>
      <c r="L188" s="31">
        <v>3.206</v>
      </c>
      <c r="M188" s="31">
        <v>2877</v>
      </c>
      <c r="N188" s="155">
        <f t="shared" si="22"/>
        <v>28.214984704904708</v>
      </c>
      <c r="O188" s="154">
        <f t="shared" si="23"/>
        <v>39.418231757313258</v>
      </c>
      <c r="P188" s="154">
        <f t="shared" si="24"/>
        <v>47.716806864116052</v>
      </c>
      <c r="Q188" s="154">
        <f t="shared" si="25"/>
        <v>51.866094417517445</v>
      </c>
      <c r="R188" s="154">
        <f t="shared" si="26"/>
        <v>59.127347635969883</v>
      </c>
      <c r="S188" s="154">
        <f t="shared" si="27"/>
        <v>67.425922742772684</v>
      </c>
      <c r="T188" s="29" t="str">
        <f t="shared" si="28"/>
        <v>A</v>
      </c>
      <c r="U188" s="16">
        <f>((SUM($J$30:J188)*L188/(M188*SUM($G$30:G188))))*10^6</f>
        <v>39.133747084351043</v>
      </c>
    </row>
    <row r="189" spans="2:21" ht="15.75" x14ac:dyDescent="0.25">
      <c r="B189" s="13">
        <v>56</v>
      </c>
      <c r="C189" s="456"/>
      <c r="D189" s="456"/>
      <c r="E189" s="457">
        <v>0.20486111111111099</v>
      </c>
      <c r="F189" s="54">
        <v>0.20486111111111199</v>
      </c>
      <c r="G189" s="15">
        <f>'Testing DF8 (3)'!N195</f>
        <v>0.48029769600270994</v>
      </c>
      <c r="H189" s="153">
        <f>'Testing DF8 (3)'!CA195</f>
        <v>1.3717405793352499E-2</v>
      </c>
      <c r="I189" s="16">
        <v>3.0000000000000001E-3</v>
      </c>
      <c r="J189" s="153">
        <f t="shared" si="20"/>
        <v>1.6717405793352499E-2</v>
      </c>
      <c r="K189" s="31" t="s">
        <v>257</v>
      </c>
      <c r="L189" s="31">
        <v>3.206</v>
      </c>
      <c r="M189" s="31">
        <v>2877</v>
      </c>
      <c r="N189" s="155">
        <f t="shared" si="22"/>
        <v>38.786629109432113</v>
      </c>
      <c r="O189" s="154">
        <f t="shared" si="23"/>
        <v>39.418231757313258</v>
      </c>
      <c r="P189" s="154">
        <f t="shared" si="24"/>
        <v>47.716806864116052</v>
      </c>
      <c r="Q189" s="154">
        <f t="shared" si="25"/>
        <v>51.866094417517445</v>
      </c>
      <c r="R189" s="154">
        <f t="shared" si="26"/>
        <v>59.127347635969883</v>
      </c>
      <c r="S189" s="154">
        <f t="shared" si="27"/>
        <v>67.425922742772684</v>
      </c>
      <c r="T189" s="29" t="str">
        <f t="shared" si="28"/>
        <v>A</v>
      </c>
      <c r="U189" s="16">
        <f>((SUM($J$30:J189)*L189/(M189*SUM($G$30:G189))))*10^6</f>
        <v>39.131057062377636</v>
      </c>
    </row>
    <row r="190" spans="2:21" ht="15.75" x14ac:dyDescent="0.25">
      <c r="B190" s="13">
        <v>57</v>
      </c>
      <c r="C190" s="456"/>
      <c r="D190" s="456"/>
      <c r="E190" s="457"/>
      <c r="F190" s="54">
        <v>0.20694444444444501</v>
      </c>
      <c r="G190" s="15">
        <f>'Testing DF8 (3)'!N196</f>
        <v>0.45555854647819616</v>
      </c>
      <c r="H190" s="153">
        <f>'Testing DF8 (3)'!CA196</f>
        <v>1.157015157334626E-2</v>
      </c>
      <c r="I190" s="16">
        <v>3.0000000000000001E-3</v>
      </c>
      <c r="J190" s="153">
        <f t="shared" si="20"/>
        <v>1.4570151573346259E-2</v>
      </c>
      <c r="K190" s="31" t="s">
        <v>257</v>
      </c>
      <c r="L190" s="31">
        <v>3.206</v>
      </c>
      <c r="M190" s="31">
        <v>2877</v>
      </c>
      <c r="N190" s="155">
        <f t="shared" si="22"/>
        <v>35.64047859453332</v>
      </c>
      <c r="O190" s="154">
        <f t="shared" si="23"/>
        <v>39.418231757313258</v>
      </c>
      <c r="P190" s="154">
        <f t="shared" si="24"/>
        <v>47.716806864116052</v>
      </c>
      <c r="Q190" s="154">
        <f t="shared" si="25"/>
        <v>51.866094417517445</v>
      </c>
      <c r="R190" s="154">
        <f t="shared" si="26"/>
        <v>59.127347635969883</v>
      </c>
      <c r="S190" s="154">
        <f t="shared" si="27"/>
        <v>67.425922742772684</v>
      </c>
      <c r="T190" s="29" t="str">
        <f t="shared" si="28"/>
        <v>A</v>
      </c>
      <c r="U190" s="16">
        <f>((SUM($J$30:J190)*L190/(M190*SUM($G$30:G190))))*10^6</f>
        <v>39.105587044433094</v>
      </c>
    </row>
    <row r="191" spans="2:21" ht="15.75" x14ac:dyDescent="0.25">
      <c r="B191" s="13">
        <v>58</v>
      </c>
      <c r="C191" s="456"/>
      <c r="D191" s="456"/>
      <c r="E191" s="457"/>
      <c r="F191" s="54">
        <v>0.20902777777777801</v>
      </c>
      <c r="G191" s="15">
        <f>'Testing DF8 (3)'!N197</f>
        <v>0.35585894808921603</v>
      </c>
      <c r="H191" s="153">
        <f>'Testing DF8 (3)'!CA197</f>
        <v>5.574282299180125E-3</v>
      </c>
      <c r="I191" s="16">
        <v>3.0000000000000001E-3</v>
      </c>
      <c r="J191" s="153">
        <f t="shared" si="20"/>
        <v>8.5742822991801242E-3</v>
      </c>
      <c r="K191" s="31" t="s">
        <v>257</v>
      </c>
      <c r="L191" s="31">
        <v>3.206</v>
      </c>
      <c r="M191" s="31">
        <v>2877</v>
      </c>
      <c r="N191" s="155">
        <f t="shared" si="22"/>
        <v>26.849953850247118</v>
      </c>
      <c r="O191" s="154">
        <f t="shared" si="23"/>
        <v>39.418231757313258</v>
      </c>
      <c r="P191" s="154">
        <f t="shared" si="24"/>
        <v>47.716806864116052</v>
      </c>
      <c r="Q191" s="154">
        <f t="shared" si="25"/>
        <v>51.866094417517445</v>
      </c>
      <c r="R191" s="154">
        <f t="shared" si="26"/>
        <v>59.127347635969883</v>
      </c>
      <c r="S191" s="154">
        <f t="shared" si="27"/>
        <v>67.425922742772684</v>
      </c>
      <c r="T191" s="29" t="str">
        <f t="shared" si="28"/>
        <v>A</v>
      </c>
      <c r="U191" s="16">
        <f>((SUM($J$30:J191)*L191/(M191*SUM($G$30:G191))))*10^6</f>
        <v>39.036127345821015</v>
      </c>
    </row>
    <row r="192" spans="2:21" ht="15.75" x14ac:dyDescent="0.25">
      <c r="B192" s="13">
        <v>59</v>
      </c>
      <c r="C192" s="456"/>
      <c r="D192" s="456"/>
      <c r="E192" s="457"/>
      <c r="F192" s="54">
        <v>0.211111111111112</v>
      </c>
      <c r="G192" s="15">
        <f>'Testing DF8 (3)'!N198</f>
        <v>0.33048679168481782</v>
      </c>
      <c r="H192" s="153">
        <f>'Testing DF8 (3)'!CA198</f>
        <v>4.5191990695791799E-3</v>
      </c>
      <c r="I192" s="16">
        <v>3.0000000000000001E-3</v>
      </c>
      <c r="J192" s="153">
        <f t="shared" si="20"/>
        <v>7.5191990695791799E-3</v>
      </c>
      <c r="K192" s="31" t="s">
        <v>257</v>
      </c>
      <c r="L192" s="31">
        <v>3.206</v>
      </c>
      <c r="M192" s="31">
        <v>2877</v>
      </c>
      <c r="N192" s="155">
        <f t="shared" si="22"/>
        <v>25.353687433252464</v>
      </c>
      <c r="O192" s="154">
        <f t="shared" si="23"/>
        <v>39.418231757313258</v>
      </c>
      <c r="P192" s="154">
        <f t="shared" si="24"/>
        <v>47.716806864116052</v>
      </c>
      <c r="Q192" s="154">
        <f t="shared" si="25"/>
        <v>51.866094417517445</v>
      </c>
      <c r="R192" s="154">
        <f t="shared" si="26"/>
        <v>59.127347635969883</v>
      </c>
      <c r="S192" s="154">
        <f t="shared" si="27"/>
        <v>67.425922742772684</v>
      </c>
      <c r="T192" s="29" t="str">
        <f t="shared" si="28"/>
        <v>A</v>
      </c>
      <c r="U192" s="16">
        <f>((SUM($J$30:J192)*L192/(M192*SUM($G$30:G192))))*10^6</f>
        <v>38.964487111303164</v>
      </c>
    </row>
    <row r="193" spans="2:21" ht="15.75" x14ac:dyDescent="0.25">
      <c r="B193" s="13">
        <v>60</v>
      </c>
      <c r="C193" s="456"/>
      <c r="D193" s="456"/>
      <c r="E193" s="457"/>
      <c r="F193" s="54">
        <v>0.21319444444444499</v>
      </c>
      <c r="G193" s="15">
        <f>'Testing DF8 (3)'!N199</f>
        <v>0.39917773836774856</v>
      </c>
      <c r="H193" s="153">
        <f>'Testing DF8 (3)'!CA199</f>
        <v>7.7598980161775761E-3</v>
      </c>
      <c r="I193" s="16">
        <v>3.0000000000000001E-3</v>
      </c>
      <c r="J193" s="153">
        <f t="shared" si="20"/>
        <v>1.0759898016177577E-2</v>
      </c>
      <c r="K193" s="31" t="s">
        <v>257</v>
      </c>
      <c r="L193" s="31">
        <v>3.206</v>
      </c>
      <c r="M193" s="31">
        <v>2877</v>
      </c>
      <c r="N193" s="155">
        <f t="shared" si="22"/>
        <v>30.037618555402318</v>
      </c>
      <c r="O193" s="154">
        <f t="shared" si="23"/>
        <v>39.418231757313258</v>
      </c>
      <c r="P193" s="154">
        <f t="shared" si="24"/>
        <v>47.716806864116052</v>
      </c>
      <c r="Q193" s="154">
        <f t="shared" si="25"/>
        <v>51.866094417517445</v>
      </c>
      <c r="R193" s="154">
        <f t="shared" si="26"/>
        <v>59.127347635969883</v>
      </c>
      <c r="S193" s="154">
        <f t="shared" si="27"/>
        <v>67.425922742772684</v>
      </c>
      <c r="T193" s="29" t="str">
        <f t="shared" si="28"/>
        <v>A</v>
      </c>
      <c r="U193" s="16">
        <f>((SUM($J$30:J193)*L193/(M193*SUM($G$30:G193))))*10^6</f>
        <v>38.908386592381298</v>
      </c>
    </row>
    <row r="194" spans="2:21" ht="15.75" x14ac:dyDescent="0.25">
      <c r="B194" s="13">
        <v>61</v>
      </c>
      <c r="C194" s="456"/>
      <c r="D194" s="456"/>
      <c r="E194" s="457">
        <v>0.21527777777777801</v>
      </c>
      <c r="F194" s="54">
        <v>0.21527777777777801</v>
      </c>
      <c r="G194" s="15">
        <f>'Testing DF8 (3)'!N200</f>
        <v>0.41778171157156851</v>
      </c>
      <c r="H194" s="153">
        <f>'Testing DF8 (3)'!CA200</f>
        <v>8.8770610209137728E-3</v>
      </c>
      <c r="I194" s="16">
        <v>3.3999999999999998E-3</v>
      </c>
      <c r="J194" s="153">
        <f t="shared" si="20"/>
        <v>1.2277061020913773E-2</v>
      </c>
      <c r="K194" s="31" t="s">
        <v>257</v>
      </c>
      <c r="L194" s="31">
        <v>3.206</v>
      </c>
      <c r="M194" s="31">
        <v>2877</v>
      </c>
      <c r="N194" s="155">
        <f t="shared" si="22"/>
        <v>32.74678329087228</v>
      </c>
      <c r="O194" s="154">
        <f t="shared" si="23"/>
        <v>39.418231757313258</v>
      </c>
      <c r="P194" s="154">
        <f t="shared" si="24"/>
        <v>47.716806864116052</v>
      </c>
      <c r="Q194" s="154">
        <f t="shared" si="25"/>
        <v>51.866094417517445</v>
      </c>
      <c r="R194" s="154">
        <f t="shared" si="26"/>
        <v>59.127347635969883</v>
      </c>
      <c r="S194" s="154">
        <f t="shared" si="27"/>
        <v>67.425922742772684</v>
      </c>
      <c r="T194" s="29" t="str">
        <f t="shared" si="28"/>
        <v>A</v>
      </c>
      <c r="U194" s="16">
        <f>((SUM($J$30:J194)*L194/(M194*SUM($G$30:G194))))*10^6</f>
        <v>38.868124398956169</v>
      </c>
    </row>
    <row r="195" spans="2:21" ht="15.75" x14ac:dyDescent="0.25">
      <c r="B195" s="13">
        <v>62</v>
      </c>
      <c r="C195" s="456"/>
      <c r="D195" s="456"/>
      <c r="E195" s="457"/>
      <c r="F195" s="54">
        <v>0.217361111111112</v>
      </c>
      <c r="G195" s="15">
        <f>'Testing DF8 (3)'!N201</f>
        <v>0.33240797892663243</v>
      </c>
      <c r="H195" s="153">
        <f>'Testing DF8 (3)'!CA201</f>
        <v>4.5939188200325746E-3</v>
      </c>
      <c r="I195" s="16">
        <v>3.3999999999999998E-3</v>
      </c>
      <c r="J195" s="153">
        <f t="shared" si="20"/>
        <v>7.993918820032574E-3</v>
      </c>
      <c r="K195" s="31" t="s">
        <v>257</v>
      </c>
      <c r="L195" s="31">
        <v>3.206</v>
      </c>
      <c r="M195" s="31">
        <v>2877</v>
      </c>
      <c r="N195" s="155">
        <f t="shared" si="22"/>
        <v>26.798590344326058</v>
      </c>
      <c r="O195" s="154">
        <f t="shared" si="23"/>
        <v>39.418231757313258</v>
      </c>
      <c r="P195" s="154">
        <f t="shared" si="24"/>
        <v>47.716806864116052</v>
      </c>
      <c r="Q195" s="154">
        <f t="shared" si="25"/>
        <v>51.866094417517445</v>
      </c>
      <c r="R195" s="154">
        <f t="shared" si="26"/>
        <v>59.127347635969883</v>
      </c>
      <c r="S195" s="154">
        <f t="shared" si="27"/>
        <v>67.425922742772684</v>
      </c>
      <c r="T195" s="29" t="str">
        <f t="shared" si="28"/>
        <v>A</v>
      </c>
      <c r="U195" s="16">
        <f>((SUM($J$30:J195)*L195/(M195*SUM($G$30:G195))))*10^6</f>
        <v>38.805698595880955</v>
      </c>
    </row>
    <row r="196" spans="2:21" ht="15.75" x14ac:dyDescent="0.25">
      <c r="B196" s="13">
        <v>63</v>
      </c>
      <c r="C196" s="456"/>
      <c r="D196" s="456"/>
      <c r="E196" s="457"/>
      <c r="F196" s="54">
        <v>0.219444444444445</v>
      </c>
      <c r="G196" s="15">
        <f>'Testing DF8 (3)'!N202</f>
        <v>0.36928803369137103</v>
      </c>
      <c r="H196" s="153">
        <f>'Testing DF8 (3)'!CA202</f>
        <v>6.1961866015860642E-3</v>
      </c>
      <c r="I196" s="16">
        <v>3.3999999999999998E-3</v>
      </c>
      <c r="J196" s="153">
        <f t="shared" si="20"/>
        <v>9.5961866015860636E-3</v>
      </c>
      <c r="K196" s="31" t="s">
        <v>257</v>
      </c>
      <c r="L196" s="31">
        <v>3.206</v>
      </c>
      <c r="M196" s="31">
        <v>2877</v>
      </c>
      <c r="N196" s="155">
        <f t="shared" si="22"/>
        <v>28.95723598627119</v>
      </c>
      <c r="O196" s="154">
        <f t="shared" si="23"/>
        <v>39.418231757313258</v>
      </c>
      <c r="P196" s="154">
        <f t="shared" si="24"/>
        <v>47.716806864116052</v>
      </c>
      <c r="Q196" s="154">
        <f t="shared" si="25"/>
        <v>51.866094417517445</v>
      </c>
      <c r="R196" s="154">
        <f t="shared" si="26"/>
        <v>59.127347635969883</v>
      </c>
      <c r="S196" s="154">
        <f t="shared" si="27"/>
        <v>67.425922742772684</v>
      </c>
      <c r="T196" s="29" t="str">
        <f t="shared" si="28"/>
        <v>A</v>
      </c>
      <c r="U196" s="16">
        <f>((SUM($J$30:J196)*L196/(M196*SUM($G$30:G196))))*10^6</f>
        <v>38.749432401137263</v>
      </c>
    </row>
    <row r="197" spans="2:21" ht="15.75" x14ac:dyDescent="0.25">
      <c r="B197" s="13">
        <v>64</v>
      </c>
      <c r="C197" s="456"/>
      <c r="D197" s="456"/>
      <c r="E197" s="457"/>
      <c r="F197" s="54">
        <v>0.22152777777777799</v>
      </c>
      <c r="G197" s="15">
        <f>'Testing DF8 (3)'!N203</f>
        <v>0.39800582406941409</v>
      </c>
      <c r="H197" s="153">
        <f>'Testing DF8 (3)'!CA203</f>
        <v>7.6934785382200737E-3</v>
      </c>
      <c r="I197" s="16">
        <v>3.3999999999999998E-3</v>
      </c>
      <c r="J197" s="153">
        <f t="shared" si="20"/>
        <v>1.1093478538220073E-2</v>
      </c>
      <c r="K197" s="31" t="s">
        <v>257</v>
      </c>
      <c r="L197" s="31">
        <v>3.206</v>
      </c>
      <c r="M197" s="31">
        <v>2877</v>
      </c>
      <c r="N197" s="155">
        <f t="shared" si="22"/>
        <v>31.060037549823043</v>
      </c>
      <c r="O197" s="154">
        <f t="shared" si="23"/>
        <v>39.418231757313258</v>
      </c>
      <c r="P197" s="154">
        <f t="shared" si="24"/>
        <v>47.716806864116052</v>
      </c>
      <c r="Q197" s="154">
        <f t="shared" si="25"/>
        <v>51.866094417517445</v>
      </c>
      <c r="R197" s="154">
        <f t="shared" si="26"/>
        <v>59.127347635969883</v>
      </c>
      <c r="S197" s="154">
        <f t="shared" si="27"/>
        <v>67.425922742772684</v>
      </c>
      <c r="T197" s="29" t="str">
        <f t="shared" si="28"/>
        <v>A</v>
      </c>
      <c r="U197" s="16">
        <f>((SUM($J$30:J197)*L197/(M197*SUM($G$30:G197))))*10^6</f>
        <v>38.702374831099263</v>
      </c>
    </row>
    <row r="198" spans="2:21" ht="15.75" x14ac:dyDescent="0.25">
      <c r="B198" s="13">
        <v>65</v>
      </c>
      <c r="C198" s="456"/>
      <c r="D198" s="456"/>
      <c r="E198" s="457"/>
      <c r="F198" s="54">
        <v>0.22361111111111201</v>
      </c>
      <c r="G198" s="15">
        <f>'Testing DF8 (3)'!N204</f>
        <v>0.43795237333001158</v>
      </c>
      <c r="H198" s="153">
        <f>'Testing DF8 (3)'!CA204</f>
        <v>1.0236624946177324E-2</v>
      </c>
      <c r="I198" s="16">
        <v>3.3999999999999998E-3</v>
      </c>
      <c r="J198" s="153">
        <f t="shared" si="20"/>
        <v>1.3636624946177324E-2</v>
      </c>
      <c r="K198" s="31" t="s">
        <v>257</v>
      </c>
      <c r="L198" s="31">
        <v>3.206</v>
      </c>
      <c r="M198" s="31">
        <v>2877</v>
      </c>
      <c r="N198" s="155">
        <f t="shared" si="22"/>
        <v>34.697938107677842</v>
      </c>
      <c r="O198" s="154">
        <f t="shared" si="23"/>
        <v>39.418231757313258</v>
      </c>
      <c r="P198" s="154">
        <f t="shared" si="24"/>
        <v>47.716806864116052</v>
      </c>
      <c r="Q198" s="154">
        <f t="shared" si="25"/>
        <v>51.866094417517445</v>
      </c>
      <c r="R198" s="154">
        <f t="shared" si="26"/>
        <v>59.127347635969883</v>
      </c>
      <c r="S198" s="154">
        <f t="shared" si="27"/>
        <v>67.425922742772684</v>
      </c>
      <c r="T198" s="29" t="str">
        <f t="shared" si="28"/>
        <v>A</v>
      </c>
      <c r="U198" s="16">
        <f>((SUM($J$30:J198)*L198/(M198*SUM($G$30:G198))))*10^6</f>
        <v>38.675589224880255</v>
      </c>
    </row>
    <row r="199" spans="2:21" ht="15.75" x14ac:dyDescent="0.25">
      <c r="B199" s="13">
        <v>66</v>
      </c>
      <c r="C199" s="456"/>
      <c r="D199" s="456"/>
      <c r="E199" s="457">
        <v>0.225694444444445</v>
      </c>
      <c r="F199" s="54">
        <v>0.225694444444445</v>
      </c>
      <c r="G199" s="15">
        <f>'Testing DF8 (3)'!N205</f>
        <v>0.38884006813806904</v>
      </c>
      <c r="H199" s="153">
        <f>'Testing DF8 (3)'!CA205</f>
        <v>7.1890346133056107E-3</v>
      </c>
      <c r="I199" s="16">
        <v>3.3999999999999998E-3</v>
      </c>
      <c r="J199" s="153">
        <f t="shared" ref="J199:J234" si="29">H199+I199</f>
        <v>1.058903461330561E-2</v>
      </c>
      <c r="K199" s="31" t="s">
        <v>257</v>
      </c>
      <c r="L199" s="31">
        <v>3.206</v>
      </c>
      <c r="M199" s="31">
        <v>2877</v>
      </c>
      <c r="N199" s="155">
        <f t="shared" si="22"/>
        <v>30.346528254149298</v>
      </c>
      <c r="O199" s="154">
        <f t="shared" si="23"/>
        <v>39.418231757313258</v>
      </c>
      <c r="P199" s="154">
        <f t="shared" si="24"/>
        <v>47.716806864116052</v>
      </c>
      <c r="Q199" s="154">
        <f t="shared" si="25"/>
        <v>51.866094417517445</v>
      </c>
      <c r="R199" s="154">
        <f t="shared" si="26"/>
        <v>59.127347635969883</v>
      </c>
      <c r="S199" s="154">
        <f t="shared" si="27"/>
        <v>67.425922742772684</v>
      </c>
      <c r="T199" s="29" t="str">
        <f t="shared" si="28"/>
        <v>A</v>
      </c>
      <c r="U199" s="16">
        <f>((SUM($J$30:J199)*L199/(M199*SUM($G$30:G199))))*10^6</f>
        <v>38.626416008045645</v>
      </c>
    </row>
    <row r="200" spans="2:21" ht="15.75" x14ac:dyDescent="0.25">
      <c r="B200" s="13">
        <v>67</v>
      </c>
      <c r="C200" s="456"/>
      <c r="D200" s="456"/>
      <c r="E200" s="457"/>
      <c r="F200" s="54">
        <v>0.227777777777778</v>
      </c>
      <c r="G200" s="15">
        <f>'Testing DF8 (3)'!N206</f>
        <v>0.40388186246651203</v>
      </c>
      <c r="H200" s="153">
        <f>'Testing DF8 (3)'!CA206</f>
        <v>8.0310589068094476E-3</v>
      </c>
      <c r="I200" s="16">
        <v>3.3999999999999998E-3</v>
      </c>
      <c r="J200" s="153">
        <f t="shared" si="29"/>
        <v>1.1431058906809448E-2</v>
      </c>
      <c r="K200" s="31" t="s">
        <v>257</v>
      </c>
      <c r="L200" s="31">
        <v>3.206</v>
      </c>
      <c r="M200" s="31">
        <v>2877</v>
      </c>
      <c r="N200" s="155">
        <f t="shared" si="22"/>
        <v>31.53957004288451</v>
      </c>
      <c r="O200" s="154">
        <f t="shared" si="23"/>
        <v>39.418231757313258</v>
      </c>
      <c r="P200" s="154">
        <f t="shared" si="24"/>
        <v>47.716806864116052</v>
      </c>
      <c r="Q200" s="154">
        <f t="shared" si="25"/>
        <v>51.866094417517445</v>
      </c>
      <c r="R200" s="154">
        <f t="shared" si="26"/>
        <v>59.127347635969883</v>
      </c>
      <c r="S200" s="154">
        <f t="shared" si="27"/>
        <v>67.425922742772684</v>
      </c>
      <c r="T200" s="29" t="str">
        <f t="shared" si="28"/>
        <v>A</v>
      </c>
      <c r="U200" s="16">
        <f>((SUM($J$30:J200)*L200/(M200*SUM($G$30:G200))))*10^6</f>
        <v>38.58322295864405</v>
      </c>
    </row>
    <row r="201" spans="2:21" ht="15.75" x14ac:dyDescent="0.25">
      <c r="B201" s="13">
        <v>68</v>
      </c>
      <c r="C201" s="456"/>
      <c r="D201" s="456"/>
      <c r="E201" s="457"/>
      <c r="F201" s="54">
        <v>0.22986111111111199</v>
      </c>
      <c r="G201" s="15">
        <f>'Testing DF8 (3)'!N207</f>
        <v>0.58087507232154556</v>
      </c>
      <c r="H201" s="153">
        <f>'Testing DF8 (3)'!CA207</f>
        <v>2.7037956233380993E-2</v>
      </c>
      <c r="I201" s="16">
        <v>3.3999999999999998E-3</v>
      </c>
      <c r="J201" s="153">
        <f t="shared" si="29"/>
        <v>3.0437956233380994E-2</v>
      </c>
      <c r="K201" s="31" t="s">
        <v>257</v>
      </c>
      <c r="L201" s="31">
        <v>3.206</v>
      </c>
      <c r="M201" s="31">
        <v>2877</v>
      </c>
      <c r="N201" s="155">
        <f t="shared" ref="N201:N234" si="30">((J201*L201)/(M201*G201))*10^6</f>
        <v>58.39241064076991</v>
      </c>
      <c r="O201" s="154">
        <f t="shared" si="23"/>
        <v>39.418231757313258</v>
      </c>
      <c r="P201" s="154">
        <f t="shared" si="24"/>
        <v>47.716806864116052</v>
      </c>
      <c r="Q201" s="154">
        <f t="shared" si="25"/>
        <v>51.866094417517445</v>
      </c>
      <c r="R201" s="154">
        <f t="shared" si="26"/>
        <v>59.127347635969883</v>
      </c>
      <c r="S201" s="154">
        <f t="shared" si="27"/>
        <v>67.425922742772684</v>
      </c>
      <c r="T201" s="29" t="str">
        <f t="shared" si="28"/>
        <v>D</v>
      </c>
      <c r="U201" s="16">
        <f>((SUM($J$30:J201)*L201/(M201*SUM($G$30:G201))))*10^6</f>
        <v>38.755356537620138</v>
      </c>
    </row>
    <row r="202" spans="2:21" ht="15.75" x14ac:dyDescent="0.25">
      <c r="B202" s="13">
        <v>69</v>
      </c>
      <c r="C202" s="456"/>
      <c r="D202" s="456"/>
      <c r="E202" s="457"/>
      <c r="F202" s="54">
        <v>0.23194444444444501</v>
      </c>
      <c r="G202" s="15">
        <f>'Testing DF8 (3)'!N208</f>
        <v>0.46737659817899935</v>
      </c>
      <c r="H202" s="153">
        <f>'Testing DF8 (3)'!CA208</f>
        <v>1.255293946355723E-2</v>
      </c>
      <c r="I202" s="16">
        <v>3.3999999999999998E-3</v>
      </c>
      <c r="J202" s="153">
        <f t="shared" si="29"/>
        <v>1.595293946355723E-2</v>
      </c>
      <c r="K202" s="31" t="s">
        <v>257</v>
      </c>
      <c r="L202" s="31">
        <v>3.206</v>
      </c>
      <c r="M202" s="31">
        <v>2877</v>
      </c>
      <c r="N202" s="155">
        <f t="shared" si="30"/>
        <v>38.03622520381937</v>
      </c>
      <c r="O202" s="154">
        <f t="shared" si="23"/>
        <v>39.418231757313258</v>
      </c>
      <c r="P202" s="154">
        <f t="shared" si="24"/>
        <v>47.716806864116052</v>
      </c>
      <c r="Q202" s="154">
        <f t="shared" si="25"/>
        <v>51.866094417517445</v>
      </c>
      <c r="R202" s="154">
        <f t="shared" si="26"/>
        <v>59.127347635969883</v>
      </c>
      <c r="S202" s="154">
        <f t="shared" si="27"/>
        <v>67.425922742772684</v>
      </c>
      <c r="T202" s="29" t="str">
        <f t="shared" si="28"/>
        <v>A</v>
      </c>
      <c r="U202" s="16">
        <f>((SUM($J$30:J202)*L202/(M202*SUM($G$30:G202))))*10^6</f>
        <v>38.750363492689104</v>
      </c>
    </row>
    <row r="203" spans="2:21" ht="15.75" x14ac:dyDescent="0.25">
      <c r="B203" s="13">
        <v>70</v>
      </c>
      <c r="C203" s="456"/>
      <c r="D203" s="456"/>
      <c r="E203" s="457"/>
      <c r="F203" s="54">
        <v>0.234027777777778</v>
      </c>
      <c r="G203" s="15">
        <f>'Testing DF8 (3)'!N209</f>
        <v>0.35563752960487871</v>
      </c>
      <c r="H203" s="153">
        <f>'Testing DF8 (3)'!CA209</f>
        <v>5.5644121896056232E-3</v>
      </c>
      <c r="I203" s="16">
        <v>3.3999999999999998E-3</v>
      </c>
      <c r="J203" s="153">
        <f t="shared" si="29"/>
        <v>8.9644121896056226E-3</v>
      </c>
      <c r="K203" s="31" t="s">
        <v>257</v>
      </c>
      <c r="L203" s="31">
        <v>3.206</v>
      </c>
      <c r="M203" s="31">
        <v>2877</v>
      </c>
      <c r="N203" s="155">
        <f t="shared" si="30"/>
        <v>28.089104175008341</v>
      </c>
      <c r="O203" s="154">
        <f t="shared" si="23"/>
        <v>39.418231757313258</v>
      </c>
      <c r="P203" s="154">
        <f t="shared" si="24"/>
        <v>47.716806864116052</v>
      </c>
      <c r="Q203" s="154">
        <f t="shared" si="25"/>
        <v>51.866094417517445</v>
      </c>
      <c r="R203" s="154">
        <f t="shared" si="26"/>
        <v>59.127347635969883</v>
      </c>
      <c r="S203" s="154">
        <f t="shared" si="27"/>
        <v>67.425922742772684</v>
      </c>
      <c r="T203" s="29" t="str">
        <f t="shared" si="28"/>
        <v>A</v>
      </c>
      <c r="U203" s="16">
        <f>((SUM($J$30:J203)*L203/(M203*SUM($G$30:G203))))*10^6</f>
        <v>38.694333835999863</v>
      </c>
    </row>
    <row r="204" spans="2:21" ht="15.75" x14ac:dyDescent="0.25">
      <c r="B204" s="13">
        <v>71</v>
      </c>
      <c r="C204" s="456"/>
      <c r="D204" s="456"/>
      <c r="E204" s="457">
        <v>0.23611111111111099</v>
      </c>
      <c r="F204" s="54">
        <v>0.23611111111111199</v>
      </c>
      <c r="G204" s="15">
        <f>'Testing DF8 (3)'!N210</f>
        <v>0.36597956140774474</v>
      </c>
      <c r="H204" s="153">
        <f>'Testing DF8 (3)'!CA210</f>
        <v>6.0386368780820897E-3</v>
      </c>
      <c r="I204" s="16">
        <v>3.3999999999999998E-3</v>
      </c>
      <c r="J204" s="153">
        <f t="shared" si="29"/>
        <v>9.4386368780820899E-3</v>
      </c>
      <c r="K204" s="31" t="s">
        <v>257</v>
      </c>
      <c r="L204" s="31">
        <v>3.206</v>
      </c>
      <c r="M204" s="31">
        <v>2877</v>
      </c>
      <c r="N204" s="155">
        <f t="shared" si="30"/>
        <v>28.739294455399733</v>
      </c>
      <c r="O204" s="154">
        <f t="shared" si="23"/>
        <v>39.418231757313258</v>
      </c>
      <c r="P204" s="154">
        <f t="shared" si="24"/>
        <v>47.716806864116052</v>
      </c>
      <c r="Q204" s="154">
        <f t="shared" si="25"/>
        <v>51.866094417517445</v>
      </c>
      <c r="R204" s="154">
        <f t="shared" si="26"/>
        <v>59.127347635969883</v>
      </c>
      <c r="S204" s="154">
        <f t="shared" si="27"/>
        <v>67.425922742772684</v>
      </c>
      <c r="T204" s="29" t="str">
        <f t="shared" si="28"/>
        <v>A</v>
      </c>
      <c r="U204" s="16">
        <f>((SUM($J$30:J204)*L204/(M204*SUM($G$30:G204))))*10^6</f>
        <v>38.640783866312184</v>
      </c>
    </row>
    <row r="205" spans="2:21" ht="15.75" x14ac:dyDescent="0.25">
      <c r="B205" s="13">
        <v>72</v>
      </c>
      <c r="C205" s="456"/>
      <c r="D205" s="456"/>
      <c r="E205" s="457"/>
      <c r="F205" s="54">
        <v>0.23819444444444501</v>
      </c>
      <c r="G205" s="15">
        <f>'Testing DF8 (3)'!N211</f>
        <v>0.41059378172769456</v>
      </c>
      <c r="H205" s="153">
        <f>'Testing DF8 (3)'!CA211</f>
        <v>8.4309745123239445E-3</v>
      </c>
      <c r="I205" s="16">
        <v>3.3999999999999998E-3</v>
      </c>
      <c r="J205" s="153">
        <f t="shared" si="29"/>
        <v>1.1830974512323945E-2</v>
      </c>
      <c r="K205" s="31" t="s">
        <v>257</v>
      </c>
      <c r="L205" s="31">
        <v>3.206</v>
      </c>
      <c r="M205" s="31">
        <v>2877</v>
      </c>
      <c r="N205" s="155">
        <f t="shared" si="30"/>
        <v>32.109371656480128</v>
      </c>
      <c r="O205" s="154">
        <f t="shared" si="23"/>
        <v>39.418231757313258</v>
      </c>
      <c r="P205" s="154">
        <f t="shared" si="24"/>
        <v>47.716806864116052</v>
      </c>
      <c r="Q205" s="154">
        <f t="shared" si="25"/>
        <v>51.866094417517445</v>
      </c>
      <c r="R205" s="154">
        <f t="shared" si="26"/>
        <v>59.127347635969883</v>
      </c>
      <c r="S205" s="154">
        <f t="shared" si="27"/>
        <v>67.425922742772684</v>
      </c>
      <c r="T205" s="29" t="str">
        <f t="shared" si="28"/>
        <v>A</v>
      </c>
      <c r="U205" s="16">
        <f>((SUM($J$30:J205)*L205/(M205*SUM($G$30:G205))))*10^6</f>
        <v>38.601603741142945</v>
      </c>
    </row>
    <row r="206" spans="2:21" ht="15.75" x14ac:dyDescent="0.25">
      <c r="B206" s="13">
        <v>73</v>
      </c>
      <c r="C206" s="456"/>
      <c r="D206" s="456"/>
      <c r="E206" s="457"/>
      <c r="F206" s="54">
        <v>0.24027777777777801</v>
      </c>
      <c r="G206" s="15">
        <f>'Testing DF8 (3)'!N212</f>
        <v>0.42092454216024083</v>
      </c>
      <c r="H206" s="153">
        <f>'Testing DF8 (3)'!CA212</f>
        <v>9.0781580467575885E-3</v>
      </c>
      <c r="I206" s="16">
        <v>3.3999999999999998E-3</v>
      </c>
      <c r="J206" s="153">
        <f t="shared" si="29"/>
        <v>1.2478158046757589E-2</v>
      </c>
      <c r="K206" s="31" t="s">
        <v>257</v>
      </c>
      <c r="L206" s="31">
        <v>3.206</v>
      </c>
      <c r="M206" s="31">
        <v>2877</v>
      </c>
      <c r="N206" s="155">
        <f t="shared" si="30"/>
        <v>33.034663702614019</v>
      </c>
      <c r="O206" s="154">
        <f t="shared" si="23"/>
        <v>39.418231757313258</v>
      </c>
      <c r="P206" s="154">
        <f t="shared" si="24"/>
        <v>47.716806864116052</v>
      </c>
      <c r="Q206" s="154">
        <f t="shared" si="25"/>
        <v>51.866094417517445</v>
      </c>
      <c r="R206" s="154">
        <f t="shared" si="26"/>
        <v>59.127347635969883</v>
      </c>
      <c r="S206" s="154">
        <f t="shared" si="27"/>
        <v>67.425922742772684</v>
      </c>
      <c r="T206" s="29" t="str">
        <f t="shared" si="28"/>
        <v>A</v>
      </c>
      <c r="U206" s="16">
        <f>((SUM($J$30:J206)*L206/(M206*SUM($G$30:G206))))*10^6</f>
        <v>38.567578237096114</v>
      </c>
    </row>
    <row r="207" spans="2:21" ht="15.75" x14ac:dyDescent="0.25">
      <c r="B207" s="13">
        <v>74</v>
      </c>
      <c r="C207" s="456"/>
      <c r="D207" s="456"/>
      <c r="E207" s="457"/>
      <c r="F207" s="54">
        <v>0.242361111111112</v>
      </c>
      <c r="G207" s="15">
        <f>'Testing DF8 (3)'!N213</f>
        <v>0.37298309229413923</v>
      </c>
      <c r="H207" s="153">
        <f>'Testing DF8 (3)'!CA213</f>
        <v>6.3756059416940356E-3</v>
      </c>
      <c r="I207" s="16">
        <v>3.3999999999999998E-3</v>
      </c>
      <c r="J207" s="153">
        <f t="shared" si="29"/>
        <v>9.775605941694035E-3</v>
      </c>
      <c r="K207" s="31" t="s">
        <v>257</v>
      </c>
      <c r="L207" s="31">
        <v>3.206</v>
      </c>
      <c r="M207" s="31">
        <v>2877</v>
      </c>
      <c r="N207" s="155">
        <f t="shared" si="30"/>
        <v>29.20641134621188</v>
      </c>
      <c r="O207" s="154">
        <f t="shared" si="23"/>
        <v>39.418231757313258</v>
      </c>
      <c r="P207" s="154">
        <f t="shared" si="24"/>
        <v>47.716806864116052</v>
      </c>
      <c r="Q207" s="154">
        <f t="shared" si="25"/>
        <v>51.866094417517445</v>
      </c>
      <c r="R207" s="154">
        <f t="shared" si="26"/>
        <v>59.127347635969883</v>
      </c>
      <c r="S207" s="154">
        <f t="shared" si="27"/>
        <v>67.425922742772684</v>
      </c>
      <c r="T207" s="29" t="str">
        <f t="shared" si="28"/>
        <v>A</v>
      </c>
      <c r="U207" s="16">
        <f>((SUM($J$30:J207)*L207/(M207*SUM($G$30:G207))))*10^6</f>
        <v>38.517151931948987</v>
      </c>
    </row>
    <row r="208" spans="2:21" ht="15.75" x14ac:dyDescent="0.25">
      <c r="B208" s="13">
        <v>75</v>
      </c>
      <c r="C208" s="456"/>
      <c r="D208" s="456"/>
      <c r="E208" s="457"/>
      <c r="F208" s="54">
        <v>0.24444444444444499</v>
      </c>
      <c r="G208" s="15">
        <f>'Testing DF8 (3)'!N214</f>
        <v>0.44273390360195086</v>
      </c>
      <c r="H208" s="153">
        <f>'Testing DF8 (3)'!CA214</f>
        <v>1.0584324582684271E-2</v>
      </c>
      <c r="I208" s="16">
        <v>3.3999999999999998E-3</v>
      </c>
      <c r="J208" s="153">
        <f t="shared" si="29"/>
        <v>1.3984324582684272E-2</v>
      </c>
      <c r="K208" s="31" t="s">
        <v>257</v>
      </c>
      <c r="L208" s="31">
        <v>3.206</v>
      </c>
      <c r="M208" s="31">
        <v>2877</v>
      </c>
      <c r="N208" s="155">
        <f t="shared" si="30"/>
        <v>35.198355323459182</v>
      </c>
      <c r="O208" s="154">
        <f t="shared" si="23"/>
        <v>39.418231757313258</v>
      </c>
      <c r="P208" s="154">
        <f t="shared" si="24"/>
        <v>47.716806864116052</v>
      </c>
      <c r="Q208" s="154">
        <f t="shared" si="25"/>
        <v>51.866094417517445</v>
      </c>
      <c r="R208" s="154">
        <f t="shared" si="26"/>
        <v>59.127347635969883</v>
      </c>
      <c r="S208" s="154">
        <f t="shared" si="27"/>
        <v>67.425922742772684</v>
      </c>
      <c r="T208" s="29" t="str">
        <f t="shared" si="28"/>
        <v>A</v>
      </c>
      <c r="U208" s="16">
        <f>((SUM($J$30:J208)*L208/(M208*SUM($G$30:G208))))*10^6</f>
        <v>38.496065973720903</v>
      </c>
    </row>
    <row r="209" spans="2:21" ht="15.75" x14ac:dyDescent="0.25">
      <c r="B209" s="13">
        <v>76</v>
      </c>
      <c r="C209" s="456"/>
      <c r="D209" s="456"/>
      <c r="E209" s="457">
        <v>0.24652777777777801</v>
      </c>
      <c r="F209" s="54">
        <v>0.24652777777777801</v>
      </c>
      <c r="G209" s="15">
        <f>'Testing DF8 (3)'!N215</f>
        <v>0.40965646868695166</v>
      </c>
      <c r="H209" s="153">
        <f>'Testing DF8 (3)'!CA215</f>
        <v>8.3741822328722709E-3</v>
      </c>
      <c r="I209" s="16">
        <v>2.5999999999999999E-3</v>
      </c>
      <c r="J209" s="153">
        <f t="shared" si="29"/>
        <v>1.0974182232872271E-2</v>
      </c>
      <c r="K209" s="31" t="s">
        <v>257</v>
      </c>
      <c r="L209" s="31">
        <v>3.206</v>
      </c>
      <c r="M209" s="31">
        <v>2877</v>
      </c>
      <c r="N209" s="155">
        <f t="shared" si="30"/>
        <v>29.85217691770179</v>
      </c>
      <c r="O209" s="154">
        <f t="shared" si="23"/>
        <v>39.418231757313258</v>
      </c>
      <c r="P209" s="154">
        <f t="shared" si="24"/>
        <v>47.716806864116052</v>
      </c>
      <c r="Q209" s="154">
        <f t="shared" si="25"/>
        <v>51.866094417517445</v>
      </c>
      <c r="R209" s="154">
        <f t="shared" si="26"/>
        <v>59.127347635969883</v>
      </c>
      <c r="S209" s="154">
        <f t="shared" si="27"/>
        <v>67.425922742772684</v>
      </c>
      <c r="T209" s="29" t="str">
        <f t="shared" si="28"/>
        <v>A</v>
      </c>
      <c r="U209" s="16">
        <f>((SUM($J$30:J209)*L209/(M209*SUM($G$30:G209))))*10^6</f>
        <v>38.445547146086732</v>
      </c>
    </row>
    <row r="210" spans="2:21" ht="15.75" x14ac:dyDescent="0.25">
      <c r="B210" s="13">
        <v>77</v>
      </c>
      <c r="C210" s="456"/>
      <c r="D210" s="456"/>
      <c r="E210" s="457"/>
      <c r="F210" s="54">
        <v>0.248611111111112</v>
      </c>
      <c r="G210" s="15">
        <f>'Testing DF8 (3)'!N216</f>
        <v>0.35838904042774855</v>
      </c>
      <c r="H210" s="153">
        <f>'Testing DF8 (3)'!CA216</f>
        <v>5.68793227941191E-3</v>
      </c>
      <c r="I210" s="16">
        <v>2.5999999999999999E-3</v>
      </c>
      <c r="J210" s="153">
        <f t="shared" si="29"/>
        <v>8.2879322794119099E-3</v>
      </c>
      <c r="K210" s="31" t="s">
        <v>257</v>
      </c>
      <c r="L210" s="31">
        <v>3.206</v>
      </c>
      <c r="M210" s="31">
        <v>2877</v>
      </c>
      <c r="N210" s="155">
        <f t="shared" si="30"/>
        <v>25.770042186287473</v>
      </c>
      <c r="O210" s="154">
        <f t="shared" si="23"/>
        <v>39.418231757313258</v>
      </c>
      <c r="P210" s="154">
        <f t="shared" si="24"/>
        <v>47.716806864116052</v>
      </c>
      <c r="Q210" s="154">
        <f t="shared" si="25"/>
        <v>51.866094417517445</v>
      </c>
      <c r="R210" s="154">
        <f t="shared" si="26"/>
        <v>59.127347635969883</v>
      </c>
      <c r="S210" s="154">
        <f t="shared" si="27"/>
        <v>67.425922742772684</v>
      </c>
      <c r="T210" s="29" t="str">
        <f t="shared" si="28"/>
        <v>A</v>
      </c>
      <c r="U210" s="16">
        <f>((SUM($J$30:J210)*L210/(M210*SUM($G$30:G210))))*10^6</f>
        <v>38.381066505096356</v>
      </c>
    </row>
    <row r="211" spans="2:21" ht="15.75" x14ac:dyDescent="0.25">
      <c r="B211" s="13">
        <v>78</v>
      </c>
      <c r="C211" s="456"/>
      <c r="D211" s="456"/>
      <c r="E211" s="457"/>
      <c r="F211" s="54">
        <v>0.250694444444445</v>
      </c>
      <c r="G211" s="15">
        <f>'Testing DF8 (3)'!N217</f>
        <v>0.41655082949534289</v>
      </c>
      <c r="H211" s="153">
        <f>'Testing DF8 (3)'!CA217</f>
        <v>8.7993210910834244E-3</v>
      </c>
      <c r="I211" s="16">
        <v>2.5999999999999999E-3</v>
      </c>
      <c r="J211" s="153">
        <f t="shared" si="29"/>
        <v>1.1399321091083424E-2</v>
      </c>
      <c r="K211" s="31" t="s">
        <v>257</v>
      </c>
      <c r="L211" s="31">
        <v>3.206</v>
      </c>
      <c r="M211" s="31">
        <v>2877</v>
      </c>
      <c r="N211" s="155">
        <f t="shared" si="30"/>
        <v>30.49542142245539</v>
      </c>
      <c r="O211" s="154">
        <f t="shared" si="23"/>
        <v>39.418231757313258</v>
      </c>
      <c r="P211" s="154">
        <f t="shared" si="24"/>
        <v>47.716806864116052</v>
      </c>
      <c r="Q211" s="154">
        <f t="shared" si="25"/>
        <v>51.866094417517445</v>
      </c>
      <c r="R211" s="154">
        <f t="shared" si="26"/>
        <v>59.127347635969883</v>
      </c>
      <c r="S211" s="154">
        <f t="shared" si="27"/>
        <v>67.425922742772684</v>
      </c>
      <c r="T211" s="29" t="str">
        <f t="shared" si="28"/>
        <v>A</v>
      </c>
      <c r="U211" s="16">
        <f>((SUM($J$30:J211)*L211/(M211*SUM($G$30:G211))))*10^6</f>
        <v>38.334716013491246</v>
      </c>
    </row>
    <row r="212" spans="2:21" ht="15.75" x14ac:dyDescent="0.25">
      <c r="B212" s="13">
        <v>79</v>
      </c>
      <c r="C212" s="456"/>
      <c r="D212" s="456"/>
      <c r="E212" s="457"/>
      <c r="F212" s="54">
        <v>0.25277777777777899</v>
      </c>
      <c r="G212" s="15">
        <f>'Testing DF8 (3)'!N218</f>
        <v>0.59200830339286259</v>
      </c>
      <c r="H212" s="153">
        <f>'Testing DF8 (3)'!CA218</f>
        <v>2.9082280833337772E-2</v>
      </c>
      <c r="I212" s="16">
        <v>2.5999999999999999E-3</v>
      </c>
      <c r="J212" s="153">
        <f t="shared" si="29"/>
        <v>3.1682280833337774E-2</v>
      </c>
      <c r="K212" s="31" t="s">
        <v>257</v>
      </c>
      <c r="L212" s="31">
        <v>3.206</v>
      </c>
      <c r="M212" s="31">
        <v>2877</v>
      </c>
      <c r="N212" s="155">
        <f t="shared" si="30"/>
        <v>59.636520600894499</v>
      </c>
      <c r="O212" s="154">
        <f t="shared" si="23"/>
        <v>39.418231757313258</v>
      </c>
      <c r="P212" s="154">
        <f t="shared" si="24"/>
        <v>47.716806864116052</v>
      </c>
      <c r="Q212" s="154">
        <f t="shared" si="25"/>
        <v>51.866094417517445</v>
      </c>
      <c r="R212" s="154">
        <f t="shared" si="26"/>
        <v>59.127347635969883</v>
      </c>
      <c r="S212" s="154">
        <f t="shared" si="27"/>
        <v>67.425922742772684</v>
      </c>
      <c r="T212" s="29" t="str">
        <f t="shared" si="28"/>
        <v>E</v>
      </c>
      <c r="U212" s="16">
        <f>((SUM($J$30:J212)*L212/(M212*SUM($G$30:G212))))*10^6</f>
        <v>38.511189891402083</v>
      </c>
    </row>
    <row r="213" spans="2:21" ht="15.75" x14ac:dyDescent="0.25">
      <c r="B213" s="13">
        <v>80</v>
      </c>
      <c r="C213" s="456"/>
      <c r="D213" s="456"/>
      <c r="E213" s="457"/>
      <c r="F213" s="54">
        <v>0.25486111111111198</v>
      </c>
      <c r="G213" s="15">
        <f>'Testing DF8 (3)'!N219</f>
        <v>0.41676567412014021</v>
      </c>
      <c r="H213" s="153">
        <f>'Testing DF8 (3)'!CA219</f>
        <v>8.8128493551764137E-3</v>
      </c>
      <c r="I213" s="16">
        <v>2.5999999999999999E-3</v>
      </c>
      <c r="J213" s="153">
        <f t="shared" si="29"/>
        <v>1.1412849355176414E-2</v>
      </c>
      <c r="K213" s="31" t="s">
        <v>257</v>
      </c>
      <c r="L213" s="31">
        <v>3.206</v>
      </c>
      <c r="M213" s="31">
        <v>2877</v>
      </c>
      <c r="N213" s="155">
        <f t="shared" si="30"/>
        <v>30.515872997563545</v>
      </c>
      <c r="O213" s="154">
        <f t="shared" si="23"/>
        <v>39.418231757313258</v>
      </c>
      <c r="P213" s="154">
        <f t="shared" si="24"/>
        <v>47.716806864116052</v>
      </c>
      <c r="Q213" s="154">
        <f t="shared" si="25"/>
        <v>51.866094417517445</v>
      </c>
      <c r="R213" s="154">
        <f t="shared" si="26"/>
        <v>59.127347635969883</v>
      </c>
      <c r="S213" s="154">
        <f t="shared" si="27"/>
        <v>67.425922742772684</v>
      </c>
      <c r="T213" s="29" t="str">
        <f t="shared" si="28"/>
        <v>A</v>
      </c>
      <c r="U213" s="16">
        <f>((SUM($J$30:J213)*L213/(M213*SUM($G$30:G213))))*10^6</f>
        <v>38.464830433563016</v>
      </c>
    </row>
    <row r="214" spans="2:21" ht="15.75" x14ac:dyDescent="0.25">
      <c r="B214" s="13">
        <v>81</v>
      </c>
      <c r="C214" s="456"/>
      <c r="D214" s="456"/>
      <c r="E214" s="457">
        <v>0.25694444444444497</v>
      </c>
      <c r="F214" s="54">
        <v>0.25694444444444497</v>
      </c>
      <c r="G214" s="15">
        <f>'Testing DF8 (3)'!N220</f>
        <v>0.40159943798063746</v>
      </c>
      <c r="H214" s="153">
        <f>'Testing DF8 (3)'!CA220</f>
        <v>7.8985746702528795E-3</v>
      </c>
      <c r="I214" s="16">
        <v>2.5999999999999999E-3</v>
      </c>
      <c r="J214" s="153">
        <f t="shared" si="29"/>
        <v>1.0498574670252879E-2</v>
      </c>
      <c r="K214" s="31" t="s">
        <v>257</v>
      </c>
      <c r="L214" s="31">
        <v>3.206</v>
      </c>
      <c r="M214" s="31">
        <v>2877</v>
      </c>
      <c r="N214" s="155">
        <f t="shared" si="30"/>
        <v>29.131369461506935</v>
      </c>
      <c r="O214" s="154">
        <f t="shared" si="23"/>
        <v>39.418231757313258</v>
      </c>
      <c r="P214" s="154">
        <f t="shared" si="24"/>
        <v>47.716806864116052</v>
      </c>
      <c r="Q214" s="154">
        <f t="shared" si="25"/>
        <v>51.866094417517445</v>
      </c>
      <c r="R214" s="154">
        <f t="shared" si="26"/>
        <v>59.127347635969883</v>
      </c>
      <c r="S214" s="154">
        <f t="shared" si="27"/>
        <v>67.425922742772684</v>
      </c>
      <c r="T214" s="29" t="str">
        <f t="shared" si="28"/>
        <v>A</v>
      </c>
      <c r="U214" s="16">
        <f>((SUM($J$30:J214)*L214/(M214*SUM($G$30:G214))))*10^6</f>
        <v>38.412971122052952</v>
      </c>
    </row>
    <row r="215" spans="2:21" ht="15.75" x14ac:dyDescent="0.25">
      <c r="B215" s="13">
        <v>82</v>
      </c>
      <c r="C215" s="456"/>
      <c r="D215" s="456"/>
      <c r="E215" s="457"/>
      <c r="F215" s="54">
        <v>0.25902777777777902</v>
      </c>
      <c r="G215" s="15">
        <f>'Testing DF8 (3)'!N221</f>
        <v>0.44556424107967207</v>
      </c>
      <c r="H215" s="153">
        <f>'Testing DF8 (3)'!CA221</f>
        <v>1.0795082913978637E-2</v>
      </c>
      <c r="I215" s="16">
        <v>2.5999999999999999E-3</v>
      </c>
      <c r="J215" s="153">
        <f t="shared" si="29"/>
        <v>1.3395082913978637E-2</v>
      </c>
      <c r="K215" s="31" t="s">
        <v>257</v>
      </c>
      <c r="L215" s="31">
        <v>3.206</v>
      </c>
      <c r="M215" s="31">
        <v>2877</v>
      </c>
      <c r="N215" s="155">
        <f t="shared" si="30"/>
        <v>33.501074234825346</v>
      </c>
      <c r="O215" s="154">
        <f t="shared" si="23"/>
        <v>39.418231757313258</v>
      </c>
      <c r="P215" s="154">
        <f t="shared" si="24"/>
        <v>47.716806864116052</v>
      </c>
      <c r="Q215" s="154">
        <f t="shared" si="25"/>
        <v>51.866094417517445</v>
      </c>
      <c r="R215" s="154">
        <f t="shared" si="26"/>
        <v>59.127347635969883</v>
      </c>
      <c r="S215" s="154">
        <f t="shared" si="27"/>
        <v>67.425922742772684</v>
      </c>
      <c r="T215" s="29" t="str">
        <f t="shared" si="28"/>
        <v>A</v>
      </c>
      <c r="U215" s="16">
        <f>((SUM($J$30:J215)*L215/(M215*SUM($G$30:G215))))*10^6</f>
        <v>38.382877012761625</v>
      </c>
    </row>
    <row r="216" spans="2:21" ht="15.75" x14ac:dyDescent="0.25">
      <c r="B216" s="13">
        <v>83</v>
      </c>
      <c r="C216" s="456"/>
      <c r="D216" s="456"/>
      <c r="E216" s="457"/>
      <c r="F216" s="54">
        <v>0.26111111111111202</v>
      </c>
      <c r="G216" s="15">
        <f>'Testing DF8 (3)'!N222</f>
        <v>0.38651729679875652</v>
      </c>
      <c r="H216" s="153">
        <f>'Testing DF8 (3)'!CA222</f>
        <v>1.0307967433507358E-2</v>
      </c>
      <c r="I216" s="16">
        <v>2.5999999999999999E-3</v>
      </c>
      <c r="J216" s="153">
        <f t="shared" si="29"/>
        <v>1.2907967433507358E-2</v>
      </c>
      <c r="K216" s="31" t="s">
        <v>257</v>
      </c>
      <c r="L216" s="31">
        <v>3.206</v>
      </c>
      <c r="M216" s="31">
        <v>2877</v>
      </c>
      <c r="N216" s="155">
        <f t="shared" si="30"/>
        <v>37.214533869744827</v>
      </c>
      <c r="O216" s="154">
        <f t="shared" si="23"/>
        <v>39.418231757313258</v>
      </c>
      <c r="P216" s="154">
        <f t="shared" si="24"/>
        <v>47.716806864116052</v>
      </c>
      <c r="Q216" s="154">
        <f t="shared" si="25"/>
        <v>51.866094417517445</v>
      </c>
      <c r="R216" s="154">
        <f t="shared" si="26"/>
        <v>59.127347635969883</v>
      </c>
      <c r="S216" s="154">
        <f t="shared" si="27"/>
        <v>67.425922742772684</v>
      </c>
      <c r="T216" s="29" t="str">
        <f t="shared" si="28"/>
        <v>A</v>
      </c>
      <c r="U216" s="16">
        <f>((SUM($J$30:J216)*L216/(M216*SUM($G$30:G216))))*10^6</f>
        <v>38.376700274848879</v>
      </c>
    </row>
    <row r="217" spans="2:21" ht="15.75" x14ac:dyDescent="0.25">
      <c r="B217" s="13">
        <v>84</v>
      </c>
      <c r="C217" s="456"/>
      <c r="D217" s="456"/>
      <c r="E217" s="457"/>
      <c r="F217" s="54">
        <v>0.26319444444444501</v>
      </c>
      <c r="G217" s="15">
        <f>'Testing DF8 (3)'!N223</f>
        <v>0.38799394613114013</v>
      </c>
      <c r="H217" s="153">
        <f>'Testing DF8 (3)'!CA223</f>
        <v>1.042621896348803E-2</v>
      </c>
      <c r="I217" s="16">
        <v>2.5999999999999999E-3</v>
      </c>
      <c r="J217" s="153">
        <f t="shared" si="29"/>
        <v>1.302621896348803E-2</v>
      </c>
      <c r="K217" s="31" t="s">
        <v>257</v>
      </c>
      <c r="L217" s="31">
        <v>3.206</v>
      </c>
      <c r="M217" s="31">
        <v>2877</v>
      </c>
      <c r="N217" s="155">
        <f t="shared" si="30"/>
        <v>37.412530243649584</v>
      </c>
      <c r="O217" s="154">
        <f t="shared" si="23"/>
        <v>39.418231757313258</v>
      </c>
      <c r="P217" s="154">
        <f t="shared" si="24"/>
        <v>47.716806864116052</v>
      </c>
      <c r="Q217" s="154">
        <f t="shared" si="25"/>
        <v>51.866094417517445</v>
      </c>
      <c r="R217" s="154">
        <f t="shared" si="26"/>
        <v>59.127347635969883</v>
      </c>
      <c r="S217" s="154">
        <f t="shared" si="27"/>
        <v>67.425922742772684</v>
      </c>
      <c r="T217" s="29" t="str">
        <f t="shared" si="28"/>
        <v>A</v>
      </c>
      <c r="U217" s="16">
        <f>((SUM($J$30:J217)*L217/(M217*SUM($G$30:G217))))*10^6</f>
        <v>38.371610486533221</v>
      </c>
    </row>
    <row r="218" spans="2:21" ht="15.75" x14ac:dyDescent="0.25">
      <c r="B218" s="13">
        <v>85</v>
      </c>
      <c r="C218" s="456"/>
      <c r="D218" s="456"/>
      <c r="E218" s="457"/>
      <c r="F218" s="54">
        <v>0.265277777777779</v>
      </c>
      <c r="G218" s="15">
        <f>'Testing DF8 (3)'!N224</f>
        <v>0.33660867635404568</v>
      </c>
      <c r="H218" s="153">
        <f>'Testing DF8 (3)'!CA224</f>
        <v>7.9003298151795551E-3</v>
      </c>
      <c r="I218" s="16">
        <v>2.5999999999999999E-3</v>
      </c>
      <c r="J218" s="153">
        <f t="shared" si="29"/>
        <v>1.0500329815179555E-2</v>
      </c>
      <c r="K218" s="31" t="s">
        <v>257</v>
      </c>
      <c r="L218" s="31">
        <v>3.206</v>
      </c>
      <c r="M218" s="31">
        <v>2877</v>
      </c>
      <c r="N218" s="155">
        <f t="shared" si="30"/>
        <v>34.761722677554246</v>
      </c>
      <c r="O218" s="154">
        <f t="shared" si="23"/>
        <v>39.418231757313258</v>
      </c>
      <c r="P218" s="154">
        <f t="shared" si="24"/>
        <v>47.716806864116052</v>
      </c>
      <c r="Q218" s="154">
        <f t="shared" si="25"/>
        <v>51.866094417517445</v>
      </c>
      <c r="R218" s="154">
        <f t="shared" si="26"/>
        <v>59.127347635969883</v>
      </c>
      <c r="S218" s="154">
        <f t="shared" si="27"/>
        <v>67.425922742772684</v>
      </c>
      <c r="T218" s="29" t="str">
        <f t="shared" si="28"/>
        <v>A</v>
      </c>
      <c r="U218" s="16">
        <f>((SUM($J$30:J218)*L218/(M218*SUM($G$30:G218))))*10^6</f>
        <v>38.355153295416798</v>
      </c>
    </row>
    <row r="219" spans="2:21" ht="15.75" x14ac:dyDescent="0.25">
      <c r="B219" s="13">
        <v>86</v>
      </c>
      <c r="C219" s="456"/>
      <c r="D219" s="456"/>
      <c r="E219" s="457">
        <v>0.26736111111111099</v>
      </c>
      <c r="F219" s="54">
        <v>0.26736111111111199</v>
      </c>
      <c r="G219" s="15">
        <f>'Testing DF8 (3)'!N225</f>
        <v>0.40905358969090228</v>
      </c>
      <c r="H219" s="153">
        <f>'Testing DF8 (3)'!CA225</f>
        <v>1.4150016205963619E-2</v>
      </c>
      <c r="I219" s="16">
        <v>4.2000000000000006E-3</v>
      </c>
      <c r="J219" s="153">
        <f t="shared" si="29"/>
        <v>1.8350016205963618E-2</v>
      </c>
      <c r="K219" s="31" t="s">
        <v>257</v>
      </c>
      <c r="L219" s="31">
        <v>3.206</v>
      </c>
      <c r="M219" s="31">
        <v>2877</v>
      </c>
      <c r="N219" s="155">
        <f t="shared" si="30"/>
        <v>49.989627437657248</v>
      </c>
      <c r="O219" s="154">
        <f t="shared" si="23"/>
        <v>39.418231757313258</v>
      </c>
      <c r="P219" s="154">
        <f t="shared" si="24"/>
        <v>47.716806864116052</v>
      </c>
      <c r="Q219" s="154">
        <f t="shared" si="25"/>
        <v>51.866094417517445</v>
      </c>
      <c r="R219" s="154">
        <f t="shared" si="26"/>
        <v>59.127347635969883</v>
      </c>
      <c r="S219" s="154">
        <f t="shared" si="27"/>
        <v>67.425922742772684</v>
      </c>
      <c r="T219" s="29" t="str">
        <f t="shared" si="28"/>
        <v>C</v>
      </c>
      <c r="U219" s="16">
        <f>((SUM($J$30:J219)*L219/(M219*SUM($G$30:G219))))*10^6</f>
        <v>38.419254217671693</v>
      </c>
    </row>
    <row r="220" spans="2:21" ht="15.75" x14ac:dyDescent="0.25">
      <c r="B220" s="13">
        <v>87</v>
      </c>
      <c r="C220" s="456"/>
      <c r="D220" s="456"/>
      <c r="E220" s="457"/>
      <c r="F220" s="54">
        <v>0.26944444444444499</v>
      </c>
      <c r="G220" s="15">
        <f>'Testing DF8 (3)'!N226</f>
        <v>0.23346346131964038</v>
      </c>
      <c r="H220" s="153">
        <f>'Testing DF8 (3)'!CA226</f>
        <v>2.9114787731367091E-3</v>
      </c>
      <c r="I220" s="16">
        <v>4.2000000000000006E-3</v>
      </c>
      <c r="J220" s="153">
        <f t="shared" si="29"/>
        <v>7.1114787731367101E-3</v>
      </c>
      <c r="K220" s="31" t="s">
        <v>257</v>
      </c>
      <c r="L220" s="31">
        <v>3.206</v>
      </c>
      <c r="M220" s="31">
        <v>2877</v>
      </c>
      <c r="N220" s="155">
        <f t="shared" si="30"/>
        <v>33.944127818619592</v>
      </c>
      <c r="O220" s="154">
        <f t="shared" si="23"/>
        <v>39.418231757313258</v>
      </c>
      <c r="P220" s="154">
        <f t="shared" si="24"/>
        <v>47.716806864116052</v>
      </c>
      <c r="Q220" s="154">
        <f t="shared" si="25"/>
        <v>51.866094417517445</v>
      </c>
      <c r="R220" s="154">
        <f t="shared" si="26"/>
        <v>59.127347635969883</v>
      </c>
      <c r="S220" s="154">
        <f t="shared" si="27"/>
        <v>67.425922742772684</v>
      </c>
      <c r="T220" s="29" t="str">
        <f t="shared" si="28"/>
        <v>A</v>
      </c>
      <c r="U220" s="16">
        <f>((SUM($J$30:J220)*L220/(M220*SUM($G$30:G220))))*10^6</f>
        <v>38.405226144367489</v>
      </c>
    </row>
    <row r="221" spans="2:21" ht="15.75" x14ac:dyDescent="0.25">
      <c r="B221" s="13">
        <v>88</v>
      </c>
      <c r="C221" s="456"/>
      <c r="D221" s="456"/>
      <c r="E221" s="457"/>
      <c r="F221" s="54">
        <v>0.27152777777777898</v>
      </c>
      <c r="G221" s="15">
        <f>'Testing DF8 (3)'!N227</f>
        <v>0.18680187121764527</v>
      </c>
      <c r="H221" s="153">
        <f>'Testing DF8 (3)'!CA227</f>
        <v>1.3771910599785382E-3</v>
      </c>
      <c r="I221" s="16">
        <v>4.2000000000000006E-3</v>
      </c>
      <c r="J221" s="153">
        <f t="shared" si="29"/>
        <v>5.5771910599785391E-3</v>
      </c>
      <c r="K221" s="31" t="s">
        <v>257</v>
      </c>
      <c r="L221" s="31">
        <v>3.206</v>
      </c>
      <c r="M221" s="31">
        <v>2877</v>
      </c>
      <c r="N221" s="155">
        <f t="shared" si="30"/>
        <v>33.27039494980751</v>
      </c>
      <c r="O221" s="154">
        <f t="shared" si="23"/>
        <v>39.418231757313258</v>
      </c>
      <c r="P221" s="154">
        <f t="shared" si="24"/>
        <v>47.716806864116052</v>
      </c>
      <c r="Q221" s="154">
        <f t="shared" si="25"/>
        <v>51.866094417517445</v>
      </c>
      <c r="R221" s="154">
        <f t="shared" si="26"/>
        <v>59.127347635969883</v>
      </c>
      <c r="S221" s="154">
        <f t="shared" si="27"/>
        <v>67.425922742772684</v>
      </c>
      <c r="T221" s="29" t="str">
        <f t="shared" si="28"/>
        <v>A</v>
      </c>
      <c r="U221" s="16">
        <f>((SUM($J$30:J221)*L221/(M221*SUM($G$30:G221))))*10^6</f>
        <v>38.392379394222687</v>
      </c>
    </row>
    <row r="222" spans="2:21" ht="15.75" x14ac:dyDescent="0.25">
      <c r="B222" s="13">
        <v>89</v>
      </c>
      <c r="C222" s="456"/>
      <c r="D222" s="456"/>
      <c r="E222" s="457"/>
      <c r="F222" s="54">
        <v>0.27361111111111203</v>
      </c>
      <c r="G222" s="15">
        <f>'Testing DF8 (3)'!N228</f>
        <v>0.15175799626063158</v>
      </c>
      <c r="H222" s="153">
        <f>'Testing DF8 (3)'!CA228</f>
        <v>4.9895562265028174E-4</v>
      </c>
      <c r="I222" s="16">
        <v>4.2000000000000006E-3</v>
      </c>
      <c r="J222" s="153">
        <f t="shared" si="29"/>
        <v>4.6989556226502823E-3</v>
      </c>
      <c r="K222" s="31" t="s">
        <v>257</v>
      </c>
      <c r="L222" s="31">
        <v>3.206</v>
      </c>
      <c r="M222" s="31">
        <v>2877</v>
      </c>
      <c r="N222" s="155">
        <f t="shared" si="30"/>
        <v>34.504315476193</v>
      </c>
      <c r="O222" s="154">
        <f t="shared" ref="O222:O234" si="31">0.76*Q222</f>
        <v>39.418231757313258</v>
      </c>
      <c r="P222" s="154">
        <f t="shared" ref="P222:P234" si="32">0.92*Q222</f>
        <v>47.716806864116052</v>
      </c>
      <c r="Q222" s="154">
        <f t="shared" ref="Q222:Q234" si="33">2023*M222^(-0.46)</f>
        <v>51.866094417517445</v>
      </c>
      <c r="R222" s="154">
        <f t="shared" ref="R222:R234" si="34">1.14*Q222</f>
        <v>59.127347635969883</v>
      </c>
      <c r="S222" s="154">
        <f t="shared" ref="S222:S234" si="35">1.3*Q222</f>
        <v>67.425922742772684</v>
      </c>
      <c r="T222" s="29" t="str">
        <f t="shared" ref="T222:T234" si="36">IF(N222&lt;=O222,"A",IF((AND(N222&lt;=P222,N222&gt;O222)),"B",IF((AND(N222&lt;=Q222,N222&gt;P222)),"C",IF((AND(N222&lt;=R222,N222&gt;Q222)),"D","E"))))</f>
        <v>A</v>
      </c>
      <c r="U222" s="16">
        <f>((SUM($J$30:J222)*L222/(M222*SUM($G$30:G222))))*10^6</f>
        <v>38.384492808243529</v>
      </c>
    </row>
    <row r="223" spans="2:21" ht="15.75" x14ac:dyDescent="0.25">
      <c r="B223" s="13">
        <v>90</v>
      </c>
      <c r="C223" s="456"/>
      <c r="D223" s="456"/>
      <c r="E223" s="457"/>
      <c r="F223" s="54">
        <v>0.27569444444444502</v>
      </c>
      <c r="G223" s="15">
        <f>'Testing DF8 (3)'!N229</f>
        <v>0.1689152519150896</v>
      </c>
      <c r="H223" s="153">
        <f>'Testing DF8 (3)'!CA229</f>
        <v>6.7659474228792642E-4</v>
      </c>
      <c r="I223" s="16">
        <v>4.2000000000000006E-3</v>
      </c>
      <c r="J223" s="153">
        <f t="shared" si="29"/>
        <v>4.876594742287927E-3</v>
      </c>
      <c r="K223" s="31" t="s">
        <v>257</v>
      </c>
      <c r="L223" s="31">
        <v>3.206</v>
      </c>
      <c r="M223" s="31">
        <v>2877</v>
      </c>
      <c r="N223" s="155">
        <f t="shared" si="30"/>
        <v>32.171510858992121</v>
      </c>
      <c r="O223" s="154">
        <f t="shared" si="31"/>
        <v>39.418231757313258</v>
      </c>
      <c r="P223" s="154">
        <f t="shared" si="32"/>
        <v>47.716806864116052</v>
      </c>
      <c r="Q223" s="154">
        <f t="shared" si="33"/>
        <v>51.866094417517445</v>
      </c>
      <c r="R223" s="154">
        <f t="shared" si="34"/>
        <v>59.127347635969883</v>
      </c>
      <c r="S223" s="154">
        <f t="shared" si="35"/>
        <v>67.425922742772684</v>
      </c>
      <c r="T223" s="29" t="str">
        <f t="shared" si="36"/>
        <v>A</v>
      </c>
      <c r="U223" s="16">
        <f>((SUM($J$30:J223)*L223/(M223*SUM($G$30:G223))))*10^6</f>
        <v>38.37049714116295</v>
      </c>
    </row>
    <row r="224" spans="2:21" ht="15.75" x14ac:dyDescent="0.25">
      <c r="B224" s="13">
        <v>91</v>
      </c>
      <c r="C224" s="456"/>
      <c r="D224" s="456"/>
      <c r="E224" s="457">
        <v>0.27777777777777801</v>
      </c>
      <c r="F224" s="54">
        <v>0.27777777777777901</v>
      </c>
      <c r="G224" s="15">
        <f>'Testing DF8 (3)'!N230</f>
        <v>8.3182621510779584E-2</v>
      </c>
      <c r="H224" s="153">
        <f>'Testing DF8 (3)'!CA230</f>
        <v>8.9955247903405339E-5</v>
      </c>
      <c r="I224" s="16">
        <v>4.5999999999999999E-3</v>
      </c>
      <c r="J224" s="153">
        <f t="shared" si="29"/>
        <v>4.6899552479034053E-3</v>
      </c>
      <c r="K224" s="31" t="s">
        <v>257</v>
      </c>
      <c r="L224" s="31">
        <v>3.206</v>
      </c>
      <c r="M224" s="31">
        <v>2877</v>
      </c>
      <c r="N224" s="155">
        <f t="shared" si="30"/>
        <v>62.828942745607577</v>
      </c>
      <c r="O224" s="154">
        <f t="shared" si="31"/>
        <v>39.418231757313258</v>
      </c>
      <c r="P224" s="154">
        <f t="shared" si="32"/>
        <v>47.716806864116052</v>
      </c>
      <c r="Q224" s="154">
        <f t="shared" si="33"/>
        <v>51.866094417517445</v>
      </c>
      <c r="R224" s="154">
        <f t="shared" si="34"/>
        <v>59.127347635969883</v>
      </c>
      <c r="S224" s="154">
        <f t="shared" si="35"/>
        <v>67.425922742772684</v>
      </c>
      <c r="T224" s="29" t="str">
        <f t="shared" si="36"/>
        <v>E</v>
      </c>
      <c r="U224" s="16">
        <f>((SUM($J$30:J224)*L224/(M224*SUM($G$30:G224))))*10^6</f>
        <v>38.397599344378108</v>
      </c>
    </row>
    <row r="225" spans="2:21" ht="15.75" x14ac:dyDescent="0.25">
      <c r="B225" s="13">
        <v>92</v>
      </c>
      <c r="C225" s="456"/>
      <c r="D225" s="456"/>
      <c r="E225" s="457"/>
      <c r="F225" s="54">
        <v>0.279861111111112</v>
      </c>
      <c r="G225" s="15">
        <f>'Testing DF8 (3)'!N231</f>
        <v>9.2156288971243006E-2</v>
      </c>
      <c r="H225" s="153">
        <f>'Testing DF8 (3)'!CA231</f>
        <v>1.2047831468179289E-4</v>
      </c>
      <c r="I225" s="16">
        <v>4.5999999999999999E-3</v>
      </c>
      <c r="J225" s="153">
        <f t="shared" si="29"/>
        <v>4.720478314681793E-3</v>
      </c>
      <c r="K225" s="31" t="s">
        <v>257</v>
      </c>
      <c r="L225" s="31">
        <v>3.206</v>
      </c>
      <c r="M225" s="31">
        <v>2877</v>
      </c>
      <c r="N225" s="155">
        <f t="shared" si="30"/>
        <v>57.080094719382721</v>
      </c>
      <c r="O225" s="154">
        <f t="shared" si="31"/>
        <v>39.418231757313258</v>
      </c>
      <c r="P225" s="154">
        <f t="shared" si="32"/>
        <v>47.716806864116052</v>
      </c>
      <c r="Q225" s="154">
        <f t="shared" si="33"/>
        <v>51.866094417517445</v>
      </c>
      <c r="R225" s="154">
        <f t="shared" si="34"/>
        <v>59.127347635969883</v>
      </c>
      <c r="S225" s="154">
        <f t="shared" si="35"/>
        <v>67.425922742772684</v>
      </c>
      <c r="T225" s="29" t="str">
        <f t="shared" si="36"/>
        <v>D</v>
      </c>
      <c r="U225" s="16">
        <f>((SUM($J$30:J225)*L225/(M225*SUM($G$30:G225))))*10^6</f>
        <v>38.420506447756146</v>
      </c>
    </row>
    <row r="226" spans="2:21" ht="15.75" x14ac:dyDescent="0.25">
      <c r="B226" s="13">
        <v>93</v>
      </c>
      <c r="C226" s="456"/>
      <c r="D226" s="456"/>
      <c r="E226" s="457"/>
      <c r="F226" s="54">
        <v>0.281944444444445</v>
      </c>
      <c r="G226" s="15">
        <f>'Testing DF8 (3)'!N232</f>
        <v>0.14015234659020515</v>
      </c>
      <c r="H226" s="153">
        <f>'Testing DF8 (3)'!CA232</f>
        <v>3.9786917889472599E-4</v>
      </c>
      <c r="I226" s="16">
        <v>4.5999999999999999E-3</v>
      </c>
      <c r="J226" s="153">
        <f t="shared" si="29"/>
        <v>4.9978691788947257E-3</v>
      </c>
      <c r="K226" s="31" t="s">
        <v>257</v>
      </c>
      <c r="L226" s="31">
        <v>3.206</v>
      </c>
      <c r="M226" s="31">
        <v>2877</v>
      </c>
      <c r="N226" s="155">
        <f t="shared" si="30"/>
        <v>39.73819775103</v>
      </c>
      <c r="O226" s="154">
        <f t="shared" si="31"/>
        <v>39.418231757313258</v>
      </c>
      <c r="P226" s="154">
        <f t="shared" si="32"/>
        <v>47.716806864116052</v>
      </c>
      <c r="Q226" s="154">
        <f t="shared" si="33"/>
        <v>51.866094417517445</v>
      </c>
      <c r="R226" s="154">
        <f t="shared" si="34"/>
        <v>59.127347635969883</v>
      </c>
      <c r="S226" s="154">
        <f t="shared" si="35"/>
        <v>67.425922742772684</v>
      </c>
      <c r="T226" s="29" t="str">
        <f t="shared" si="36"/>
        <v>B</v>
      </c>
      <c r="U226" s="16">
        <f>((SUM($J$30:J226)*L226/(M226*SUM($G$30:G226))))*10^6</f>
        <v>38.422958983184152</v>
      </c>
    </row>
    <row r="227" spans="2:21" ht="15.75" x14ac:dyDescent="0.25">
      <c r="B227" s="13">
        <v>94</v>
      </c>
      <c r="C227" s="456"/>
      <c r="D227" s="456"/>
      <c r="E227" s="457"/>
      <c r="F227" s="54">
        <v>0.28402777777777899</v>
      </c>
      <c r="G227" s="15">
        <f>'Testing DF8 (3)'!N233</f>
        <v>0.13533900049595929</v>
      </c>
      <c r="H227" s="153">
        <f>'Testing DF8 (3)'!CA233</f>
        <v>3.6019049592884875E-4</v>
      </c>
      <c r="I227" s="16">
        <v>4.5999999999999999E-3</v>
      </c>
      <c r="J227" s="153">
        <f t="shared" si="29"/>
        <v>4.9601904959288489E-3</v>
      </c>
      <c r="K227" s="31" t="s">
        <v>257</v>
      </c>
      <c r="L227" s="31">
        <v>3.206</v>
      </c>
      <c r="M227" s="31">
        <v>2877</v>
      </c>
      <c r="N227" s="155">
        <f t="shared" si="30"/>
        <v>40.841252014210575</v>
      </c>
      <c r="O227" s="154">
        <f t="shared" si="31"/>
        <v>39.418231757313258</v>
      </c>
      <c r="P227" s="154">
        <f t="shared" si="32"/>
        <v>47.716806864116052</v>
      </c>
      <c r="Q227" s="154">
        <f t="shared" si="33"/>
        <v>51.866094417517445</v>
      </c>
      <c r="R227" s="154">
        <f t="shared" si="34"/>
        <v>59.127347635969883</v>
      </c>
      <c r="S227" s="154">
        <f t="shared" si="35"/>
        <v>67.425922742772684</v>
      </c>
      <c r="T227" s="29" t="str">
        <f t="shared" si="36"/>
        <v>B</v>
      </c>
      <c r="U227" s="16">
        <f>((SUM($J$30:J227)*L227/(M227*SUM($G$30:G227))))*10^6</f>
        <v>38.42729761965095</v>
      </c>
    </row>
    <row r="228" spans="2:21" ht="15.75" x14ac:dyDescent="0.25">
      <c r="B228" s="13">
        <v>95</v>
      </c>
      <c r="C228" s="456"/>
      <c r="D228" s="456"/>
      <c r="E228" s="457"/>
      <c r="F228" s="54">
        <v>0.28611111111111198</v>
      </c>
      <c r="G228" s="15">
        <f>'Testing DF8 (3)'!N234</f>
        <v>0.14801062619147989</v>
      </c>
      <c r="H228" s="153">
        <f>'Testing DF8 (3)'!CA234</f>
        <v>4.6469517812138076E-4</v>
      </c>
      <c r="I228" s="16">
        <v>4.5999999999999999E-3</v>
      </c>
      <c r="J228" s="153">
        <f t="shared" si="29"/>
        <v>5.0646951781213806E-3</v>
      </c>
      <c r="K228" s="31" t="s">
        <v>257</v>
      </c>
      <c r="L228" s="31">
        <v>3.206</v>
      </c>
      <c r="M228" s="31">
        <v>2877</v>
      </c>
      <c r="N228" s="155">
        <f t="shared" si="30"/>
        <v>38.131516034434362</v>
      </c>
      <c r="O228" s="154">
        <f t="shared" si="31"/>
        <v>39.418231757313258</v>
      </c>
      <c r="P228" s="154">
        <f t="shared" si="32"/>
        <v>47.716806864116052</v>
      </c>
      <c r="Q228" s="154">
        <f t="shared" si="33"/>
        <v>51.866094417517445</v>
      </c>
      <c r="R228" s="154">
        <f t="shared" si="34"/>
        <v>59.127347635969883</v>
      </c>
      <c r="S228" s="154">
        <f t="shared" si="35"/>
        <v>67.425922742772684</v>
      </c>
      <c r="T228" s="29" t="str">
        <f t="shared" si="36"/>
        <v>A</v>
      </c>
      <c r="U228" s="16">
        <f>((SUM($J$30:J228)*L228/(M228*SUM($G$30:G228))))*10^6</f>
        <v>38.426718412226137</v>
      </c>
    </row>
    <row r="229" spans="2:21" ht="15.75" x14ac:dyDescent="0.25">
      <c r="B229" s="13">
        <v>96</v>
      </c>
      <c r="C229" s="456"/>
      <c r="D229" s="456"/>
      <c r="E229" s="457">
        <v>0.28819444444444398</v>
      </c>
      <c r="F229" s="54">
        <v>0.28819444444444497</v>
      </c>
      <c r="G229" s="15">
        <f>'Testing DF8 (3)'!N235</f>
        <v>0.16802701797212177</v>
      </c>
      <c r="H229" s="153">
        <f>'Testing DF8 (3)'!CA235</f>
        <v>6.6653235463129553E-4</v>
      </c>
      <c r="I229" s="16">
        <v>5.4000000000000003E-3</v>
      </c>
      <c r="J229" s="153">
        <f t="shared" si="29"/>
        <v>6.066532354631296E-3</v>
      </c>
      <c r="K229" s="31" t="s">
        <v>257</v>
      </c>
      <c r="L229" s="31">
        <v>3.206</v>
      </c>
      <c r="M229" s="31">
        <v>2877</v>
      </c>
      <c r="N229" s="155">
        <f t="shared" si="30"/>
        <v>40.233244307213901</v>
      </c>
      <c r="O229" s="154">
        <f t="shared" si="31"/>
        <v>39.418231757313258</v>
      </c>
      <c r="P229" s="154">
        <f t="shared" si="32"/>
        <v>47.716806864116052</v>
      </c>
      <c r="Q229" s="154">
        <f t="shared" si="33"/>
        <v>51.866094417517445</v>
      </c>
      <c r="R229" s="154">
        <f t="shared" si="34"/>
        <v>59.127347635969883</v>
      </c>
      <c r="S229" s="154">
        <f t="shared" si="35"/>
        <v>67.425922742772684</v>
      </c>
      <c r="T229" s="29" t="str">
        <f t="shared" si="36"/>
        <v>B</v>
      </c>
      <c r="U229" s="16">
        <f>((SUM($J$30:J229)*L229/(M229*SUM($G$30:G229))))*10^6</f>
        <v>38.430725501484893</v>
      </c>
    </row>
    <row r="230" spans="2:21" ht="15.75" x14ac:dyDescent="0.25">
      <c r="B230" s="13">
        <v>97</v>
      </c>
      <c r="C230" s="456"/>
      <c r="D230" s="456"/>
      <c r="E230" s="457"/>
      <c r="F230" s="54">
        <v>0.29027777777777902</v>
      </c>
      <c r="G230" s="15">
        <f>'Testing DF8 (3)'!N236</f>
        <v>0.11153019234908608</v>
      </c>
      <c r="H230" s="153">
        <f>'Testing DF8 (3)'!CA236</f>
        <v>2.0756432369858116E-4</v>
      </c>
      <c r="I230" s="16">
        <v>5.4000000000000003E-3</v>
      </c>
      <c r="J230" s="153">
        <f t="shared" si="29"/>
        <v>5.6075643236985816E-3</v>
      </c>
      <c r="K230" s="31" t="s">
        <v>257</v>
      </c>
      <c r="L230" s="31">
        <v>3.206</v>
      </c>
      <c r="M230" s="31">
        <v>2877</v>
      </c>
      <c r="N230" s="155">
        <f t="shared" si="30"/>
        <v>56.028045020570389</v>
      </c>
      <c r="O230" s="154">
        <f t="shared" si="31"/>
        <v>39.418231757313258</v>
      </c>
      <c r="P230" s="154">
        <f t="shared" si="32"/>
        <v>47.716806864116052</v>
      </c>
      <c r="Q230" s="154">
        <f t="shared" si="33"/>
        <v>51.866094417517445</v>
      </c>
      <c r="R230" s="154">
        <f t="shared" si="34"/>
        <v>59.127347635969883</v>
      </c>
      <c r="S230" s="154">
        <f t="shared" si="35"/>
        <v>67.425922742772684</v>
      </c>
      <c r="T230" s="29" t="str">
        <f t="shared" si="36"/>
        <v>D</v>
      </c>
      <c r="U230" s="16">
        <f>((SUM($J$30:J230)*L230/(M230*SUM($G$30:G230))))*10^6</f>
        <v>38.456596055675369</v>
      </c>
    </row>
    <row r="231" spans="2:21" ht="15.75" x14ac:dyDescent="0.25">
      <c r="B231" s="13">
        <v>98</v>
      </c>
      <c r="C231" s="456"/>
      <c r="D231" s="456"/>
      <c r="E231" s="457"/>
      <c r="F231" s="54">
        <v>0.29236111111111202</v>
      </c>
      <c r="G231" s="15">
        <f>'Testing DF8 (3)'!N237</f>
        <v>9.6474040215860729E-2</v>
      </c>
      <c r="H231" s="153">
        <f>'Testing DF8 (3)'!CA237</f>
        <v>1.372810483815659E-4</v>
      </c>
      <c r="I231" s="16">
        <v>5.4000000000000003E-3</v>
      </c>
      <c r="J231" s="153">
        <f t="shared" si="29"/>
        <v>5.5372810483815659E-3</v>
      </c>
      <c r="K231" s="31" t="s">
        <v>257</v>
      </c>
      <c r="L231" s="31">
        <v>3.206</v>
      </c>
      <c r="M231" s="31">
        <v>2877</v>
      </c>
      <c r="N231" s="155">
        <f t="shared" si="30"/>
        <v>63.96019166160719</v>
      </c>
      <c r="O231" s="154">
        <f t="shared" si="31"/>
        <v>39.418231757313258</v>
      </c>
      <c r="P231" s="154">
        <f t="shared" si="32"/>
        <v>47.716806864116052</v>
      </c>
      <c r="Q231" s="154">
        <f t="shared" si="33"/>
        <v>51.866094417517445</v>
      </c>
      <c r="R231" s="154">
        <f t="shared" si="34"/>
        <v>59.127347635969883</v>
      </c>
      <c r="S231" s="154">
        <f t="shared" si="35"/>
        <v>67.425922742772684</v>
      </c>
      <c r="T231" s="29" t="str">
        <f t="shared" si="36"/>
        <v>E</v>
      </c>
      <c r="U231" s="16">
        <f>((SUM($J$30:J231)*L231/(M231*SUM($G$30:G231))))*10^6</f>
        <v>38.488987231187942</v>
      </c>
    </row>
    <row r="232" spans="2:21" ht="15.75" x14ac:dyDescent="0.25">
      <c r="B232" s="13">
        <v>99</v>
      </c>
      <c r="C232" s="456"/>
      <c r="D232" s="456"/>
      <c r="E232" s="457"/>
      <c r="F232" s="54">
        <v>0.29444444444444501</v>
      </c>
      <c r="G232" s="15">
        <f>'Testing DF8 (3)'!N238</f>
        <v>9.5672101196749113E-2</v>
      </c>
      <c r="H232" s="153">
        <f>'Testing DF8 (3)'!CA238</f>
        <v>1.340522776884476E-4</v>
      </c>
      <c r="I232" s="16">
        <v>5.4000000000000003E-3</v>
      </c>
      <c r="J232" s="153">
        <f t="shared" si="29"/>
        <v>5.534052277688448E-3</v>
      </c>
      <c r="K232" s="31" t="s">
        <v>257</v>
      </c>
      <c r="L232" s="31">
        <v>3.206</v>
      </c>
      <c r="M232" s="31">
        <v>2877</v>
      </c>
      <c r="N232" s="155">
        <f t="shared" si="30"/>
        <v>64.458708734553852</v>
      </c>
      <c r="O232" s="154">
        <f t="shared" si="31"/>
        <v>39.418231757313258</v>
      </c>
      <c r="P232" s="154">
        <f t="shared" si="32"/>
        <v>47.716806864116052</v>
      </c>
      <c r="Q232" s="154">
        <f t="shared" si="33"/>
        <v>51.866094417517445</v>
      </c>
      <c r="R232" s="154">
        <f t="shared" si="34"/>
        <v>59.127347635969883</v>
      </c>
      <c r="S232" s="154">
        <f t="shared" si="35"/>
        <v>67.425922742772684</v>
      </c>
      <c r="T232" s="29" t="str">
        <f t="shared" si="36"/>
        <v>E</v>
      </c>
      <c r="U232" s="16">
        <f>((SUM($J$30:J232)*L232/(M232*SUM($G$30:G232))))*10^6</f>
        <v>38.521655098402711</v>
      </c>
    </row>
    <row r="233" spans="2:21" ht="15.75" x14ac:dyDescent="0.25">
      <c r="B233" s="13">
        <v>100</v>
      </c>
      <c r="C233" s="456"/>
      <c r="D233" s="456"/>
      <c r="E233" s="457"/>
      <c r="F233" s="54">
        <v>0.296527777777779</v>
      </c>
      <c r="G233" s="15">
        <f>'Testing DF8 (3)'!N239</f>
        <v>0.11293115226010711</v>
      </c>
      <c r="H233" s="153">
        <f>'Testing DF8 (3)'!CA239</f>
        <v>2.1508151810848249E-4</v>
      </c>
      <c r="I233" s="16">
        <v>5.4000000000000003E-3</v>
      </c>
      <c r="J233" s="153">
        <f t="shared" si="29"/>
        <v>5.6150815181084824E-3</v>
      </c>
      <c r="K233" s="31" t="s">
        <v>257</v>
      </c>
      <c r="L233" s="31">
        <v>3.206</v>
      </c>
      <c r="M233" s="31">
        <v>2877</v>
      </c>
      <c r="N233" s="155">
        <f t="shared" si="30"/>
        <v>55.407169215717097</v>
      </c>
      <c r="O233" s="154">
        <f t="shared" si="31"/>
        <v>39.418231757313258</v>
      </c>
      <c r="P233" s="154">
        <f t="shared" si="32"/>
        <v>47.716806864116052</v>
      </c>
      <c r="Q233" s="154">
        <f t="shared" si="33"/>
        <v>51.866094417517445</v>
      </c>
      <c r="R233" s="154">
        <f t="shared" si="34"/>
        <v>59.127347635969883</v>
      </c>
      <c r="S233" s="154">
        <f t="shared" si="35"/>
        <v>67.425922742772684</v>
      </c>
      <c r="T233" s="29" t="str">
        <f t="shared" si="36"/>
        <v>D</v>
      </c>
      <c r="U233" s="16">
        <f>((SUM($J$30:J233)*L233/(M233*SUM($G$30:G233))))*10^6</f>
        <v>38.54669034316651</v>
      </c>
    </row>
    <row r="234" spans="2:21" ht="15.75" x14ac:dyDescent="0.25">
      <c r="B234" s="13">
        <v>101</v>
      </c>
      <c r="C234" s="456"/>
      <c r="D234" s="456"/>
      <c r="E234" s="54">
        <v>0.29861111111111099</v>
      </c>
      <c r="F234" s="54">
        <v>0.29861111111111199</v>
      </c>
      <c r="G234" s="15">
        <f>'Testing DF8 (3)'!N240</f>
        <v>8.975291806265881E-2</v>
      </c>
      <c r="H234" s="153">
        <f>'Testing DF8 (3)'!CA240</f>
        <v>8.532394549334522E-5</v>
      </c>
      <c r="I234" s="16">
        <v>5.4000000000000003E-3</v>
      </c>
      <c r="J234" s="153">
        <f t="shared" si="29"/>
        <v>5.4853239454933454E-3</v>
      </c>
      <c r="K234" s="31" t="s">
        <v>257</v>
      </c>
      <c r="L234" s="31">
        <v>3.206</v>
      </c>
      <c r="M234" s="31">
        <v>2877</v>
      </c>
      <c r="N234" s="155">
        <f t="shared" si="30"/>
        <v>68.104743167349028</v>
      </c>
      <c r="O234" s="154">
        <f t="shared" si="31"/>
        <v>39.418231757313258</v>
      </c>
      <c r="P234" s="154">
        <f t="shared" si="32"/>
        <v>47.716806864116052</v>
      </c>
      <c r="Q234" s="154">
        <f t="shared" si="33"/>
        <v>51.866094417517445</v>
      </c>
      <c r="R234" s="154">
        <f t="shared" si="34"/>
        <v>59.127347635969883</v>
      </c>
      <c r="S234" s="154">
        <f t="shared" si="35"/>
        <v>67.425922742772684</v>
      </c>
      <c r="T234" s="29" t="str">
        <f t="shared" si="36"/>
        <v>E</v>
      </c>
      <c r="U234" s="16">
        <f>((SUM($J$30:J234)*L234/(M234*SUM($G$30:G234))))*10^6</f>
        <v>38.581478926610892</v>
      </c>
    </row>
    <row r="235" spans="2:21" ht="15.75" x14ac:dyDescent="0.25">
      <c r="B235" s="13">
        <v>22</v>
      </c>
      <c r="C235" s="456"/>
      <c r="D235" s="45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 spans="2:21" ht="15.75" x14ac:dyDescent="0.25">
      <c r="B236" s="13">
        <v>23</v>
      </c>
      <c r="C236" s="456"/>
      <c r="D236" s="45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 spans="2:21" ht="15.75" x14ac:dyDescent="0.25">
      <c r="B237" s="13">
        <v>24</v>
      </c>
      <c r="C237" s="456"/>
      <c r="D237" s="45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 spans="2:21" ht="15.75" x14ac:dyDescent="0.25">
      <c r="B238" s="13">
        <v>25</v>
      </c>
      <c r="C238" s="456"/>
      <c r="D238" s="45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 spans="2:21" ht="15.75" x14ac:dyDescent="0.25">
      <c r="B239" s="13">
        <v>26</v>
      </c>
      <c r="C239" s="456"/>
      <c r="D239" s="45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</sheetData>
  <mergeCells count="62">
    <mergeCell ref="U28:U29"/>
    <mergeCell ref="C134:C239"/>
    <mergeCell ref="C30:C130"/>
    <mergeCell ref="D30:D130"/>
    <mergeCell ref="E219:E223"/>
    <mergeCell ref="E224:E228"/>
    <mergeCell ref="E229:E233"/>
    <mergeCell ref="E134:E138"/>
    <mergeCell ref="E139:E143"/>
    <mergeCell ref="E84:E88"/>
    <mergeCell ref="E89:E93"/>
    <mergeCell ref="E94:E98"/>
    <mergeCell ref="E99:E103"/>
    <mergeCell ref="E104:E108"/>
    <mergeCell ref="E109:E113"/>
    <mergeCell ref="E114:E118"/>
    <mergeCell ref="B28:B29"/>
    <mergeCell ref="E28:F28"/>
    <mergeCell ref="C28:C29"/>
    <mergeCell ref="D28:D29"/>
    <mergeCell ref="H28:H29"/>
    <mergeCell ref="E119:E123"/>
    <mergeCell ref="E124:E128"/>
    <mergeCell ref="E129:E133"/>
    <mergeCell ref="E32:E36"/>
    <mergeCell ref="E214:E218"/>
    <mergeCell ref="E184:E188"/>
    <mergeCell ref="E154:E158"/>
    <mergeCell ref="D134:D239"/>
    <mergeCell ref="E164:E168"/>
    <mergeCell ref="E149:E153"/>
    <mergeCell ref="E159:E163"/>
    <mergeCell ref="E144:E148"/>
    <mergeCell ref="E189:E193"/>
    <mergeCell ref="E194:E198"/>
    <mergeCell ref="E199:E203"/>
    <mergeCell ref="E204:E208"/>
    <mergeCell ref="E209:E213"/>
    <mergeCell ref="E169:E173"/>
    <mergeCell ref="E174:E178"/>
    <mergeCell ref="E179:E183"/>
    <mergeCell ref="I28:I29"/>
    <mergeCell ref="K28:K29"/>
    <mergeCell ref="L28:L29"/>
    <mergeCell ref="M28:M29"/>
    <mergeCell ref="N28:N29"/>
    <mergeCell ref="T28:T29"/>
    <mergeCell ref="E64:E68"/>
    <mergeCell ref="E69:E73"/>
    <mergeCell ref="E74:E78"/>
    <mergeCell ref="E79:E83"/>
    <mergeCell ref="E37:E41"/>
    <mergeCell ref="E42:E46"/>
    <mergeCell ref="E47:E53"/>
    <mergeCell ref="E54:E58"/>
    <mergeCell ref="E59:E63"/>
    <mergeCell ref="Q28:Q29"/>
    <mergeCell ref="J28:J29"/>
    <mergeCell ref="P28:P29"/>
    <mergeCell ref="R28:R29"/>
    <mergeCell ref="S28:S29"/>
    <mergeCell ref="O28:O2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73C-BB58-4EF0-BAB0-BC9F42A49281}">
  <dimension ref="B2:X245"/>
  <sheetViews>
    <sheetView topLeftCell="N102" zoomScale="55" zoomScaleNormal="55" workbookViewId="0">
      <selection activeCell="X114" sqref="X114"/>
    </sheetView>
  </sheetViews>
  <sheetFormatPr defaultRowHeight="15" x14ac:dyDescent="0.25"/>
  <cols>
    <col min="5" max="5" width="12.42578125" customWidth="1"/>
    <col min="6" max="6" width="12.28515625" customWidth="1"/>
    <col min="7" max="7" width="14.85546875" customWidth="1"/>
    <col min="8" max="8" width="17.42578125" customWidth="1"/>
    <col min="9" max="9" width="18.140625" customWidth="1"/>
    <col min="10" max="10" width="17.7109375" customWidth="1"/>
    <col min="11" max="11" width="15.28515625" customWidth="1"/>
    <col min="12" max="14" width="17" customWidth="1"/>
    <col min="15" max="18" width="18" customWidth="1"/>
    <col min="19" max="19" width="17.7109375" customWidth="1"/>
    <col min="20" max="22" width="17.85546875" customWidth="1"/>
  </cols>
  <sheetData>
    <row r="2" spans="12:13" x14ac:dyDescent="0.25">
      <c r="L2" s="31">
        <v>0</v>
      </c>
    </row>
    <row r="3" spans="12:13" x14ac:dyDescent="0.25">
      <c r="L3" s="31">
        <v>15</v>
      </c>
      <c r="M3" s="250">
        <f>L3/7/1000</f>
        <v>2.142857142857143E-3</v>
      </c>
    </row>
    <row r="4" spans="12:13" x14ac:dyDescent="0.25">
      <c r="L4" s="31">
        <v>15</v>
      </c>
      <c r="M4" s="250">
        <f t="shared" ref="M4:M19" si="0">L4/7/1000</f>
        <v>2.142857142857143E-3</v>
      </c>
    </row>
    <row r="5" spans="12:13" x14ac:dyDescent="0.25">
      <c r="L5" s="31">
        <v>15</v>
      </c>
      <c r="M5" s="250">
        <f t="shared" si="0"/>
        <v>2.142857142857143E-3</v>
      </c>
    </row>
    <row r="6" spans="12:13" x14ac:dyDescent="0.25">
      <c r="L6" s="31">
        <v>15</v>
      </c>
      <c r="M6" s="250">
        <f t="shared" si="0"/>
        <v>2.142857142857143E-3</v>
      </c>
    </row>
    <row r="7" spans="12:13" x14ac:dyDescent="0.25">
      <c r="L7" s="31">
        <v>15</v>
      </c>
      <c r="M7" s="250">
        <f t="shared" si="0"/>
        <v>2.142857142857143E-3</v>
      </c>
    </row>
    <row r="8" spans="12:13" x14ac:dyDescent="0.25">
      <c r="L8" s="31">
        <v>15</v>
      </c>
      <c r="M8" s="250">
        <f t="shared" si="0"/>
        <v>2.142857142857143E-3</v>
      </c>
    </row>
    <row r="9" spans="12:13" x14ac:dyDescent="0.25">
      <c r="L9" s="31">
        <v>15</v>
      </c>
      <c r="M9" s="250">
        <f t="shared" si="0"/>
        <v>2.142857142857143E-3</v>
      </c>
    </row>
    <row r="10" spans="12:13" x14ac:dyDescent="0.25">
      <c r="L10" s="31">
        <v>15</v>
      </c>
      <c r="M10" s="250">
        <f t="shared" si="0"/>
        <v>2.142857142857143E-3</v>
      </c>
    </row>
    <row r="11" spans="12:13" x14ac:dyDescent="0.25">
      <c r="L11" s="31">
        <v>15</v>
      </c>
      <c r="M11" s="250">
        <f t="shared" si="0"/>
        <v>2.142857142857143E-3</v>
      </c>
    </row>
    <row r="12" spans="12:13" x14ac:dyDescent="0.25">
      <c r="L12" s="31">
        <v>15</v>
      </c>
      <c r="M12" s="250">
        <f t="shared" si="0"/>
        <v>2.142857142857143E-3</v>
      </c>
    </row>
    <row r="13" spans="12:13" x14ac:dyDescent="0.25">
      <c r="L13" s="31">
        <v>15</v>
      </c>
      <c r="M13" s="250">
        <f t="shared" si="0"/>
        <v>2.142857142857143E-3</v>
      </c>
    </row>
    <row r="14" spans="12:13" x14ac:dyDescent="0.25">
      <c r="L14" s="31">
        <v>15</v>
      </c>
      <c r="M14" s="250">
        <f t="shared" si="0"/>
        <v>2.142857142857143E-3</v>
      </c>
    </row>
    <row r="15" spans="12:13" x14ac:dyDescent="0.25">
      <c r="L15" s="31">
        <v>20</v>
      </c>
      <c r="M15" s="250">
        <f t="shared" si="0"/>
        <v>2.8571428571428571E-3</v>
      </c>
    </row>
    <row r="16" spans="12:13" x14ac:dyDescent="0.25">
      <c r="L16" s="31">
        <v>30</v>
      </c>
      <c r="M16" s="250">
        <f t="shared" si="0"/>
        <v>4.2857142857142859E-3</v>
      </c>
    </row>
    <row r="17" spans="2:21" x14ac:dyDescent="0.25">
      <c r="L17" s="31">
        <v>30</v>
      </c>
      <c r="M17" s="250">
        <f t="shared" si="0"/>
        <v>4.2857142857142859E-3</v>
      </c>
    </row>
    <row r="18" spans="2:21" x14ac:dyDescent="0.25">
      <c r="L18" s="31">
        <v>30</v>
      </c>
      <c r="M18" s="250">
        <f t="shared" si="0"/>
        <v>4.2857142857142859E-3</v>
      </c>
    </row>
    <row r="19" spans="2:21" x14ac:dyDescent="0.25">
      <c r="L19" s="31">
        <v>30</v>
      </c>
      <c r="M19" s="250">
        <f t="shared" si="0"/>
        <v>4.2857142857142859E-3</v>
      </c>
    </row>
    <row r="28" spans="2:21" ht="15" customHeight="1" x14ac:dyDescent="0.25">
      <c r="B28" s="272" t="s">
        <v>52</v>
      </c>
      <c r="C28" s="272" t="s">
        <v>53</v>
      </c>
      <c r="D28" s="272" t="s">
        <v>54</v>
      </c>
      <c r="E28" s="459" t="s">
        <v>152</v>
      </c>
      <c r="F28" s="459"/>
      <c r="G28" s="140" t="s">
        <v>255</v>
      </c>
      <c r="H28" s="455" t="s">
        <v>250</v>
      </c>
      <c r="I28" s="455" t="s">
        <v>251</v>
      </c>
      <c r="J28" s="455" t="s">
        <v>252</v>
      </c>
      <c r="K28" s="455" t="s">
        <v>253</v>
      </c>
      <c r="L28" s="455" t="s">
        <v>254</v>
      </c>
      <c r="M28" s="455" t="s">
        <v>258</v>
      </c>
      <c r="N28" s="455" t="s">
        <v>259</v>
      </c>
      <c r="O28" s="455" t="s">
        <v>260</v>
      </c>
      <c r="P28" s="455" t="s">
        <v>261</v>
      </c>
      <c r="Q28" s="455" t="s">
        <v>262</v>
      </c>
      <c r="R28" s="455" t="s">
        <v>263</v>
      </c>
      <c r="S28" s="455" t="s">
        <v>264</v>
      </c>
      <c r="T28" s="455" t="s">
        <v>265</v>
      </c>
    </row>
    <row r="29" spans="2:21" ht="15.75" x14ac:dyDescent="0.25">
      <c r="B29" s="272"/>
      <c r="C29" s="272"/>
      <c r="D29" s="272"/>
      <c r="E29" s="140"/>
      <c r="F29" s="140"/>
      <c r="G29" s="140" t="s">
        <v>256</v>
      </c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</row>
    <row r="30" spans="2:21" ht="15" customHeight="1" x14ac:dyDescent="0.25">
      <c r="B30" s="13">
        <v>1</v>
      </c>
      <c r="C30" s="456" t="s">
        <v>81</v>
      </c>
      <c r="D30" s="456" t="s">
        <v>82</v>
      </c>
      <c r="E30" s="54">
        <v>0.57291666666666663</v>
      </c>
      <c r="F30" s="54">
        <v>0.57291666666666663</v>
      </c>
      <c r="G30" s="21">
        <v>0.01</v>
      </c>
      <c r="H30" s="153">
        <f>'Testing DK9 (3)'!BW31</f>
        <v>0</v>
      </c>
      <c r="I30" s="31">
        <v>0</v>
      </c>
      <c r="J30" s="153">
        <f>H30+I30</f>
        <v>0</v>
      </c>
      <c r="K30" s="31" t="s">
        <v>257</v>
      </c>
      <c r="L30" s="31">
        <v>3.206</v>
      </c>
      <c r="M30" s="31">
        <v>2624</v>
      </c>
      <c r="N30" s="31">
        <f>((J30*L30)/(M30*G30))*10^6</f>
        <v>0</v>
      </c>
      <c r="O30" s="154">
        <f>2023*M30^(-0.46)</f>
        <v>54.109375383936559</v>
      </c>
      <c r="P30" s="154">
        <f>0.76*O30</f>
        <v>41.123125291791787</v>
      </c>
      <c r="Q30" s="154">
        <f>0.92*O30</f>
        <v>49.780625353221637</v>
      </c>
      <c r="R30" s="154">
        <f>1.14*O30</f>
        <v>61.68468793768767</v>
      </c>
      <c r="S30" s="154">
        <f>1.3*O30</f>
        <v>70.342187999117527</v>
      </c>
      <c r="T30" s="29" t="str">
        <f>IF(N30&lt;=P30,"A",IF((AND(N30&lt;=Q30,N30&gt;P30)),"B",IF((AND(N30&lt;=O30,N30&gt;Q30)),"C",IF((AND(N30&lt;=R30,N30&gt;O30)),"D","E"))))</f>
        <v>A</v>
      </c>
      <c r="U30">
        <f>((SUM($J$30:J30)*L30/(M30*SUM($G$30:G30))))*10^6</f>
        <v>0</v>
      </c>
    </row>
    <row r="31" spans="2:21" ht="15.75" x14ac:dyDescent="0.25">
      <c r="B31" s="13">
        <v>2</v>
      </c>
      <c r="C31" s="456"/>
      <c r="D31" s="456"/>
      <c r="E31" s="457">
        <v>0.57638888888888895</v>
      </c>
      <c r="F31" s="54">
        <v>0.57638888888888895</v>
      </c>
      <c r="G31" s="21">
        <v>0.01</v>
      </c>
      <c r="H31" s="153">
        <v>0</v>
      </c>
      <c r="I31" s="153">
        <v>2.142857142857143E-3</v>
      </c>
      <c r="J31" s="153">
        <f t="shared" ref="J31:J94" si="1">H31+I31</f>
        <v>2.142857142857143E-3</v>
      </c>
      <c r="K31" s="31" t="s">
        <v>257</v>
      </c>
      <c r="L31" s="31">
        <v>3.206</v>
      </c>
      <c r="M31" s="31">
        <v>2624</v>
      </c>
      <c r="N31" s="31">
        <f t="shared" ref="N31:N94" si="2">((J31*L31)/(M31*G31))*10^6</f>
        <v>261.8140243902439</v>
      </c>
      <c r="O31" s="154">
        <f t="shared" ref="O31:O94" si="3">2023*M31^(-0.46)</f>
        <v>54.109375383936559</v>
      </c>
      <c r="P31" s="154">
        <f t="shared" ref="P31:P94" si="4">0.76*O31</f>
        <v>41.123125291791787</v>
      </c>
      <c r="Q31" s="154">
        <f t="shared" ref="Q31:Q94" si="5">0.92*O31</f>
        <v>49.780625353221637</v>
      </c>
      <c r="R31" s="154">
        <f t="shared" ref="R31:R94" si="6">1.14*O31</f>
        <v>61.68468793768767</v>
      </c>
      <c r="S31" s="154">
        <f t="shared" ref="S31:S94" si="7">1.3*O31</f>
        <v>70.342187999117527</v>
      </c>
      <c r="T31" s="29" t="str">
        <f t="shared" ref="T31:T94" si="8">IF(N31&lt;=P31,"A",IF((AND(N31&lt;=Q31,N31&gt;P31)),"B",IF((AND(N31&lt;=O31,N31&gt;Q31)),"C",IF((AND(N31&lt;=R31,N31&gt;O31)),"D","E"))))</f>
        <v>E</v>
      </c>
      <c r="U31">
        <f>((SUM($J$30:J31)*L31/(M31*SUM($G$30:G31))))*10^6</f>
        <v>130.90701219512195</v>
      </c>
    </row>
    <row r="32" spans="2:21" ht="15.75" x14ac:dyDescent="0.25">
      <c r="B32" s="13">
        <v>3</v>
      </c>
      <c r="C32" s="456"/>
      <c r="D32" s="456"/>
      <c r="E32" s="457"/>
      <c r="F32" s="54">
        <v>0.57847222222222217</v>
      </c>
      <c r="G32" s="21">
        <f>'Testing DK9 (3)'!N33</f>
        <v>1.7623786824996667E-2</v>
      </c>
      <c r="H32" s="153">
        <f>'Testing DK9 (3)'!BW33</f>
        <v>1.1219148804579903E-6</v>
      </c>
      <c r="I32" s="153">
        <v>2.142857142857143E-3</v>
      </c>
      <c r="J32" s="153">
        <f t="shared" si="1"/>
        <v>2.143979057737601E-3</v>
      </c>
      <c r="K32" s="31" t="s">
        <v>257</v>
      </c>
      <c r="L32" s="31">
        <v>3.206</v>
      </c>
      <c r="M32" s="31">
        <v>2624</v>
      </c>
      <c r="N32" s="154">
        <f t="shared" si="2"/>
        <v>148.63496841778721</v>
      </c>
      <c r="O32" s="154">
        <f t="shared" si="3"/>
        <v>54.109375383936559</v>
      </c>
      <c r="P32" s="154">
        <f t="shared" si="4"/>
        <v>41.123125291791787</v>
      </c>
      <c r="Q32" s="154">
        <f t="shared" si="5"/>
        <v>49.780625353221637</v>
      </c>
      <c r="R32" s="154">
        <f t="shared" si="6"/>
        <v>61.68468793768767</v>
      </c>
      <c r="S32" s="154">
        <f t="shared" si="7"/>
        <v>70.342187999117527</v>
      </c>
      <c r="T32" s="29" t="str">
        <f t="shared" si="8"/>
        <v>E</v>
      </c>
      <c r="U32">
        <f>((SUM($J$30:J32)*L32/(M32*SUM($G$30:G32))))*10^6</f>
        <v>139.21116623374598</v>
      </c>
    </row>
    <row r="33" spans="2:21" ht="15.75" x14ac:dyDescent="0.25">
      <c r="B33" s="13">
        <v>4</v>
      </c>
      <c r="C33" s="456"/>
      <c r="D33" s="456"/>
      <c r="E33" s="457"/>
      <c r="F33" s="54">
        <v>0.58055555555555505</v>
      </c>
      <c r="G33" s="21">
        <f>'Testing DK9 (3)'!N34</f>
        <v>1.7410460988558311E-2</v>
      </c>
      <c r="H33" s="153">
        <f>'Testing DK9 (3)'!BW34</f>
        <v>1.0837581636025935E-6</v>
      </c>
      <c r="I33" s="153">
        <v>2.142857142857143E-3</v>
      </c>
      <c r="J33" s="153">
        <f t="shared" si="1"/>
        <v>2.1439409010207454E-3</v>
      </c>
      <c r="K33" s="31" t="s">
        <v>257</v>
      </c>
      <c r="L33" s="31">
        <v>3.206</v>
      </c>
      <c r="M33" s="31">
        <v>2624</v>
      </c>
      <c r="N33" s="154">
        <f t="shared" si="2"/>
        <v>150.45347621906819</v>
      </c>
      <c r="O33" s="154">
        <f t="shared" si="3"/>
        <v>54.109375383936559</v>
      </c>
      <c r="P33" s="154">
        <f t="shared" si="4"/>
        <v>41.123125291791787</v>
      </c>
      <c r="Q33" s="154">
        <f t="shared" si="5"/>
        <v>49.780625353221637</v>
      </c>
      <c r="R33" s="154">
        <f t="shared" si="6"/>
        <v>61.68468793768767</v>
      </c>
      <c r="S33" s="154">
        <f t="shared" si="7"/>
        <v>70.342187999117527</v>
      </c>
      <c r="T33" s="29" t="str">
        <f t="shared" si="8"/>
        <v>E</v>
      </c>
      <c r="U33">
        <f>((SUM($J$30:J33)*L33/(M33*SUM($G$30:G33))))*10^6</f>
        <v>142.7677479478059</v>
      </c>
    </row>
    <row r="34" spans="2:21" ht="15.75" x14ac:dyDescent="0.25">
      <c r="B34" s="13">
        <v>5</v>
      </c>
      <c r="C34" s="456"/>
      <c r="D34" s="456"/>
      <c r="E34" s="457"/>
      <c r="F34" s="54">
        <v>0.58263888888888904</v>
      </c>
      <c r="G34" s="21">
        <f>'Testing DK9 (3)'!N35</f>
        <v>3.2551695907814898E-2</v>
      </c>
      <c r="H34" s="153">
        <f>'Testing DK9 (3)'!BW35</f>
        <v>6.4261257433793955E-6</v>
      </c>
      <c r="I34" s="153">
        <v>2.142857142857143E-3</v>
      </c>
      <c r="J34" s="153">
        <f t="shared" si="1"/>
        <v>2.1492832686005226E-3</v>
      </c>
      <c r="K34" s="31" t="s">
        <v>257</v>
      </c>
      <c r="L34" s="31">
        <v>3.206</v>
      </c>
      <c r="M34" s="31">
        <v>2624</v>
      </c>
      <c r="N34" s="154">
        <f t="shared" si="2"/>
        <v>80.671424430102348</v>
      </c>
      <c r="O34" s="154">
        <f t="shared" si="3"/>
        <v>54.109375383936559</v>
      </c>
      <c r="P34" s="154">
        <f t="shared" si="4"/>
        <v>41.123125291791787</v>
      </c>
      <c r="Q34" s="154">
        <f t="shared" si="5"/>
        <v>49.780625353221637</v>
      </c>
      <c r="R34" s="154">
        <f t="shared" si="6"/>
        <v>61.68468793768767</v>
      </c>
      <c r="S34" s="154">
        <f t="shared" si="7"/>
        <v>70.342187999117527</v>
      </c>
      <c r="T34" s="29" t="str">
        <f t="shared" si="8"/>
        <v>E</v>
      </c>
      <c r="U34">
        <f>((SUM($J$30:J34)*L34/(M34*SUM($G$30:G34))))*10^6</f>
        <v>119.68937995565514</v>
      </c>
    </row>
    <row r="35" spans="2:21" ht="15.75" x14ac:dyDescent="0.25">
      <c r="B35" s="13">
        <v>6</v>
      </c>
      <c r="C35" s="456"/>
      <c r="D35" s="456"/>
      <c r="E35" s="457"/>
      <c r="F35" s="54">
        <v>0.58472222222222203</v>
      </c>
      <c r="G35" s="21">
        <f>'Testing DK9 (3)'!N36</f>
        <v>0.36190351229870599</v>
      </c>
      <c r="H35" s="153">
        <f>'Testing DK9 (3)'!BW36</f>
        <v>5.9394901502929712E-3</v>
      </c>
      <c r="I35" s="153">
        <v>2.142857142857143E-3</v>
      </c>
      <c r="J35" s="153">
        <f t="shared" si="1"/>
        <v>8.0823472931501137E-3</v>
      </c>
      <c r="K35" s="31" t="s">
        <v>257</v>
      </c>
      <c r="L35" s="31">
        <v>3.206</v>
      </c>
      <c r="M35" s="31">
        <v>2624</v>
      </c>
      <c r="N35" s="154">
        <f t="shared" si="2"/>
        <v>27.286284135587895</v>
      </c>
      <c r="O35" s="154">
        <f t="shared" si="3"/>
        <v>54.109375383936559</v>
      </c>
      <c r="P35" s="154">
        <f t="shared" si="4"/>
        <v>41.123125291791787</v>
      </c>
      <c r="Q35" s="154">
        <f t="shared" si="5"/>
        <v>49.780625353221637</v>
      </c>
      <c r="R35" s="154">
        <f t="shared" si="6"/>
        <v>61.68468793768767</v>
      </c>
      <c r="S35" s="154">
        <f t="shared" si="7"/>
        <v>70.342187999117527</v>
      </c>
      <c r="T35" s="29" t="str">
        <f t="shared" si="8"/>
        <v>A</v>
      </c>
      <c r="U35">
        <f>((SUM($J$30:J35)*L35/(M35*SUM($G$30:G35))))*10^6</f>
        <v>45.291628291681484</v>
      </c>
    </row>
    <row r="36" spans="2:21" ht="15.75" x14ac:dyDescent="0.25">
      <c r="B36" s="13">
        <v>7</v>
      </c>
      <c r="C36" s="456"/>
      <c r="D36" s="456"/>
      <c r="E36" s="457"/>
      <c r="F36" s="54">
        <v>0.58680555555555503</v>
      </c>
      <c r="G36" s="21">
        <f>'Testing DK9 (3)'!N37</f>
        <v>0.41008115494419473</v>
      </c>
      <c r="H36" s="153">
        <f>'Testing DK9 (3)'!BW37</f>
        <v>8.5625410715030464E-3</v>
      </c>
      <c r="I36" s="153">
        <v>2.142857142857143E-3</v>
      </c>
      <c r="J36" s="153">
        <f t="shared" si="1"/>
        <v>1.0705398214360189E-2</v>
      </c>
      <c r="K36" s="31" t="s">
        <v>257</v>
      </c>
      <c r="L36" s="31">
        <v>3.206</v>
      </c>
      <c r="M36" s="31">
        <v>2624</v>
      </c>
      <c r="N36" s="154">
        <f t="shared" si="2"/>
        <v>31.895741428843646</v>
      </c>
      <c r="O36" s="154">
        <f t="shared" si="3"/>
        <v>54.109375383936559</v>
      </c>
      <c r="P36" s="154">
        <f t="shared" si="4"/>
        <v>41.123125291791787</v>
      </c>
      <c r="Q36" s="154">
        <f t="shared" si="5"/>
        <v>49.780625353221637</v>
      </c>
      <c r="R36" s="154">
        <f t="shared" si="6"/>
        <v>61.68468793768767</v>
      </c>
      <c r="S36" s="154">
        <f t="shared" si="7"/>
        <v>70.342187999117527</v>
      </c>
      <c r="T36" s="29" t="str">
        <f t="shared" si="8"/>
        <v>A</v>
      </c>
      <c r="U36">
        <f>((SUM($J$30:J36)*L36/(M36*SUM($G$30:G36))))*10^6</f>
        <v>38.900762100884457</v>
      </c>
    </row>
    <row r="37" spans="2:21" ht="15.75" x14ac:dyDescent="0.25">
      <c r="B37" s="13">
        <v>8</v>
      </c>
      <c r="C37" s="456"/>
      <c r="D37" s="456"/>
      <c r="E37" s="457"/>
      <c r="F37" s="54">
        <v>0.58888888888888802</v>
      </c>
      <c r="G37" s="21">
        <f>'Testing DK9 (3)'!N38</f>
        <v>0.40785881061070867</v>
      </c>
      <c r="H37" s="153">
        <f>'Testing DK9 (3)'!BW38</f>
        <v>8.4239011416588298E-3</v>
      </c>
      <c r="I37" s="153">
        <v>2.142857142857143E-3</v>
      </c>
      <c r="J37" s="153">
        <f t="shared" si="1"/>
        <v>1.0566758284515972E-2</v>
      </c>
      <c r="K37" s="31" t="s">
        <v>257</v>
      </c>
      <c r="L37" s="31">
        <v>3.206</v>
      </c>
      <c r="M37" s="31">
        <v>2624</v>
      </c>
      <c r="N37" s="154">
        <f t="shared" si="2"/>
        <v>31.654219670771656</v>
      </c>
      <c r="O37" s="154">
        <f t="shared" si="3"/>
        <v>54.109375383936559</v>
      </c>
      <c r="P37" s="154">
        <f t="shared" si="4"/>
        <v>41.123125291791787</v>
      </c>
      <c r="Q37" s="154">
        <f t="shared" si="5"/>
        <v>49.780625353221637</v>
      </c>
      <c r="R37" s="154">
        <f t="shared" si="6"/>
        <v>61.68468793768767</v>
      </c>
      <c r="S37" s="154">
        <f t="shared" si="7"/>
        <v>70.342187999117527</v>
      </c>
      <c r="T37" s="29" t="str">
        <f t="shared" si="8"/>
        <v>A</v>
      </c>
      <c r="U37">
        <f>((SUM($J$30:J37)*L37/(M37*SUM($G$30:G37))))*10^6</f>
        <v>36.568824616812883</v>
      </c>
    </row>
    <row r="38" spans="2:21" ht="15.75" x14ac:dyDescent="0.25">
      <c r="B38" s="13">
        <v>9</v>
      </c>
      <c r="C38" s="456"/>
      <c r="D38" s="456"/>
      <c r="E38" s="457">
        <v>0.59027777777777779</v>
      </c>
      <c r="F38" s="54">
        <v>0.59027777777777779</v>
      </c>
      <c r="G38" s="21">
        <f>'Testing DK9 (3)'!N39</f>
        <v>0.18775696896467522</v>
      </c>
      <c r="H38" s="153">
        <f>'Testing DK9 (3)'!BW39</f>
        <v>1.9523893912256577E-3</v>
      </c>
      <c r="I38" s="153">
        <v>2.1428571428571399E-3</v>
      </c>
      <c r="J38" s="153">
        <f t="shared" si="1"/>
        <v>4.0952465340827974E-3</v>
      </c>
      <c r="K38" s="31" t="s">
        <v>257</v>
      </c>
      <c r="L38" s="31">
        <v>3.206</v>
      </c>
      <c r="M38" s="31">
        <v>2624</v>
      </c>
      <c r="N38" s="154">
        <f t="shared" si="2"/>
        <v>26.649169129272888</v>
      </c>
      <c r="O38" s="154">
        <f t="shared" si="3"/>
        <v>54.109375383936559</v>
      </c>
      <c r="P38" s="154">
        <f t="shared" si="4"/>
        <v>41.123125291791787</v>
      </c>
      <c r="Q38" s="154">
        <f t="shared" si="5"/>
        <v>49.780625353221637</v>
      </c>
      <c r="R38" s="154">
        <f t="shared" si="6"/>
        <v>61.68468793768767</v>
      </c>
      <c r="S38" s="154">
        <f t="shared" si="7"/>
        <v>70.342187999117527</v>
      </c>
      <c r="T38" s="29" t="str">
        <f t="shared" si="8"/>
        <v>A</v>
      </c>
      <c r="U38">
        <f>((SUM($J$30:J38)*L38/(M38*SUM($G$30:G38))))*10^6</f>
        <v>35.288930536149017</v>
      </c>
    </row>
    <row r="39" spans="2:21" ht="15.75" x14ac:dyDescent="0.25">
      <c r="B39" s="13">
        <v>10</v>
      </c>
      <c r="C39" s="456"/>
      <c r="D39" s="456"/>
      <c r="E39" s="457"/>
      <c r="F39" s="54">
        <v>0.59236111111111112</v>
      </c>
      <c r="G39" s="21">
        <f>'Testing DK9 (3)'!N40</f>
        <v>0.40641415903371358</v>
      </c>
      <c r="H39" s="153">
        <f>'Testing DK9 (3)'!BW40</f>
        <v>6.4477635330179852E-3</v>
      </c>
      <c r="I39" s="153">
        <v>2.1428571428571399E-3</v>
      </c>
      <c r="J39" s="153">
        <f t="shared" si="1"/>
        <v>8.5906206758751252E-3</v>
      </c>
      <c r="K39" s="31" t="s">
        <v>257</v>
      </c>
      <c r="L39" s="31">
        <v>3.206</v>
      </c>
      <c r="M39" s="31">
        <v>2624</v>
      </c>
      <c r="N39" s="154">
        <f t="shared" si="2"/>
        <v>25.82589615079544</v>
      </c>
      <c r="O39" s="154">
        <f t="shared" si="3"/>
        <v>54.109375383936559</v>
      </c>
      <c r="P39" s="154">
        <f t="shared" si="4"/>
        <v>41.123125291791787</v>
      </c>
      <c r="Q39" s="154">
        <f t="shared" si="5"/>
        <v>49.780625353221637</v>
      </c>
      <c r="R39" s="154">
        <f t="shared" si="6"/>
        <v>61.68468793768767</v>
      </c>
      <c r="S39" s="154">
        <f t="shared" si="7"/>
        <v>70.342187999117527</v>
      </c>
      <c r="T39" s="29" t="str">
        <f t="shared" si="8"/>
        <v>A</v>
      </c>
      <c r="U39">
        <f>((SUM($J$30:J39)*L39/(M39*SUM($G$30:G39))))*10^6</f>
        <v>33.223014106057732</v>
      </c>
    </row>
    <row r="40" spans="2:21" ht="15.75" x14ac:dyDescent="0.25">
      <c r="B40" s="13">
        <v>11</v>
      </c>
      <c r="C40" s="456"/>
      <c r="D40" s="456"/>
      <c r="E40" s="457"/>
      <c r="F40" s="54">
        <v>0.59444444444444444</v>
      </c>
      <c r="G40" s="21">
        <f>'Testing DK9 (3)'!N41</f>
        <v>0.33450741818657398</v>
      </c>
      <c r="H40" s="153">
        <f>'Testing DK9 (3)'!BW41</f>
        <v>4.7482935519798314E-3</v>
      </c>
      <c r="I40" s="153">
        <v>2.1428571428571399E-3</v>
      </c>
      <c r="J40" s="153">
        <f t="shared" si="1"/>
        <v>6.8911506948369713E-3</v>
      </c>
      <c r="K40" s="31" t="s">
        <v>257</v>
      </c>
      <c r="L40" s="31">
        <v>3.206</v>
      </c>
      <c r="M40" s="31">
        <v>2624</v>
      </c>
      <c r="N40" s="154">
        <f t="shared" si="2"/>
        <v>25.170142894748622</v>
      </c>
      <c r="O40" s="154">
        <f t="shared" si="3"/>
        <v>54.109375383936559</v>
      </c>
      <c r="P40" s="154">
        <f t="shared" si="4"/>
        <v>41.123125291791787</v>
      </c>
      <c r="Q40" s="154">
        <f t="shared" si="5"/>
        <v>49.780625353221637</v>
      </c>
      <c r="R40" s="154">
        <f t="shared" si="6"/>
        <v>61.68468793768767</v>
      </c>
      <c r="S40" s="154">
        <f t="shared" si="7"/>
        <v>70.342187999117527</v>
      </c>
      <c r="T40" s="29" t="str">
        <f t="shared" si="8"/>
        <v>A</v>
      </c>
      <c r="U40">
        <f>((SUM($J$30:J40)*L40/(M40*SUM($G$30:G40))))*10^6</f>
        <v>31.996414504658517</v>
      </c>
    </row>
    <row r="41" spans="2:21" ht="15.75" x14ac:dyDescent="0.25">
      <c r="B41" s="13">
        <v>12</v>
      </c>
      <c r="C41" s="456"/>
      <c r="D41" s="456"/>
      <c r="E41" s="457"/>
      <c r="F41" s="54">
        <v>0.59652777777777777</v>
      </c>
      <c r="G41" s="21">
        <f>'Testing DK9 (3)'!N42</f>
        <v>0.38325033525193752</v>
      </c>
      <c r="H41" s="153">
        <f>'Testing DK9 (3)'!BW42</f>
        <v>7.0089369577168254E-3</v>
      </c>
      <c r="I41" s="153">
        <v>2.1428571428571399E-3</v>
      </c>
      <c r="J41" s="153">
        <f t="shared" si="1"/>
        <v>9.1517941005739654E-3</v>
      </c>
      <c r="K41" s="31" t="s">
        <v>257</v>
      </c>
      <c r="L41" s="31">
        <v>3.206</v>
      </c>
      <c r="M41" s="31">
        <v>2624</v>
      </c>
      <c r="N41" s="154">
        <f t="shared" si="2"/>
        <v>29.17584107005743</v>
      </c>
      <c r="O41" s="154">
        <f t="shared" si="3"/>
        <v>54.109375383936559</v>
      </c>
      <c r="P41" s="154">
        <f t="shared" si="4"/>
        <v>41.123125291791787</v>
      </c>
      <c r="Q41" s="154">
        <f t="shared" si="5"/>
        <v>49.780625353221637</v>
      </c>
      <c r="R41" s="154">
        <f t="shared" si="6"/>
        <v>61.68468793768767</v>
      </c>
      <c r="S41" s="154">
        <f t="shared" si="7"/>
        <v>70.342187999117527</v>
      </c>
      <c r="T41" s="29" t="str">
        <f t="shared" si="8"/>
        <v>A</v>
      </c>
      <c r="U41">
        <f>((SUM($J$30:J41)*L41/(M41*SUM($G$30:G41))))*10^6</f>
        <v>31.577323557444508</v>
      </c>
    </row>
    <row r="42" spans="2:21" ht="15.75" x14ac:dyDescent="0.25">
      <c r="B42" s="13">
        <v>13</v>
      </c>
      <c r="C42" s="456"/>
      <c r="D42" s="456"/>
      <c r="E42" s="457"/>
      <c r="F42" s="54">
        <v>0.59861111111111109</v>
      </c>
      <c r="G42" s="21">
        <f>'Testing DK9 (3)'!N43</f>
        <v>0.49041294352609949</v>
      </c>
      <c r="H42" s="153">
        <f>'Testing DK9 (3)'!BW43</f>
        <v>1.5205861469017565E-2</v>
      </c>
      <c r="I42" s="153">
        <v>2.1428571428571399E-3</v>
      </c>
      <c r="J42" s="153">
        <f t="shared" si="1"/>
        <v>1.7348718611874706E-2</v>
      </c>
      <c r="K42" s="31" t="s">
        <v>257</v>
      </c>
      <c r="L42" s="31">
        <v>3.206</v>
      </c>
      <c r="M42" s="31">
        <v>2624</v>
      </c>
      <c r="N42" s="154">
        <f t="shared" si="2"/>
        <v>43.222030582246504</v>
      </c>
      <c r="O42" s="154">
        <f t="shared" si="3"/>
        <v>54.109375383936559</v>
      </c>
      <c r="P42" s="154">
        <f t="shared" si="4"/>
        <v>41.123125291791787</v>
      </c>
      <c r="Q42" s="154">
        <f t="shared" si="5"/>
        <v>49.780625353221637</v>
      </c>
      <c r="R42" s="154">
        <f t="shared" si="6"/>
        <v>61.68468793768767</v>
      </c>
      <c r="S42" s="154">
        <f t="shared" si="7"/>
        <v>70.342187999117527</v>
      </c>
      <c r="T42" s="29" t="str">
        <f t="shared" si="8"/>
        <v>B</v>
      </c>
      <c r="U42">
        <f>((SUM($J$30:J42)*L42/(M42*SUM($G$30:G42))))*10^6</f>
        <v>33.437629941828234</v>
      </c>
    </row>
    <row r="43" spans="2:21" ht="15.75" x14ac:dyDescent="0.25">
      <c r="B43" s="13">
        <v>14</v>
      </c>
      <c r="C43" s="456"/>
      <c r="D43" s="456"/>
      <c r="E43" s="457"/>
      <c r="F43" s="54">
        <v>0.60069444444444442</v>
      </c>
      <c r="G43" s="21">
        <f>'Testing DK9 (3)'!N44</f>
        <v>0.41123727820994321</v>
      </c>
      <c r="H43" s="153">
        <f>'Testing DK9 (3)'!BW44</f>
        <v>6.6807645046922052E-3</v>
      </c>
      <c r="I43" s="153">
        <v>2.1428571428571399E-3</v>
      </c>
      <c r="J43" s="153">
        <f t="shared" si="1"/>
        <v>8.8236216475493442E-3</v>
      </c>
      <c r="K43" s="31" t="s">
        <v>257</v>
      </c>
      <c r="L43" s="31">
        <v>3.206</v>
      </c>
      <c r="M43" s="31">
        <v>2624</v>
      </c>
      <c r="N43" s="154">
        <f t="shared" si="2"/>
        <v>26.215255132969418</v>
      </c>
      <c r="O43" s="154">
        <f t="shared" si="3"/>
        <v>54.109375383936559</v>
      </c>
      <c r="P43" s="154">
        <f t="shared" si="4"/>
        <v>41.123125291791787</v>
      </c>
      <c r="Q43" s="154">
        <f t="shared" si="5"/>
        <v>49.780625353221637</v>
      </c>
      <c r="R43" s="154">
        <f t="shared" si="6"/>
        <v>61.68468793768767</v>
      </c>
      <c r="S43" s="154">
        <f t="shared" si="7"/>
        <v>70.342187999117527</v>
      </c>
      <c r="T43" s="29" t="str">
        <f t="shared" si="8"/>
        <v>A</v>
      </c>
      <c r="U43">
        <f>((SUM($J$30:J43)*L43/(M43*SUM($G$30:G43))))*10^6</f>
        <v>32.584397398014723</v>
      </c>
    </row>
    <row r="44" spans="2:21" ht="15.75" x14ac:dyDescent="0.25">
      <c r="B44" s="13">
        <v>15</v>
      </c>
      <c r="C44" s="456"/>
      <c r="D44" s="456"/>
      <c r="E44" s="457"/>
      <c r="F44" s="54">
        <v>0.60277777777777775</v>
      </c>
      <c r="G44" s="21">
        <f>'Testing DK9 (3)'!N45</f>
        <v>0.47022266694511472</v>
      </c>
      <c r="H44" s="153">
        <f>'Testing DK9 (3)'!BW45</f>
        <v>1.0139598537610966E-2</v>
      </c>
      <c r="I44" s="153">
        <v>2.1428571428571399E-3</v>
      </c>
      <c r="J44" s="153">
        <f t="shared" si="1"/>
        <v>1.2282455680468107E-2</v>
      </c>
      <c r="K44" s="31" t="s">
        <v>257</v>
      </c>
      <c r="L44" s="31">
        <v>3.206</v>
      </c>
      <c r="M44" s="31">
        <v>2624</v>
      </c>
      <c r="N44" s="154">
        <f t="shared" si="2"/>
        <v>31.914006760424964</v>
      </c>
      <c r="O44" s="154">
        <f t="shared" si="3"/>
        <v>54.109375383936559</v>
      </c>
      <c r="P44" s="154">
        <f t="shared" si="4"/>
        <v>41.123125291791787</v>
      </c>
      <c r="Q44" s="154">
        <f t="shared" si="5"/>
        <v>49.780625353221637</v>
      </c>
      <c r="R44" s="154">
        <f t="shared" si="6"/>
        <v>61.68468793768767</v>
      </c>
      <c r="S44" s="154">
        <f t="shared" si="7"/>
        <v>70.342187999117527</v>
      </c>
      <c r="T44" s="29" t="str">
        <f t="shared" si="8"/>
        <v>A</v>
      </c>
      <c r="U44">
        <f>((SUM($J$30:J44)*L44/(M44*SUM($G$30:G44))))*10^6</f>
        <v>32.504616474497716</v>
      </c>
    </row>
    <row r="45" spans="2:21" ht="15.75" x14ac:dyDescent="0.25">
      <c r="B45" s="13">
        <v>16</v>
      </c>
      <c r="C45" s="456"/>
      <c r="D45" s="456"/>
      <c r="E45" s="457">
        <v>0.60416666666666696</v>
      </c>
      <c r="F45" s="54">
        <v>0.60416666666666663</v>
      </c>
      <c r="G45" s="21">
        <f>'Testing DK9 (3)'!N46</f>
        <v>0.33689228030143953</v>
      </c>
      <c r="H45" s="153">
        <f>'Testing DK9 (3)'!BW46</f>
        <v>8.6059680260746497E-3</v>
      </c>
      <c r="I45" s="153">
        <v>2.1428571428571399E-3</v>
      </c>
      <c r="J45" s="153">
        <f t="shared" si="1"/>
        <v>1.0748825168931789E-2</v>
      </c>
      <c r="K45" s="31" t="s">
        <v>257</v>
      </c>
      <c r="L45" s="31">
        <v>3.206</v>
      </c>
      <c r="M45" s="31">
        <v>2624</v>
      </c>
      <c r="N45" s="154">
        <f t="shared" si="2"/>
        <v>38.98249455679607</v>
      </c>
      <c r="O45" s="154">
        <f t="shared" si="3"/>
        <v>54.109375383936559</v>
      </c>
      <c r="P45" s="154">
        <f t="shared" si="4"/>
        <v>41.123125291791787</v>
      </c>
      <c r="Q45" s="154">
        <f t="shared" si="5"/>
        <v>49.780625353221637</v>
      </c>
      <c r="R45" s="154">
        <f t="shared" si="6"/>
        <v>61.68468793768767</v>
      </c>
      <c r="S45" s="154">
        <f t="shared" si="7"/>
        <v>70.342187999117527</v>
      </c>
      <c r="T45" s="29" t="str">
        <f t="shared" si="8"/>
        <v>A</v>
      </c>
      <c r="U45">
        <f>((SUM($J$30:J45)*L45/(M45*SUM($G$30:G45))))*10^6</f>
        <v>33.013544711502313</v>
      </c>
    </row>
    <row r="46" spans="2:21" ht="15.75" x14ac:dyDescent="0.25">
      <c r="B46" s="13">
        <v>17</v>
      </c>
      <c r="C46" s="456"/>
      <c r="D46" s="456"/>
      <c r="E46" s="457"/>
      <c r="F46" s="54">
        <v>0.60625000000000007</v>
      </c>
      <c r="G46" s="21">
        <f>'Testing DK9 (3)'!N47</f>
        <v>0.46940698175301426</v>
      </c>
      <c r="H46" s="153">
        <f>'Testing DK9 (3)'!BW47</f>
        <v>1.0082658778052587E-2</v>
      </c>
      <c r="I46" s="153">
        <v>2.1428571428571399E-3</v>
      </c>
      <c r="J46" s="153">
        <f t="shared" si="1"/>
        <v>1.2225515920909726E-2</v>
      </c>
      <c r="K46" s="31" t="s">
        <v>257</v>
      </c>
      <c r="L46" s="31">
        <v>3.206</v>
      </c>
      <c r="M46" s="31">
        <v>2624</v>
      </c>
      <c r="N46" s="154">
        <f t="shared" si="2"/>
        <v>31.821257509248429</v>
      </c>
      <c r="O46" s="154">
        <f t="shared" si="3"/>
        <v>54.109375383936559</v>
      </c>
      <c r="P46" s="154">
        <f t="shared" si="4"/>
        <v>41.123125291791787</v>
      </c>
      <c r="Q46" s="154">
        <f t="shared" si="5"/>
        <v>49.780625353221637</v>
      </c>
      <c r="R46" s="154">
        <f t="shared" si="6"/>
        <v>61.68468793768767</v>
      </c>
      <c r="S46" s="154">
        <f t="shared" si="7"/>
        <v>70.342187999117527</v>
      </c>
      <c r="T46" s="29" t="str">
        <f t="shared" si="8"/>
        <v>A</v>
      </c>
      <c r="U46">
        <f>((SUM($J$30:J46)*L46/(M46*SUM($G$30:G46))))*10^6</f>
        <v>32.895906381609564</v>
      </c>
    </row>
    <row r="47" spans="2:21" ht="15.75" x14ac:dyDescent="0.25">
      <c r="B47" s="13">
        <v>18</v>
      </c>
      <c r="C47" s="456"/>
      <c r="D47" s="456"/>
      <c r="E47" s="457"/>
      <c r="F47" s="54">
        <v>0.60833333333333395</v>
      </c>
      <c r="G47" s="21">
        <f>'Testing DK9 (3)'!N48</f>
        <v>0.48449408065584015</v>
      </c>
      <c r="H47" s="153">
        <f>'Testing DK9 (3)'!BW48</f>
        <v>1.1186677150463391E-2</v>
      </c>
      <c r="I47" s="153">
        <v>2.1428571428571399E-3</v>
      </c>
      <c r="J47" s="153">
        <f t="shared" si="1"/>
        <v>1.3329534293320532E-2</v>
      </c>
      <c r="K47" s="31" t="s">
        <v>257</v>
      </c>
      <c r="L47" s="31">
        <v>3.206</v>
      </c>
      <c r="M47" s="31">
        <v>2624</v>
      </c>
      <c r="N47" s="154">
        <f t="shared" si="2"/>
        <v>33.614463817604715</v>
      </c>
      <c r="O47" s="154">
        <f t="shared" si="3"/>
        <v>54.109375383936559</v>
      </c>
      <c r="P47" s="154">
        <f t="shared" si="4"/>
        <v>41.123125291791787</v>
      </c>
      <c r="Q47" s="154">
        <f t="shared" si="5"/>
        <v>49.780625353221637</v>
      </c>
      <c r="R47" s="154">
        <f t="shared" si="6"/>
        <v>61.68468793768767</v>
      </c>
      <c r="S47" s="154">
        <f t="shared" si="7"/>
        <v>70.342187999117527</v>
      </c>
      <c r="T47" s="29" t="str">
        <f t="shared" si="8"/>
        <v>A</v>
      </c>
      <c r="U47">
        <f>((SUM($J$30:J47)*L47/(M47*SUM($G$30:G47))))*10^6</f>
        <v>32.962319047568322</v>
      </c>
    </row>
    <row r="48" spans="2:21" ht="15.75" x14ac:dyDescent="0.25">
      <c r="B48" s="13">
        <v>19</v>
      </c>
      <c r="C48" s="456"/>
      <c r="D48" s="456"/>
      <c r="E48" s="457"/>
      <c r="F48" s="54">
        <v>0.61041666666666705</v>
      </c>
      <c r="G48" s="21">
        <f>'Testing DK9 (3)'!N49</f>
        <v>0.5717646316431173</v>
      </c>
      <c r="H48" s="153">
        <f>'Testing DK9 (3)'!BW49</f>
        <v>2.0466910164469033E-2</v>
      </c>
      <c r="I48" s="153">
        <v>2.1428571428571399E-3</v>
      </c>
      <c r="J48" s="153">
        <f t="shared" si="1"/>
        <v>2.2609767307326174E-2</v>
      </c>
      <c r="K48" s="31" t="s">
        <v>257</v>
      </c>
      <c r="L48" s="31">
        <v>3.206</v>
      </c>
      <c r="M48" s="31">
        <v>2624</v>
      </c>
      <c r="N48" s="154">
        <f t="shared" si="2"/>
        <v>48.314611632792996</v>
      </c>
      <c r="O48" s="154">
        <f t="shared" si="3"/>
        <v>54.109375383936559</v>
      </c>
      <c r="P48" s="154">
        <f t="shared" si="4"/>
        <v>41.123125291791787</v>
      </c>
      <c r="Q48" s="154">
        <f t="shared" si="5"/>
        <v>49.780625353221637</v>
      </c>
      <c r="R48" s="154">
        <f t="shared" si="6"/>
        <v>61.68468793768767</v>
      </c>
      <c r="S48" s="154">
        <f t="shared" si="7"/>
        <v>70.342187999117527</v>
      </c>
      <c r="T48" s="29" t="str">
        <f t="shared" si="8"/>
        <v>B</v>
      </c>
      <c r="U48">
        <f>((SUM($J$30:J48)*L48/(M48*SUM($G$30:G48))))*10^6</f>
        <v>34.472160162229436</v>
      </c>
    </row>
    <row r="49" spans="2:21" ht="15.75" x14ac:dyDescent="0.25">
      <c r="B49" s="13">
        <v>20</v>
      </c>
      <c r="C49" s="456"/>
      <c r="D49" s="456"/>
      <c r="E49" s="457"/>
      <c r="F49" s="54">
        <v>0.61250000000000004</v>
      </c>
      <c r="G49" s="21">
        <f>'Testing DK9 (3)'!N50</f>
        <v>0.5693908517265277</v>
      </c>
      <c r="H49" s="153">
        <f>'Testing DK9 (3)'!BW50</f>
        <v>2.0129116283461094E-2</v>
      </c>
      <c r="I49" s="153">
        <v>2.1428571428571399E-3</v>
      </c>
      <c r="J49" s="153">
        <f t="shared" si="1"/>
        <v>2.2271973426318235E-2</v>
      </c>
      <c r="K49" s="31" t="s">
        <v>257</v>
      </c>
      <c r="L49" s="31">
        <v>3.206</v>
      </c>
      <c r="M49" s="31">
        <v>2624</v>
      </c>
      <c r="N49" s="154">
        <f t="shared" si="2"/>
        <v>47.791196308861636</v>
      </c>
      <c r="O49" s="154">
        <f t="shared" si="3"/>
        <v>54.109375383936559</v>
      </c>
      <c r="P49" s="154">
        <f t="shared" si="4"/>
        <v>41.123125291791787</v>
      </c>
      <c r="Q49" s="154">
        <f t="shared" si="5"/>
        <v>49.780625353221637</v>
      </c>
      <c r="R49" s="154">
        <f t="shared" si="6"/>
        <v>61.68468793768767</v>
      </c>
      <c r="S49" s="154">
        <f t="shared" si="7"/>
        <v>70.342187999117527</v>
      </c>
      <c r="T49" s="29" t="str">
        <f t="shared" si="8"/>
        <v>B</v>
      </c>
      <c r="U49">
        <f>((SUM($J$30:J49)*L49/(M49*SUM($G$30:G49))))*10^6</f>
        <v>35.660241544015882</v>
      </c>
    </row>
    <row r="50" spans="2:21" ht="15.75" x14ac:dyDescent="0.25">
      <c r="B50" s="13">
        <v>21</v>
      </c>
      <c r="C50" s="456"/>
      <c r="D50" s="456"/>
      <c r="E50" s="457"/>
      <c r="F50" s="54">
        <v>0.61458333333333404</v>
      </c>
      <c r="G50" s="21">
        <f>'Testing DK9 (3)'!N51</f>
        <v>0.37709947149967205</v>
      </c>
      <c r="H50" s="153">
        <f>'Testing DK9 (3)'!BW51</f>
        <v>5.1607548325043788E-3</v>
      </c>
      <c r="I50" s="153">
        <v>2.1428571428571399E-3</v>
      </c>
      <c r="J50" s="153">
        <f t="shared" si="1"/>
        <v>7.3036119753615188E-3</v>
      </c>
      <c r="K50" s="31" t="s">
        <v>257</v>
      </c>
      <c r="L50" s="31">
        <v>3.206</v>
      </c>
      <c r="M50" s="31">
        <v>2624</v>
      </c>
      <c r="N50" s="154">
        <f t="shared" si="2"/>
        <v>23.66363487375132</v>
      </c>
      <c r="O50" s="154">
        <f t="shared" si="3"/>
        <v>54.109375383936559</v>
      </c>
      <c r="P50" s="154">
        <f t="shared" si="4"/>
        <v>41.123125291791787</v>
      </c>
      <c r="Q50" s="154">
        <f t="shared" si="5"/>
        <v>49.780625353221637</v>
      </c>
      <c r="R50" s="154">
        <f t="shared" si="6"/>
        <v>61.68468793768767</v>
      </c>
      <c r="S50" s="154">
        <f t="shared" si="7"/>
        <v>70.342187999117527</v>
      </c>
      <c r="T50" s="29" t="str">
        <f t="shared" si="8"/>
        <v>A</v>
      </c>
      <c r="U50">
        <f>((SUM($J$30:J50)*L50/(M50*SUM($G$30:G50))))*10^6</f>
        <v>34.991051158866156</v>
      </c>
    </row>
    <row r="51" spans="2:21" ht="15.75" x14ac:dyDescent="0.25">
      <c r="B51" s="13">
        <v>22</v>
      </c>
      <c r="C51" s="456"/>
      <c r="D51" s="456"/>
      <c r="E51" s="457"/>
      <c r="F51" s="54">
        <v>0.6166666666666667</v>
      </c>
      <c r="G51" s="21">
        <f>'Testing DK9 (3)'!N52</f>
        <v>0.35492384672519262</v>
      </c>
      <c r="H51" s="153">
        <f>'Testing DK9 (3)'!BW52</f>
        <v>4.3194834255969082E-3</v>
      </c>
      <c r="I51" s="153">
        <v>2.1428571428571399E-3</v>
      </c>
      <c r="J51" s="153">
        <f t="shared" si="1"/>
        <v>6.4623405684540482E-3</v>
      </c>
      <c r="K51" s="31" t="s">
        <v>257</v>
      </c>
      <c r="L51" s="31">
        <v>3.206</v>
      </c>
      <c r="M51" s="31">
        <v>2624</v>
      </c>
      <c r="N51" s="154">
        <f t="shared" si="2"/>
        <v>22.24612377693354</v>
      </c>
      <c r="O51" s="154">
        <f t="shared" si="3"/>
        <v>54.109375383936559</v>
      </c>
      <c r="P51" s="154">
        <f t="shared" si="4"/>
        <v>41.123125291791787</v>
      </c>
      <c r="Q51" s="154">
        <f t="shared" si="5"/>
        <v>49.780625353221637</v>
      </c>
      <c r="R51" s="154">
        <f t="shared" si="6"/>
        <v>61.68468793768767</v>
      </c>
      <c r="S51" s="154">
        <f t="shared" si="7"/>
        <v>70.342187999117527</v>
      </c>
      <c r="T51" s="29" t="str">
        <f t="shared" si="8"/>
        <v>A</v>
      </c>
      <c r="U51">
        <f>((SUM($J$30:J51)*L51/(M51*SUM($G$30:G51))))*10^6</f>
        <v>34.355302826876375</v>
      </c>
    </row>
    <row r="52" spans="2:21" ht="15.75" x14ac:dyDescent="0.25">
      <c r="B52" s="13">
        <v>23</v>
      </c>
      <c r="C52" s="456"/>
      <c r="D52" s="456"/>
      <c r="E52" s="457">
        <v>0.61805555555555503</v>
      </c>
      <c r="F52" s="54">
        <v>0.61805555555555503</v>
      </c>
      <c r="G52" s="21">
        <f>'Testing DK9 (3)'!N53</f>
        <v>0.2884465397016876</v>
      </c>
      <c r="H52" s="153">
        <f>'Testing DK9 (3)'!BW53</f>
        <v>5.1988832364366277E-3</v>
      </c>
      <c r="I52" s="153">
        <v>2.1428571428571399E-3</v>
      </c>
      <c r="J52" s="153">
        <f t="shared" si="1"/>
        <v>7.3417403792937676E-3</v>
      </c>
      <c r="K52" s="31" t="s">
        <v>257</v>
      </c>
      <c r="L52" s="31">
        <v>3.206</v>
      </c>
      <c r="M52" s="31">
        <v>2624</v>
      </c>
      <c r="N52" s="154">
        <f t="shared" si="2"/>
        <v>31.098065698261237</v>
      </c>
      <c r="O52" s="154">
        <f t="shared" si="3"/>
        <v>54.109375383936559</v>
      </c>
      <c r="P52" s="154">
        <f t="shared" si="4"/>
        <v>41.123125291791787</v>
      </c>
      <c r="Q52" s="154">
        <f t="shared" si="5"/>
        <v>49.780625353221637</v>
      </c>
      <c r="R52" s="154">
        <f t="shared" si="6"/>
        <v>61.68468793768767</v>
      </c>
      <c r="S52" s="154">
        <f t="shared" si="7"/>
        <v>70.342187999117527</v>
      </c>
      <c r="T52" s="29" t="str">
        <f t="shared" si="8"/>
        <v>A</v>
      </c>
      <c r="U52">
        <f>((SUM($J$30:J52)*L52/(M52*SUM($G$30:G52))))*10^6</f>
        <v>34.228400718522934</v>
      </c>
    </row>
    <row r="53" spans="2:21" ht="15.75" x14ac:dyDescent="0.25">
      <c r="B53" s="13">
        <v>24</v>
      </c>
      <c r="C53" s="456"/>
      <c r="D53" s="456"/>
      <c r="E53" s="457"/>
      <c r="F53" s="54">
        <v>0.62013888888888891</v>
      </c>
      <c r="G53" s="21">
        <f>'Testing DK9 (3)'!N54</f>
        <v>0.40653098819342998</v>
      </c>
      <c r="H53" s="153">
        <f>'Testing DK9 (3)'!BW54</f>
        <v>6.4533320034803315E-3</v>
      </c>
      <c r="I53" s="153">
        <v>2.1428571428571399E-3</v>
      </c>
      <c r="J53" s="153">
        <f t="shared" si="1"/>
        <v>8.5961891463374705E-3</v>
      </c>
      <c r="K53" s="31" t="s">
        <v>257</v>
      </c>
      <c r="L53" s="31">
        <v>3.206</v>
      </c>
      <c r="M53" s="31">
        <v>2624</v>
      </c>
      <c r="N53" s="154">
        <f t="shared" si="2"/>
        <v>25.835209912313797</v>
      </c>
      <c r="O53" s="154">
        <f t="shared" si="3"/>
        <v>54.109375383936559</v>
      </c>
      <c r="P53" s="154">
        <f t="shared" si="4"/>
        <v>41.123125291791787</v>
      </c>
      <c r="Q53" s="154">
        <f t="shared" si="5"/>
        <v>49.780625353221637</v>
      </c>
      <c r="R53" s="154">
        <f t="shared" si="6"/>
        <v>61.68468793768767</v>
      </c>
      <c r="S53" s="154">
        <f t="shared" si="7"/>
        <v>70.342187999117527</v>
      </c>
      <c r="T53" s="29" t="str">
        <f t="shared" si="8"/>
        <v>A</v>
      </c>
      <c r="U53">
        <f>((SUM($J$30:J53)*L53/(M53*SUM($G$30:G53))))*10^6</f>
        <v>33.79152323616929</v>
      </c>
    </row>
    <row r="54" spans="2:21" ht="15.75" x14ac:dyDescent="0.25">
      <c r="B54" s="13">
        <v>25</v>
      </c>
      <c r="C54" s="456"/>
      <c r="D54" s="456"/>
      <c r="E54" s="457"/>
      <c r="F54" s="54">
        <v>0.62222222222222301</v>
      </c>
      <c r="G54" s="21">
        <f>'Testing DK9 (3)'!N55</f>
        <v>0.58845394811941543</v>
      </c>
      <c r="H54" s="153">
        <f>'Testing DK9 (3)'!BW55</f>
        <v>2.9923891722156506E-2</v>
      </c>
      <c r="I54" s="153">
        <v>2.1428571428571399E-3</v>
      </c>
      <c r="J54" s="153">
        <f t="shared" si="1"/>
        <v>3.2066748865013643E-2</v>
      </c>
      <c r="K54" s="31" t="s">
        <v>257</v>
      </c>
      <c r="L54" s="31">
        <v>3.206</v>
      </c>
      <c r="M54" s="31">
        <v>2624</v>
      </c>
      <c r="N54" s="154">
        <f t="shared" si="2"/>
        <v>66.579746440127082</v>
      </c>
      <c r="O54" s="154">
        <f t="shared" si="3"/>
        <v>54.109375383936559</v>
      </c>
      <c r="P54" s="154">
        <f t="shared" si="4"/>
        <v>41.123125291791787</v>
      </c>
      <c r="Q54" s="154">
        <f t="shared" si="5"/>
        <v>49.780625353221637</v>
      </c>
      <c r="R54" s="154">
        <f t="shared" si="6"/>
        <v>61.68468793768767</v>
      </c>
      <c r="S54" s="154">
        <f t="shared" si="7"/>
        <v>70.342187999117527</v>
      </c>
      <c r="T54" s="29" t="str">
        <f t="shared" si="8"/>
        <v>E</v>
      </c>
      <c r="U54">
        <f>((SUM($J$30:J54)*L54/(M54*SUM($G$30:G54))))*10^6</f>
        <v>36.088844149395968</v>
      </c>
    </row>
    <row r="55" spans="2:21" ht="15.75" x14ac:dyDescent="0.25">
      <c r="B55" s="13">
        <v>26</v>
      </c>
      <c r="C55" s="456"/>
      <c r="D55" s="456"/>
      <c r="E55" s="457"/>
      <c r="F55" s="54">
        <v>0.624305555555557</v>
      </c>
      <c r="G55" s="21">
        <f>'Testing DK9 (3)'!N56</f>
        <v>0.50454055390112951</v>
      </c>
      <c r="H55" s="153">
        <f>'Testing DK9 (3)'!BW56</f>
        <v>1.2838359953242309E-2</v>
      </c>
      <c r="I55" s="153">
        <v>2.1428571428571399E-3</v>
      </c>
      <c r="J55" s="153">
        <f t="shared" si="1"/>
        <v>1.4981217096099449E-2</v>
      </c>
      <c r="K55" s="31" t="s">
        <v>257</v>
      </c>
      <c r="L55" s="31">
        <v>3.206</v>
      </c>
      <c r="M55" s="31">
        <v>2624</v>
      </c>
      <c r="N55" s="154">
        <f t="shared" si="2"/>
        <v>36.27861553785872</v>
      </c>
      <c r="O55" s="154">
        <f t="shared" si="3"/>
        <v>54.109375383936559</v>
      </c>
      <c r="P55" s="154">
        <f t="shared" si="4"/>
        <v>41.123125291791787</v>
      </c>
      <c r="Q55" s="154">
        <f t="shared" si="5"/>
        <v>49.780625353221637</v>
      </c>
      <c r="R55" s="154">
        <f t="shared" si="6"/>
        <v>61.68468793768767</v>
      </c>
      <c r="S55" s="154">
        <f t="shared" si="7"/>
        <v>70.342187999117527</v>
      </c>
      <c r="T55" s="29" t="str">
        <f t="shared" si="8"/>
        <v>A</v>
      </c>
      <c r="U55">
        <f>((SUM($J$30:J55)*L55/(M55*SUM($G$30:G55))))*10^6</f>
        <v>36.09959844295016</v>
      </c>
    </row>
    <row r="56" spans="2:21" ht="15.75" x14ac:dyDescent="0.25">
      <c r="B56" s="13">
        <v>27</v>
      </c>
      <c r="C56" s="456"/>
      <c r="D56" s="456"/>
      <c r="E56" s="457"/>
      <c r="F56" s="54">
        <v>0.62638888888889099</v>
      </c>
      <c r="G56" s="21">
        <f>'Testing DK9 (3)'!N57</f>
        <v>0.52464302648181294</v>
      </c>
      <c r="H56" s="153">
        <f>'Testing DK9 (3)'!BW57</f>
        <v>1.9332101191587382E-2</v>
      </c>
      <c r="I56" s="153">
        <v>2.1428571428571399E-3</v>
      </c>
      <c r="J56" s="153">
        <f t="shared" si="1"/>
        <v>2.1474958334444523E-2</v>
      </c>
      <c r="K56" s="31" t="s">
        <v>257</v>
      </c>
      <c r="L56" s="31">
        <v>3.206</v>
      </c>
      <c r="M56" s="31">
        <v>2624</v>
      </c>
      <c r="N56" s="154">
        <f t="shared" si="2"/>
        <v>50.011296404718912</v>
      </c>
      <c r="O56" s="154">
        <f t="shared" si="3"/>
        <v>54.109375383936559</v>
      </c>
      <c r="P56" s="154">
        <f t="shared" si="4"/>
        <v>41.123125291791787</v>
      </c>
      <c r="Q56" s="154">
        <f t="shared" si="5"/>
        <v>49.780625353221637</v>
      </c>
      <c r="R56" s="154">
        <f t="shared" si="6"/>
        <v>61.68468793768767</v>
      </c>
      <c r="S56" s="154">
        <f t="shared" si="7"/>
        <v>70.342187999117527</v>
      </c>
      <c r="T56" s="29" t="str">
        <f t="shared" si="8"/>
        <v>C</v>
      </c>
      <c r="U56">
        <f>((SUM($J$30:J56)*L56/(M56*SUM($G$30:G56))))*10^6</f>
        <v>36.873762201561647</v>
      </c>
    </row>
    <row r="57" spans="2:21" ht="15.75" x14ac:dyDescent="0.25">
      <c r="B57" s="13">
        <v>28</v>
      </c>
      <c r="C57" s="456"/>
      <c r="D57" s="456"/>
      <c r="E57" s="457"/>
      <c r="F57" s="54">
        <v>0.62847222222222399</v>
      </c>
      <c r="G57" s="21">
        <f>'Testing DK9 (3)'!N58</f>
        <v>0.4560306821820847</v>
      </c>
      <c r="H57" s="153">
        <f>'Testing DK9 (3)'!BW58</f>
        <v>1.1922185131444314E-2</v>
      </c>
      <c r="I57" s="153">
        <v>2.1428571428571399E-3</v>
      </c>
      <c r="J57" s="153">
        <f t="shared" si="1"/>
        <v>1.4065042274301453E-2</v>
      </c>
      <c r="K57" s="31" t="s">
        <v>257</v>
      </c>
      <c r="L57" s="31">
        <v>3.206</v>
      </c>
      <c r="M57" s="31">
        <v>2624</v>
      </c>
      <c r="N57" s="154">
        <f t="shared" si="2"/>
        <v>37.683103724563473</v>
      </c>
      <c r="O57" s="154">
        <f t="shared" si="3"/>
        <v>54.109375383936559</v>
      </c>
      <c r="P57" s="154">
        <f t="shared" si="4"/>
        <v>41.123125291791787</v>
      </c>
      <c r="Q57" s="154">
        <f t="shared" si="5"/>
        <v>49.780625353221637</v>
      </c>
      <c r="R57" s="154">
        <f t="shared" si="6"/>
        <v>61.68468793768767</v>
      </c>
      <c r="S57" s="154">
        <f t="shared" si="7"/>
        <v>70.342187999117527</v>
      </c>
      <c r="T57" s="29" t="str">
        <f t="shared" si="8"/>
        <v>A</v>
      </c>
      <c r="U57">
        <f>((SUM($J$30:J57)*L57/(M57*SUM($G$30:G57))))*10^6</f>
        <v>36.911104391235718</v>
      </c>
    </row>
    <row r="58" spans="2:21" ht="15.75" x14ac:dyDescent="0.25">
      <c r="B58" s="13">
        <v>29</v>
      </c>
      <c r="C58" s="456"/>
      <c r="D58" s="456"/>
      <c r="E58" s="457"/>
      <c r="F58" s="54">
        <v>0.63055555555555798</v>
      </c>
      <c r="G58" s="21">
        <f>'Testing DK9 (3)'!N59</f>
        <v>0.5245709104368429</v>
      </c>
      <c r="H58" s="153">
        <f>'Testing DK9 (3)'!BW59</f>
        <v>1.932237851951462E-2</v>
      </c>
      <c r="I58" s="153">
        <v>2.1428571428571399E-3</v>
      </c>
      <c r="J58" s="153">
        <f t="shared" si="1"/>
        <v>2.1465235662371761E-2</v>
      </c>
      <c r="K58" s="31" t="s">
        <v>257</v>
      </c>
      <c r="L58" s="31">
        <v>3.206</v>
      </c>
      <c r="M58" s="31">
        <v>2624</v>
      </c>
      <c r="N58" s="154">
        <f t="shared" si="2"/>
        <v>49.9955263118364</v>
      </c>
      <c r="O58" s="154">
        <f t="shared" si="3"/>
        <v>54.109375383936559</v>
      </c>
      <c r="P58" s="154">
        <f t="shared" si="4"/>
        <v>41.123125291791787</v>
      </c>
      <c r="Q58" s="154">
        <f t="shared" si="5"/>
        <v>49.780625353221637</v>
      </c>
      <c r="R58" s="154">
        <f t="shared" si="6"/>
        <v>61.68468793768767</v>
      </c>
      <c r="S58" s="154">
        <f t="shared" si="7"/>
        <v>70.342187999117527</v>
      </c>
      <c r="T58" s="29" t="str">
        <f t="shared" si="8"/>
        <v>C</v>
      </c>
      <c r="U58">
        <f>((SUM($J$30:J58)*L58/(M58*SUM($G$30:G58))))*10^6</f>
        <v>37.570542339484483</v>
      </c>
    </row>
    <row r="59" spans="2:21" ht="15.75" x14ac:dyDescent="0.25">
      <c r="B59" s="13">
        <v>30</v>
      </c>
      <c r="C59" s="456"/>
      <c r="D59" s="456"/>
      <c r="E59" s="457">
        <v>0.63194444444444398</v>
      </c>
      <c r="F59" s="54">
        <v>0.63194444444444398</v>
      </c>
      <c r="G59" s="21">
        <f>'Testing DK9 (3)'!N60</f>
        <v>0.3245301733245628</v>
      </c>
      <c r="H59" s="153">
        <f>'Testing DK9 (3)'!BW60</f>
        <v>9.8820107063304404E-3</v>
      </c>
      <c r="I59" s="153">
        <v>2.1428571428571399E-3</v>
      </c>
      <c r="J59" s="153">
        <f t="shared" si="1"/>
        <v>1.2024867849187579E-2</v>
      </c>
      <c r="K59" s="31" t="s">
        <v>257</v>
      </c>
      <c r="L59" s="31">
        <v>3.206</v>
      </c>
      <c r="M59" s="31">
        <v>2624</v>
      </c>
      <c r="N59" s="154">
        <f t="shared" si="2"/>
        <v>45.271503488123898</v>
      </c>
      <c r="O59" s="154">
        <f t="shared" si="3"/>
        <v>54.109375383936559</v>
      </c>
      <c r="P59" s="154">
        <f t="shared" si="4"/>
        <v>41.123125291791787</v>
      </c>
      <c r="Q59" s="154">
        <f t="shared" si="5"/>
        <v>49.780625353221637</v>
      </c>
      <c r="R59" s="154">
        <f t="shared" si="6"/>
        <v>61.68468793768767</v>
      </c>
      <c r="S59" s="154">
        <f t="shared" si="7"/>
        <v>70.342187999117527</v>
      </c>
      <c r="T59" s="29" t="str">
        <f t="shared" si="8"/>
        <v>B</v>
      </c>
      <c r="U59">
        <f>((SUM($J$30:J59)*L59/(M59*SUM($G$30:G59))))*10^6</f>
        <v>37.803394837582786</v>
      </c>
    </row>
    <row r="60" spans="2:21" ht="15.75" x14ac:dyDescent="0.25">
      <c r="B60" s="13">
        <v>31</v>
      </c>
      <c r="C60" s="456"/>
      <c r="D60" s="456"/>
      <c r="E60" s="457"/>
      <c r="F60" s="54">
        <v>0.63402777777777775</v>
      </c>
      <c r="G60" s="21">
        <f>'Testing DK9 (3)'!N61</f>
        <v>0.44997935830542241</v>
      </c>
      <c r="H60" s="153">
        <f>'Testing DK9 (3)'!BW61</f>
        <v>1.1419442665408824E-2</v>
      </c>
      <c r="I60" s="153">
        <v>2.1428571428571399E-3</v>
      </c>
      <c r="J60" s="153">
        <f t="shared" si="1"/>
        <v>1.3562299808265964E-2</v>
      </c>
      <c r="K60" s="31" t="s">
        <v>257</v>
      </c>
      <c r="L60" s="31">
        <v>3.206</v>
      </c>
      <c r="M60" s="31">
        <v>2624</v>
      </c>
      <c r="N60" s="154">
        <f t="shared" si="2"/>
        <v>36.824803317093988</v>
      </c>
      <c r="O60" s="154">
        <f t="shared" si="3"/>
        <v>54.109375383936559</v>
      </c>
      <c r="P60" s="154">
        <f t="shared" si="4"/>
        <v>41.123125291791787</v>
      </c>
      <c r="Q60" s="154">
        <f t="shared" si="5"/>
        <v>49.780625353221637</v>
      </c>
      <c r="R60" s="154">
        <f t="shared" si="6"/>
        <v>61.68468793768767</v>
      </c>
      <c r="S60" s="154">
        <f t="shared" si="7"/>
        <v>70.342187999117527</v>
      </c>
      <c r="T60" s="29" t="str">
        <f t="shared" si="8"/>
        <v>A</v>
      </c>
      <c r="U60">
        <f>((SUM($J$30:J60)*L60/(M60*SUM($G$30:G60))))*10^6</f>
        <v>37.76401821594019</v>
      </c>
    </row>
    <row r="61" spans="2:21" ht="15.75" x14ac:dyDescent="0.25">
      <c r="B61" s="13">
        <v>32</v>
      </c>
      <c r="C61" s="456"/>
      <c r="D61" s="456"/>
      <c r="E61" s="457"/>
      <c r="F61" s="54">
        <v>0.63611111111111196</v>
      </c>
      <c r="G61" s="21">
        <f>'Testing DK9 (3)'!N62</f>
        <v>0.68332794877843861</v>
      </c>
      <c r="H61" s="153">
        <f>'Testing DK9 (3)'!BW62</f>
        <v>5.4347273025018898E-2</v>
      </c>
      <c r="I61" s="153">
        <v>2.1428571428571399E-3</v>
      </c>
      <c r="J61" s="153">
        <f t="shared" si="1"/>
        <v>5.6490130167876039E-2</v>
      </c>
      <c r="K61" s="31" t="s">
        <v>257</v>
      </c>
      <c r="L61" s="31">
        <v>3.206</v>
      </c>
      <c r="M61" s="31">
        <v>2624</v>
      </c>
      <c r="N61" s="154">
        <f t="shared" si="2"/>
        <v>101.00504782819459</v>
      </c>
      <c r="O61" s="154">
        <f t="shared" si="3"/>
        <v>54.109375383936559</v>
      </c>
      <c r="P61" s="154">
        <f t="shared" si="4"/>
        <v>41.123125291791787</v>
      </c>
      <c r="Q61" s="154">
        <f t="shared" si="5"/>
        <v>49.780625353221637</v>
      </c>
      <c r="R61" s="154">
        <f t="shared" si="6"/>
        <v>61.68468793768767</v>
      </c>
      <c r="S61" s="154">
        <f t="shared" si="7"/>
        <v>70.342187999117527</v>
      </c>
      <c r="T61" s="29" t="str">
        <f t="shared" si="8"/>
        <v>E</v>
      </c>
      <c r="U61">
        <f>((SUM($J$30:J61)*L61/(M61*SUM($G$30:G61))))*10^6</f>
        <v>41.405803603582541</v>
      </c>
    </row>
    <row r="62" spans="2:21" ht="15.75" x14ac:dyDescent="0.25">
      <c r="B62" s="13">
        <v>33</v>
      </c>
      <c r="C62" s="456"/>
      <c r="D62" s="456"/>
      <c r="E62" s="457"/>
      <c r="F62" s="54">
        <v>0.63819444444444495</v>
      </c>
      <c r="G62" s="21">
        <f>'Testing DK9 (3)'!N63</f>
        <v>0.56667466444588777</v>
      </c>
      <c r="H62" s="153">
        <f>'Testing DK9 (3)'!BW63</f>
        <v>2.5836823493106242E-2</v>
      </c>
      <c r="I62" s="153">
        <v>2.1428571428571399E-3</v>
      </c>
      <c r="J62" s="153">
        <f t="shared" si="1"/>
        <v>2.7979680635963382E-2</v>
      </c>
      <c r="K62" s="31" t="s">
        <v>257</v>
      </c>
      <c r="L62" s="31">
        <v>3.206</v>
      </c>
      <c r="M62" s="31">
        <v>2624</v>
      </c>
      <c r="N62" s="154">
        <f t="shared" si="2"/>
        <v>60.326571530925946</v>
      </c>
      <c r="O62" s="154">
        <f t="shared" si="3"/>
        <v>54.109375383936559</v>
      </c>
      <c r="P62" s="154">
        <f t="shared" si="4"/>
        <v>41.123125291791787</v>
      </c>
      <c r="Q62" s="154">
        <f t="shared" si="5"/>
        <v>49.780625353221637</v>
      </c>
      <c r="R62" s="154">
        <f t="shared" si="6"/>
        <v>61.68468793768767</v>
      </c>
      <c r="S62" s="154">
        <f t="shared" si="7"/>
        <v>70.342187999117527</v>
      </c>
      <c r="T62" s="29" t="str">
        <f t="shared" si="8"/>
        <v>D</v>
      </c>
      <c r="U62">
        <f>((SUM($J$30:J62)*L62/(M62*SUM($G$30:G62))))*10^6</f>
        <v>42.268184231441666</v>
      </c>
    </row>
    <row r="63" spans="2:21" ht="15.75" x14ac:dyDescent="0.25">
      <c r="B63" s="13">
        <v>34</v>
      </c>
      <c r="C63" s="456"/>
      <c r="D63" s="456"/>
      <c r="E63" s="457"/>
      <c r="F63" s="54">
        <v>0.64027777777777894</v>
      </c>
      <c r="G63" s="21">
        <f>'Testing DK9 (3)'!N64</f>
        <v>0.61161311456022671</v>
      </c>
      <c r="H63" s="153">
        <f>'Testing DK9 (3)'!BW64</f>
        <v>3.4859244963073591E-2</v>
      </c>
      <c r="I63" s="153">
        <v>2.1428571428571399E-3</v>
      </c>
      <c r="J63" s="153">
        <f t="shared" si="1"/>
        <v>3.7002102105930731E-2</v>
      </c>
      <c r="K63" s="31" t="s">
        <v>257</v>
      </c>
      <c r="L63" s="31">
        <v>3.206</v>
      </c>
      <c r="M63" s="31">
        <v>2624</v>
      </c>
      <c r="N63" s="154">
        <f t="shared" si="2"/>
        <v>73.917844716293402</v>
      </c>
      <c r="O63" s="154">
        <f t="shared" si="3"/>
        <v>54.109375383936559</v>
      </c>
      <c r="P63" s="154">
        <f t="shared" si="4"/>
        <v>41.123125291791787</v>
      </c>
      <c r="Q63" s="154">
        <f t="shared" si="5"/>
        <v>49.780625353221637</v>
      </c>
      <c r="R63" s="154">
        <f t="shared" si="6"/>
        <v>61.68468793768767</v>
      </c>
      <c r="S63" s="154">
        <f t="shared" si="7"/>
        <v>70.342187999117527</v>
      </c>
      <c r="T63" s="29" t="str">
        <f t="shared" si="8"/>
        <v>E</v>
      </c>
      <c r="U63">
        <f>((SUM($J$30:J63)*L63/(M63*SUM($G$30:G63))))*10^6</f>
        <v>43.752126144417225</v>
      </c>
    </row>
    <row r="64" spans="2:21" ht="15.75" x14ac:dyDescent="0.25">
      <c r="B64" s="13">
        <v>35</v>
      </c>
      <c r="C64" s="456"/>
      <c r="D64" s="456"/>
      <c r="E64" s="457"/>
      <c r="F64" s="54">
        <v>0.64236111111111305</v>
      </c>
      <c r="G64" s="21">
        <f>'Testing DK9 (3)'!N65</f>
        <v>0.51664319346091481</v>
      </c>
      <c r="H64" s="153">
        <f>'Testing DK9 (3)'!BW65</f>
        <v>1.828133197357492E-2</v>
      </c>
      <c r="I64" s="153">
        <v>2.1428571428571399E-3</v>
      </c>
      <c r="J64" s="153">
        <f t="shared" si="1"/>
        <v>2.0424189116432061E-2</v>
      </c>
      <c r="K64" s="31" t="s">
        <v>257</v>
      </c>
      <c r="L64" s="31">
        <v>3.206</v>
      </c>
      <c r="M64" s="31">
        <v>2624</v>
      </c>
      <c r="N64" s="154">
        <f t="shared" si="2"/>
        <v>48.300741538360818</v>
      </c>
      <c r="O64" s="154">
        <f t="shared" si="3"/>
        <v>54.109375383936559</v>
      </c>
      <c r="P64" s="154">
        <f t="shared" si="4"/>
        <v>41.123125291791787</v>
      </c>
      <c r="Q64" s="154">
        <f t="shared" si="5"/>
        <v>49.780625353221637</v>
      </c>
      <c r="R64" s="154">
        <f t="shared" si="6"/>
        <v>61.68468793768767</v>
      </c>
      <c r="S64" s="154">
        <f t="shared" si="7"/>
        <v>70.342187999117527</v>
      </c>
      <c r="T64" s="29" t="str">
        <f t="shared" si="8"/>
        <v>B</v>
      </c>
      <c r="U64">
        <f>((SUM($J$30:J64)*L64/(M64*SUM($G$30:G64))))*10^6</f>
        <v>43.925415616333019</v>
      </c>
    </row>
    <row r="65" spans="2:21" ht="15.75" x14ac:dyDescent="0.25">
      <c r="B65" s="13">
        <v>36</v>
      </c>
      <c r="C65" s="456"/>
      <c r="D65" s="456"/>
      <c r="E65" s="457"/>
      <c r="F65" s="54">
        <v>0.64444444444444704</v>
      </c>
      <c r="G65" s="21">
        <f>'Testing DK9 (3)'!N66</f>
        <v>0.47857860249010303</v>
      </c>
      <c r="H65" s="153">
        <f>'Testing DK9 (3)'!BW66</f>
        <v>1.0740666252373441E-2</v>
      </c>
      <c r="I65" s="153">
        <v>2.1428571428571399E-3</v>
      </c>
      <c r="J65" s="153">
        <f t="shared" si="1"/>
        <v>1.2883523395230582E-2</v>
      </c>
      <c r="K65" s="31" t="s">
        <v>257</v>
      </c>
      <c r="L65" s="31">
        <v>3.206</v>
      </c>
      <c r="M65" s="31">
        <v>2624</v>
      </c>
      <c r="N65" s="154">
        <f t="shared" si="2"/>
        <v>32.891301639429969</v>
      </c>
      <c r="O65" s="154">
        <f t="shared" si="3"/>
        <v>54.109375383936559</v>
      </c>
      <c r="P65" s="154">
        <f t="shared" si="4"/>
        <v>41.123125291791787</v>
      </c>
      <c r="Q65" s="154">
        <f t="shared" si="5"/>
        <v>49.780625353221637</v>
      </c>
      <c r="R65" s="154">
        <f t="shared" si="6"/>
        <v>61.68468793768767</v>
      </c>
      <c r="S65" s="154">
        <f t="shared" si="7"/>
        <v>70.342187999117527</v>
      </c>
      <c r="T65" s="29" t="str">
        <f t="shared" si="8"/>
        <v>A</v>
      </c>
      <c r="U65">
        <f>((SUM($J$30:J65)*L65/(M65*SUM($G$30:G65))))*10^6</f>
        <v>43.549291793794154</v>
      </c>
    </row>
    <row r="66" spans="2:21" ht="15.75" x14ac:dyDescent="0.25">
      <c r="B66" s="13">
        <v>37</v>
      </c>
      <c r="C66" s="456"/>
      <c r="D66" s="456"/>
      <c r="E66" s="457">
        <v>0.64583333333333304</v>
      </c>
      <c r="F66" s="54">
        <v>0.64583333333333304</v>
      </c>
      <c r="G66" s="21">
        <f>'Testing DK9 (3)'!N67</f>
        <v>0.28554889667061251</v>
      </c>
      <c r="H66" s="153">
        <f>'Testing DK9 (3)'!BW67</f>
        <v>5.0401671560125665E-3</v>
      </c>
      <c r="I66" s="153">
        <v>2.1428571428571399E-3</v>
      </c>
      <c r="J66" s="153">
        <f t="shared" si="1"/>
        <v>7.1830242988697064E-3</v>
      </c>
      <c r="K66" s="31" t="s">
        <v>257</v>
      </c>
      <c r="L66" s="31">
        <v>3.206</v>
      </c>
      <c r="M66" s="31">
        <v>2624</v>
      </c>
      <c r="N66" s="154">
        <f t="shared" si="2"/>
        <v>30.734527189214973</v>
      </c>
      <c r="O66" s="154">
        <f t="shared" si="3"/>
        <v>54.109375383936559</v>
      </c>
      <c r="P66" s="154">
        <f t="shared" si="4"/>
        <v>41.123125291791787</v>
      </c>
      <c r="Q66" s="154">
        <f t="shared" si="5"/>
        <v>49.780625353221637</v>
      </c>
      <c r="R66" s="154">
        <f t="shared" si="6"/>
        <v>61.68468793768767</v>
      </c>
      <c r="S66" s="154">
        <f t="shared" si="7"/>
        <v>70.342187999117527</v>
      </c>
      <c r="T66" s="29" t="str">
        <f t="shared" si="8"/>
        <v>A</v>
      </c>
      <c r="U66">
        <f>((SUM($J$30:J66)*L66/(M66*SUM($G$30:G66))))*10^6</f>
        <v>43.293852967173443</v>
      </c>
    </row>
    <row r="67" spans="2:21" ht="15.75" x14ac:dyDescent="0.25">
      <c r="B67" s="13">
        <v>38</v>
      </c>
      <c r="C67" s="456"/>
      <c r="D67" s="456"/>
      <c r="E67" s="457"/>
      <c r="F67" s="54">
        <v>0.6479166666666667</v>
      </c>
      <c r="G67" s="21">
        <f>'Testing DK9 (3)'!N68</f>
        <v>0.52090501928576338</v>
      </c>
      <c r="H67" s="153">
        <f>'Testing DK9 (3)'!BW68</f>
        <v>1.4368949838141106E-2</v>
      </c>
      <c r="I67" s="153">
        <v>2.1428571428571399E-3</v>
      </c>
      <c r="J67" s="153">
        <f t="shared" si="1"/>
        <v>1.6511806980998245E-2</v>
      </c>
      <c r="K67" s="31" t="s">
        <v>257</v>
      </c>
      <c r="L67" s="31">
        <v>3.206</v>
      </c>
      <c r="M67" s="31">
        <v>2624</v>
      </c>
      <c r="N67" s="154">
        <f t="shared" si="2"/>
        <v>38.728952277509848</v>
      </c>
      <c r="O67" s="154">
        <f t="shared" si="3"/>
        <v>54.109375383936559</v>
      </c>
      <c r="P67" s="154">
        <f t="shared" si="4"/>
        <v>41.123125291791787</v>
      </c>
      <c r="Q67" s="154">
        <f t="shared" si="5"/>
        <v>49.780625353221637</v>
      </c>
      <c r="R67" s="154">
        <f t="shared" si="6"/>
        <v>61.68468793768767</v>
      </c>
      <c r="S67" s="154">
        <f t="shared" si="7"/>
        <v>70.342187999117527</v>
      </c>
      <c r="T67" s="29" t="str">
        <f t="shared" si="8"/>
        <v>A</v>
      </c>
      <c r="U67">
        <f>((SUM($J$30:J67)*L67/(M67*SUM($G$30:G67))))*10^6</f>
        <v>43.133685629722372</v>
      </c>
    </row>
    <row r="68" spans="2:21" ht="15.75" x14ac:dyDescent="0.25">
      <c r="B68" s="13">
        <v>39</v>
      </c>
      <c r="C68" s="456"/>
      <c r="D68" s="456"/>
      <c r="E68" s="457"/>
      <c r="F68" s="54">
        <v>0.65</v>
      </c>
      <c r="G68" s="21">
        <f>'Testing DK9 (3)'!N69</f>
        <v>0.58674359912330643</v>
      </c>
      <c r="H68" s="153">
        <f>'Testing DK9 (3)'!BW69</f>
        <v>2.273786788921427E-2</v>
      </c>
      <c r="I68" s="153">
        <v>2.1428571428571399E-3</v>
      </c>
      <c r="J68" s="153">
        <f t="shared" si="1"/>
        <v>2.4880725032071411E-2</v>
      </c>
      <c r="K68" s="31" t="s">
        <v>257</v>
      </c>
      <c r="L68" s="31">
        <v>3.206</v>
      </c>
      <c r="M68" s="31">
        <v>2624</v>
      </c>
      <c r="N68" s="154">
        <f t="shared" si="2"/>
        <v>51.810091404931946</v>
      </c>
      <c r="O68" s="154">
        <f t="shared" si="3"/>
        <v>54.109375383936559</v>
      </c>
      <c r="P68" s="154">
        <f t="shared" si="4"/>
        <v>41.123125291791787</v>
      </c>
      <c r="Q68" s="154">
        <f t="shared" si="5"/>
        <v>49.780625353221637</v>
      </c>
      <c r="R68" s="154">
        <f t="shared" si="6"/>
        <v>61.68468793768767</v>
      </c>
      <c r="S68" s="154">
        <f t="shared" si="7"/>
        <v>70.342187999117527</v>
      </c>
      <c r="T68" s="29" t="str">
        <f t="shared" si="8"/>
        <v>C</v>
      </c>
      <c r="U68">
        <f>((SUM($J$30:J68)*L68/(M68*SUM($G$30:G68))))*10^6</f>
        <v>43.463552618900401</v>
      </c>
    </row>
    <row r="69" spans="2:21" ht="15.75" x14ac:dyDescent="0.25">
      <c r="B69" s="13">
        <v>40</v>
      </c>
      <c r="C69" s="456"/>
      <c r="D69" s="456"/>
      <c r="E69" s="457"/>
      <c r="F69" s="54">
        <v>0.65208333333333401</v>
      </c>
      <c r="G69" s="21">
        <f>'Testing DK9 (3)'!N70</f>
        <v>0.41648333459115716</v>
      </c>
      <c r="H69" s="153">
        <f>'Testing DK9 (3)'!BW70</f>
        <v>6.9416128432561054E-3</v>
      </c>
      <c r="I69" s="153">
        <v>2.1428571428571399E-3</v>
      </c>
      <c r="J69" s="153">
        <f t="shared" si="1"/>
        <v>9.0844699861132444E-3</v>
      </c>
      <c r="K69" s="31" t="s">
        <v>257</v>
      </c>
      <c r="L69" s="31">
        <v>3.206</v>
      </c>
      <c r="M69" s="31">
        <v>2624</v>
      </c>
      <c r="N69" s="154">
        <f t="shared" si="2"/>
        <v>26.650272480427098</v>
      </c>
      <c r="O69" s="154">
        <f t="shared" si="3"/>
        <v>54.109375383936559</v>
      </c>
      <c r="P69" s="154">
        <f t="shared" si="4"/>
        <v>41.123125291791787</v>
      </c>
      <c r="Q69" s="154">
        <f t="shared" si="5"/>
        <v>49.780625353221637</v>
      </c>
      <c r="R69" s="154">
        <f t="shared" si="6"/>
        <v>61.68468793768767</v>
      </c>
      <c r="S69" s="154">
        <f t="shared" si="7"/>
        <v>70.342187999117527</v>
      </c>
      <c r="T69" s="29" t="str">
        <f t="shared" si="8"/>
        <v>A</v>
      </c>
      <c r="U69">
        <f>((SUM($J$30:J69)*L69/(M69*SUM($G$30:G69))))*10^6</f>
        <v>43.021742214773816</v>
      </c>
    </row>
    <row r="70" spans="2:21" ht="15.75" x14ac:dyDescent="0.25">
      <c r="B70" s="13">
        <v>41</v>
      </c>
      <c r="C70" s="456"/>
      <c r="D70" s="456"/>
      <c r="E70" s="457"/>
      <c r="F70" s="54">
        <v>0.65416666666666801</v>
      </c>
      <c r="G70" s="21">
        <f>'Testing DK9 (3)'!N71</f>
        <v>0.42972877612149696</v>
      </c>
      <c r="H70" s="153">
        <f>'Testing DK9 (3)'!BW71</f>
        <v>7.6365655259434057E-3</v>
      </c>
      <c r="I70" s="153">
        <v>2.1428571428571399E-3</v>
      </c>
      <c r="J70" s="153">
        <f t="shared" si="1"/>
        <v>9.7794226688005456E-3</v>
      </c>
      <c r="K70" s="31" t="s">
        <v>257</v>
      </c>
      <c r="L70" s="31">
        <v>3.206</v>
      </c>
      <c r="M70" s="31">
        <v>2624</v>
      </c>
      <c r="N70" s="154">
        <f t="shared" si="2"/>
        <v>27.80471626418872</v>
      </c>
      <c r="O70" s="154">
        <f t="shared" si="3"/>
        <v>54.109375383936559</v>
      </c>
      <c r="P70" s="154">
        <f t="shared" si="4"/>
        <v>41.123125291791787</v>
      </c>
      <c r="Q70" s="154">
        <f t="shared" si="5"/>
        <v>49.780625353221637</v>
      </c>
      <c r="R70" s="154">
        <f t="shared" si="6"/>
        <v>61.68468793768767</v>
      </c>
      <c r="S70" s="154">
        <f t="shared" si="7"/>
        <v>70.342187999117527</v>
      </c>
      <c r="T70" s="29" t="str">
        <f t="shared" si="8"/>
        <v>A</v>
      </c>
      <c r="U70">
        <f>((SUM($J$30:J70)*L70/(M70*SUM($G$30:G70))))*10^6</f>
        <v>42.620051510627675</v>
      </c>
    </row>
    <row r="71" spans="2:21" ht="15.75" x14ac:dyDescent="0.25">
      <c r="B71" s="13">
        <v>42</v>
      </c>
      <c r="C71" s="456"/>
      <c r="D71" s="456"/>
      <c r="E71" s="457"/>
      <c r="F71" s="54">
        <v>0.656250000000001</v>
      </c>
      <c r="G71" s="21">
        <f>'Testing DK9 (3)'!N72</f>
        <v>0.40930171681957411</v>
      </c>
      <c r="H71" s="153">
        <f>'Testing DK9 (3)'!BW72</f>
        <v>6.5864873509742777E-3</v>
      </c>
      <c r="I71" s="153">
        <v>2.1428571428571399E-3</v>
      </c>
      <c r="J71" s="153">
        <f t="shared" si="1"/>
        <v>8.7293444938314167E-3</v>
      </c>
      <c r="K71" s="31" t="s">
        <v>257</v>
      </c>
      <c r="L71" s="31">
        <v>3.206</v>
      </c>
      <c r="M71" s="31">
        <v>2624</v>
      </c>
      <c r="N71" s="154">
        <f t="shared" si="2"/>
        <v>26.057800440946256</v>
      </c>
      <c r="O71" s="154">
        <f t="shared" si="3"/>
        <v>54.109375383936559</v>
      </c>
      <c r="P71" s="154">
        <f t="shared" si="4"/>
        <v>41.123125291791787</v>
      </c>
      <c r="Q71" s="154">
        <f t="shared" si="5"/>
        <v>49.780625353221637</v>
      </c>
      <c r="R71" s="154">
        <f t="shared" si="6"/>
        <v>61.68468793768767</v>
      </c>
      <c r="S71" s="154">
        <f t="shared" si="7"/>
        <v>70.342187999117527</v>
      </c>
      <c r="T71" s="29" t="str">
        <f t="shared" si="8"/>
        <v>A</v>
      </c>
      <c r="U71">
        <f>((SUM($J$30:J71)*L71/(M71*SUM($G$30:G71))))*10^6</f>
        <v>42.213845645620452</v>
      </c>
    </row>
    <row r="72" spans="2:21" ht="15.75" x14ac:dyDescent="0.25">
      <c r="B72" s="13">
        <v>43</v>
      </c>
      <c r="C72" s="456"/>
      <c r="D72" s="456"/>
      <c r="E72" s="457"/>
      <c r="F72" s="54">
        <v>0.65833333333333499</v>
      </c>
      <c r="G72" s="21">
        <f>'Testing DK9 (3)'!N73</f>
        <v>0.46377810908909983</v>
      </c>
      <c r="H72" s="153">
        <f>'Testing DK9 (3)'!BW73</f>
        <v>9.6977759609575397E-3</v>
      </c>
      <c r="I72" s="153">
        <v>2.1428571428571399E-3</v>
      </c>
      <c r="J72" s="153">
        <f t="shared" si="1"/>
        <v>1.1840633103814679E-2</v>
      </c>
      <c r="K72" s="31" t="s">
        <v>257</v>
      </c>
      <c r="L72" s="31">
        <v>3.206</v>
      </c>
      <c r="M72" s="31">
        <v>2624</v>
      </c>
      <c r="N72" s="154">
        <f t="shared" si="2"/>
        <v>31.193518630835094</v>
      </c>
      <c r="O72" s="154">
        <f t="shared" si="3"/>
        <v>54.109375383936559</v>
      </c>
      <c r="P72" s="154">
        <f t="shared" si="4"/>
        <v>41.123125291791787</v>
      </c>
      <c r="Q72" s="154">
        <f t="shared" si="5"/>
        <v>49.780625353221637</v>
      </c>
      <c r="R72" s="154">
        <f t="shared" si="6"/>
        <v>61.68468793768767</v>
      </c>
      <c r="S72" s="154">
        <f t="shared" si="7"/>
        <v>70.342187999117527</v>
      </c>
      <c r="T72" s="29" t="str">
        <f t="shared" si="8"/>
        <v>A</v>
      </c>
      <c r="U72">
        <f>((SUM($J$30:J72)*L72/(M72*SUM($G$30:G72))))*10^6</f>
        <v>41.915868150541577</v>
      </c>
    </row>
    <row r="73" spans="2:21" ht="15.75" x14ac:dyDescent="0.25">
      <c r="B73" s="13">
        <v>44</v>
      </c>
      <c r="C73" s="456"/>
      <c r="D73" s="456"/>
      <c r="E73" s="457">
        <v>0.65972222222222199</v>
      </c>
      <c r="F73" s="54">
        <v>0.65972222222222199</v>
      </c>
      <c r="G73" s="21">
        <f>'Testing DK9 (3)'!N74</f>
        <v>0.29940590972338793</v>
      </c>
      <c r="H73" s="153">
        <f>'Testing DK9 (3)'!BW74</f>
        <v>5.8378843292225917E-3</v>
      </c>
      <c r="I73" s="153">
        <v>2.1428571428571399E-3</v>
      </c>
      <c r="J73" s="153">
        <f t="shared" si="1"/>
        <v>7.9807414720797325E-3</v>
      </c>
      <c r="K73" s="31" t="s">
        <v>257</v>
      </c>
      <c r="L73" s="31">
        <v>3.206</v>
      </c>
      <c r="M73" s="31">
        <v>2624</v>
      </c>
      <c r="N73" s="154">
        <f t="shared" si="2"/>
        <v>32.567360500612665</v>
      </c>
      <c r="O73" s="154">
        <f t="shared" si="3"/>
        <v>54.109375383936559</v>
      </c>
      <c r="P73" s="154">
        <f t="shared" si="4"/>
        <v>41.123125291791787</v>
      </c>
      <c r="Q73" s="154">
        <f t="shared" si="5"/>
        <v>49.780625353221637</v>
      </c>
      <c r="R73" s="154">
        <f t="shared" si="6"/>
        <v>61.68468793768767</v>
      </c>
      <c r="S73" s="154">
        <f t="shared" si="7"/>
        <v>70.342187999117527</v>
      </c>
      <c r="T73" s="29" t="str">
        <f t="shared" si="8"/>
        <v>A</v>
      </c>
      <c r="U73">
        <f>((SUM($J$30:J73)*L73/(M73*SUM($G$30:G73))))*10^6</f>
        <v>41.755482373356614</v>
      </c>
    </row>
    <row r="74" spans="2:21" ht="15.75" x14ac:dyDescent="0.25">
      <c r="B74" s="13">
        <v>45</v>
      </c>
      <c r="C74" s="456"/>
      <c r="D74" s="456"/>
      <c r="E74" s="457"/>
      <c r="F74" s="54">
        <v>0.66180555555555554</v>
      </c>
      <c r="G74" s="21">
        <f>'Testing DK9 (3)'!N75</f>
        <v>0.33348320255699454</v>
      </c>
      <c r="H74" s="153">
        <f>'Testing DK9 (3)'!BW75</f>
        <v>3.6019128709029106E-3</v>
      </c>
      <c r="I74" s="153">
        <v>2.1428571428571399E-3</v>
      </c>
      <c r="J74" s="153">
        <f t="shared" si="1"/>
        <v>5.7447700137600501E-3</v>
      </c>
      <c r="K74" s="31" t="s">
        <v>257</v>
      </c>
      <c r="L74" s="31">
        <v>3.206</v>
      </c>
      <c r="M74" s="31">
        <v>2624</v>
      </c>
      <c r="N74" s="154">
        <f t="shared" si="2"/>
        <v>21.04739592032481</v>
      </c>
      <c r="O74" s="154">
        <f t="shared" si="3"/>
        <v>54.109375383936559</v>
      </c>
      <c r="P74" s="154">
        <f t="shared" si="4"/>
        <v>41.123125291791787</v>
      </c>
      <c r="Q74" s="154">
        <f t="shared" si="5"/>
        <v>49.780625353221637</v>
      </c>
      <c r="R74" s="154">
        <f t="shared" si="6"/>
        <v>61.68468793768767</v>
      </c>
      <c r="S74" s="154">
        <f t="shared" si="7"/>
        <v>70.342187999117527</v>
      </c>
      <c r="T74" s="29" t="str">
        <f t="shared" si="8"/>
        <v>A</v>
      </c>
      <c r="U74">
        <f>((SUM($J$30:J74)*L74/(M74*SUM($G$30:G74))))*10^6</f>
        <v>41.367192103329764</v>
      </c>
    </row>
    <row r="75" spans="2:21" ht="15.75" x14ac:dyDescent="0.25">
      <c r="B75" s="13">
        <v>46</v>
      </c>
      <c r="C75" s="456"/>
      <c r="D75" s="456"/>
      <c r="E75" s="457"/>
      <c r="F75" s="54">
        <v>0.66388888888888897</v>
      </c>
      <c r="G75" s="21">
        <f>'Testing DK9 (3)'!N76</f>
        <v>0.40340438680619567</v>
      </c>
      <c r="H75" s="153">
        <f>'Testing DK9 (3)'!BW76</f>
        <v>6.3055766858676312E-3</v>
      </c>
      <c r="I75" s="153">
        <v>2.1428571428571399E-3</v>
      </c>
      <c r="J75" s="153">
        <f t="shared" si="1"/>
        <v>8.4484338287247711E-3</v>
      </c>
      <c r="K75" s="31" t="s">
        <v>257</v>
      </c>
      <c r="L75" s="31">
        <v>3.206</v>
      </c>
      <c r="M75" s="31">
        <v>2624</v>
      </c>
      <c r="N75" s="154">
        <f t="shared" si="2"/>
        <v>25.587937282216252</v>
      </c>
      <c r="O75" s="154">
        <f t="shared" si="3"/>
        <v>54.109375383936559</v>
      </c>
      <c r="P75" s="154">
        <f t="shared" si="4"/>
        <v>41.123125291791787</v>
      </c>
      <c r="Q75" s="154">
        <f t="shared" si="5"/>
        <v>49.780625353221637</v>
      </c>
      <c r="R75" s="154">
        <f t="shared" si="6"/>
        <v>61.68468793768767</v>
      </c>
      <c r="S75" s="154">
        <f t="shared" si="7"/>
        <v>70.342187999117527</v>
      </c>
      <c r="T75" s="29" t="str">
        <f t="shared" si="8"/>
        <v>A</v>
      </c>
      <c r="U75">
        <f>((SUM($J$30:J75)*L75/(M75*SUM($G$30:G75))))*10^6</f>
        <v>41.017223545173067</v>
      </c>
    </row>
    <row r="76" spans="2:21" ht="15.75" x14ac:dyDescent="0.25">
      <c r="B76" s="13">
        <v>47</v>
      </c>
      <c r="C76" s="456"/>
      <c r="D76" s="456"/>
      <c r="E76" s="457"/>
      <c r="F76" s="54">
        <v>0.66597222222222296</v>
      </c>
      <c r="G76" s="21">
        <f>'Testing DK9 (3)'!N77</f>
        <v>0.50994656654437731</v>
      </c>
      <c r="H76" s="153">
        <f>'Testing DK9 (3)'!BW77</f>
        <v>1.3324495623066604E-2</v>
      </c>
      <c r="I76" s="153">
        <v>2.1428571428571399E-3</v>
      </c>
      <c r="J76" s="153">
        <f t="shared" si="1"/>
        <v>1.5467352765923745E-2</v>
      </c>
      <c r="K76" s="31" t="s">
        <v>257</v>
      </c>
      <c r="L76" s="31">
        <v>3.206</v>
      </c>
      <c r="M76" s="31">
        <v>2624</v>
      </c>
      <c r="N76" s="154">
        <f t="shared" si="2"/>
        <v>37.058770441070784</v>
      </c>
      <c r="O76" s="154">
        <f t="shared" si="3"/>
        <v>54.109375383936559</v>
      </c>
      <c r="P76" s="154">
        <f t="shared" si="4"/>
        <v>41.123125291791787</v>
      </c>
      <c r="Q76" s="154">
        <f t="shared" si="5"/>
        <v>49.780625353221637</v>
      </c>
      <c r="R76" s="154">
        <f t="shared" si="6"/>
        <v>61.68468793768767</v>
      </c>
      <c r="S76" s="154">
        <f t="shared" si="7"/>
        <v>70.342187999117527</v>
      </c>
      <c r="T76" s="29" t="str">
        <f t="shared" si="8"/>
        <v>A</v>
      </c>
      <c r="U76">
        <f>((SUM($J$30:J76)*L76/(M76*SUM($G$30:G76))))*10^6</f>
        <v>40.90926836476411</v>
      </c>
    </row>
    <row r="77" spans="2:21" ht="15.75" x14ac:dyDescent="0.25">
      <c r="B77" s="13">
        <v>48</v>
      </c>
      <c r="C77" s="456"/>
      <c r="D77" s="456"/>
      <c r="E77" s="457"/>
      <c r="F77" s="54">
        <v>0.66805555555555596</v>
      </c>
      <c r="G77" s="21">
        <f>'Testing DK9 (3)'!N78</f>
        <v>0.53550905729889808</v>
      </c>
      <c r="H77" s="153">
        <f>'Testing DK9 (3)'!BW78</f>
        <v>1.589507358146618E-2</v>
      </c>
      <c r="I77" s="153">
        <v>2.1428571428571399E-3</v>
      </c>
      <c r="J77" s="153">
        <f t="shared" si="1"/>
        <v>1.8037930724323321E-2</v>
      </c>
      <c r="K77" s="31" t="s">
        <v>257</v>
      </c>
      <c r="L77" s="31">
        <v>3.206</v>
      </c>
      <c r="M77" s="31">
        <v>2624</v>
      </c>
      <c r="N77" s="154">
        <f t="shared" si="2"/>
        <v>41.154713372477424</v>
      </c>
      <c r="O77" s="154">
        <f t="shared" si="3"/>
        <v>54.109375383936559</v>
      </c>
      <c r="P77" s="154">
        <f t="shared" si="4"/>
        <v>41.123125291791787</v>
      </c>
      <c r="Q77" s="154">
        <f t="shared" si="5"/>
        <v>49.780625353221637</v>
      </c>
      <c r="R77" s="154">
        <f t="shared" si="6"/>
        <v>61.68468793768767</v>
      </c>
      <c r="S77" s="154">
        <f t="shared" si="7"/>
        <v>70.342187999117527</v>
      </c>
      <c r="T77" s="29" t="str">
        <f t="shared" si="8"/>
        <v>B</v>
      </c>
      <c r="U77">
        <f>((SUM($J$30:J77)*L77/(M77*SUM($G$30:G77))))*10^6</f>
        <v>40.91610199200381</v>
      </c>
    </row>
    <row r="78" spans="2:21" ht="15.75" x14ac:dyDescent="0.25">
      <c r="B78" s="13">
        <v>49</v>
      </c>
      <c r="C78" s="456"/>
      <c r="D78" s="456"/>
      <c r="E78" s="457"/>
      <c r="F78" s="54">
        <v>0.67013888888888995</v>
      </c>
      <c r="G78" s="21">
        <f>'Testing DK9 (3)'!N79</f>
        <v>0.34539763350929137</v>
      </c>
      <c r="H78" s="153">
        <f>'Testing DK9 (3)'!BW79</f>
        <v>3.9895847781489368E-3</v>
      </c>
      <c r="I78" s="153">
        <v>2.1428571428571399E-3</v>
      </c>
      <c r="J78" s="153">
        <f t="shared" si="1"/>
        <v>6.1324419210060767E-3</v>
      </c>
      <c r="K78" s="31" t="s">
        <v>257</v>
      </c>
      <c r="L78" s="31">
        <v>3.206</v>
      </c>
      <c r="M78" s="31">
        <v>2624</v>
      </c>
      <c r="N78" s="154">
        <f t="shared" si="2"/>
        <v>21.692708153126244</v>
      </c>
      <c r="O78" s="154">
        <f t="shared" si="3"/>
        <v>54.109375383936559</v>
      </c>
      <c r="P78" s="154">
        <f t="shared" si="4"/>
        <v>41.123125291791787</v>
      </c>
      <c r="Q78" s="154">
        <f t="shared" si="5"/>
        <v>49.780625353221637</v>
      </c>
      <c r="R78" s="154">
        <f t="shared" si="6"/>
        <v>61.68468793768767</v>
      </c>
      <c r="S78" s="154">
        <f t="shared" si="7"/>
        <v>70.342187999117527</v>
      </c>
      <c r="T78" s="29" t="str">
        <f t="shared" si="8"/>
        <v>A</v>
      </c>
      <c r="U78">
        <f>((SUM($J$30:J78)*L78/(M78*SUM($G$30:G78))))*10^6</f>
        <v>40.576984672865528</v>
      </c>
    </row>
    <row r="79" spans="2:21" ht="15.75" x14ac:dyDescent="0.25">
      <c r="B79" s="13">
        <v>50</v>
      </c>
      <c r="C79" s="456"/>
      <c r="D79" s="456"/>
      <c r="E79" s="457"/>
      <c r="F79" s="54">
        <v>0.67222222222222305</v>
      </c>
      <c r="G79" s="21">
        <f>'Testing DK9 (3)'!N80</f>
        <v>0.43304881608348261</v>
      </c>
      <c r="H79" s="153">
        <f>'Testing DK9 (3)'!BW80</f>
        <v>7.8193759753184804E-3</v>
      </c>
      <c r="I79" s="153">
        <v>2.1428571428571399E-3</v>
      </c>
      <c r="J79" s="153">
        <f t="shared" si="1"/>
        <v>9.9622331181756195E-3</v>
      </c>
      <c r="K79" s="31" t="s">
        <v>257</v>
      </c>
      <c r="L79" s="31">
        <v>3.206</v>
      </c>
      <c r="M79" s="31">
        <v>2624</v>
      </c>
      <c r="N79" s="154">
        <f t="shared" si="2"/>
        <v>28.10732606269433</v>
      </c>
      <c r="O79" s="154">
        <f t="shared" si="3"/>
        <v>54.109375383936559</v>
      </c>
      <c r="P79" s="154">
        <f t="shared" si="4"/>
        <v>41.123125291791787</v>
      </c>
      <c r="Q79" s="154">
        <f t="shared" si="5"/>
        <v>49.780625353221637</v>
      </c>
      <c r="R79" s="154">
        <f t="shared" si="6"/>
        <v>61.68468793768767</v>
      </c>
      <c r="S79" s="154">
        <f t="shared" si="7"/>
        <v>70.342187999117527</v>
      </c>
      <c r="T79" s="29" t="str">
        <f t="shared" si="8"/>
        <v>A</v>
      </c>
      <c r="U79">
        <f>((SUM($J$30:J79)*L79/(M79*SUM($G$30:G79))))*10^6</f>
        <v>40.307154125331031</v>
      </c>
    </row>
    <row r="80" spans="2:21" ht="15.75" x14ac:dyDescent="0.25">
      <c r="B80" s="13">
        <v>51</v>
      </c>
      <c r="C80" s="456"/>
      <c r="D80" s="456"/>
      <c r="E80" s="457">
        <v>0.67361111111111105</v>
      </c>
      <c r="F80" s="54">
        <v>0.67361111111111105</v>
      </c>
      <c r="G80" s="21">
        <f>'Testing DK9 (3)'!N81</f>
        <v>0.28064784562966694</v>
      </c>
      <c r="H80" s="153">
        <f>'Testing DK9 (3)'!BW81</f>
        <v>4.7807575685242035E-3</v>
      </c>
      <c r="I80" s="153">
        <v>2.1428571428571399E-3</v>
      </c>
      <c r="J80" s="153">
        <f t="shared" si="1"/>
        <v>6.9236147113813434E-3</v>
      </c>
      <c r="K80" s="31" t="s">
        <v>257</v>
      </c>
      <c r="L80" s="31">
        <v>3.206</v>
      </c>
      <c r="M80" s="31">
        <v>2624</v>
      </c>
      <c r="N80" s="154">
        <f t="shared" si="2"/>
        <v>30.14191679239077</v>
      </c>
      <c r="O80" s="154">
        <f t="shared" si="3"/>
        <v>54.109375383936559</v>
      </c>
      <c r="P80" s="154">
        <f t="shared" si="4"/>
        <v>41.123125291791787</v>
      </c>
      <c r="Q80" s="154">
        <f t="shared" si="5"/>
        <v>49.780625353221637</v>
      </c>
      <c r="R80" s="154">
        <f t="shared" si="6"/>
        <v>61.68468793768767</v>
      </c>
      <c r="S80" s="154">
        <f t="shared" si="7"/>
        <v>70.342187999117527</v>
      </c>
      <c r="T80" s="29" t="str">
        <f t="shared" si="8"/>
        <v>A</v>
      </c>
      <c r="U80">
        <f>((SUM($J$30:J80)*L80/(M80*SUM($G$30:G80))))*10^6</f>
        <v>40.166571761353943</v>
      </c>
    </row>
    <row r="81" spans="2:21" ht="15.75" x14ac:dyDescent="0.25">
      <c r="B81" s="13">
        <v>52</v>
      </c>
      <c r="C81" s="456"/>
      <c r="D81" s="456"/>
      <c r="E81" s="457"/>
      <c r="F81" s="54">
        <v>0.67569444444444438</v>
      </c>
      <c r="G81" s="21">
        <f>'Testing DK9 (3)'!N82</f>
        <v>0.47825372180194098</v>
      </c>
      <c r="H81" s="153">
        <f>'Testing DK9 (3)'!BW82</f>
        <v>1.071667520028736E-2</v>
      </c>
      <c r="I81" s="153">
        <v>2.1428571428571399E-3</v>
      </c>
      <c r="J81" s="153">
        <f t="shared" si="1"/>
        <v>1.2859532343144499E-2</v>
      </c>
      <c r="K81" s="31" t="s">
        <v>257</v>
      </c>
      <c r="L81" s="31">
        <v>3.206</v>
      </c>
      <c r="M81" s="31">
        <v>2624</v>
      </c>
      <c r="N81" s="154">
        <f t="shared" si="2"/>
        <v>32.852354761191251</v>
      </c>
      <c r="O81" s="154">
        <f t="shared" si="3"/>
        <v>54.109375383936559</v>
      </c>
      <c r="P81" s="154">
        <f t="shared" si="4"/>
        <v>41.123125291791787</v>
      </c>
      <c r="Q81" s="154">
        <f t="shared" si="5"/>
        <v>49.780625353221637</v>
      </c>
      <c r="R81" s="154">
        <f t="shared" si="6"/>
        <v>61.68468793768767</v>
      </c>
      <c r="S81" s="154">
        <f t="shared" si="7"/>
        <v>70.342187999117527</v>
      </c>
      <c r="T81" s="29" t="str">
        <f t="shared" si="8"/>
        <v>A</v>
      </c>
      <c r="U81">
        <f>((SUM($J$30:J81)*L81/(M81*SUM($G$30:G81))))*10^6</f>
        <v>39.998164272638341</v>
      </c>
    </row>
    <row r="82" spans="2:21" ht="15.75" x14ac:dyDescent="0.25">
      <c r="B82" s="13">
        <v>53</v>
      </c>
      <c r="C82" s="456"/>
      <c r="D82" s="456"/>
      <c r="E82" s="457"/>
      <c r="F82" s="54">
        <v>0.67777777777777803</v>
      </c>
      <c r="G82" s="21">
        <f>'Testing DK9 (3)'!N83</f>
        <v>0.45103515017439366</v>
      </c>
      <c r="H82" s="153">
        <f>'Testing DK9 (3)'!BW83</f>
        <v>8.8755384667023318E-3</v>
      </c>
      <c r="I82" s="153">
        <v>2.1428571428571399E-3</v>
      </c>
      <c r="J82" s="153">
        <f t="shared" si="1"/>
        <v>1.1018395609559473E-2</v>
      </c>
      <c r="K82" s="31" t="s">
        <v>257</v>
      </c>
      <c r="L82" s="31">
        <v>3.206</v>
      </c>
      <c r="M82" s="31">
        <v>2624</v>
      </c>
      <c r="N82" s="154">
        <f t="shared" si="2"/>
        <v>29.847479322812728</v>
      </c>
      <c r="O82" s="154">
        <f t="shared" si="3"/>
        <v>54.109375383936559</v>
      </c>
      <c r="P82" s="154">
        <f t="shared" si="4"/>
        <v>41.123125291791787</v>
      </c>
      <c r="Q82" s="154">
        <f t="shared" si="5"/>
        <v>49.780625353221637</v>
      </c>
      <c r="R82" s="154">
        <f t="shared" si="6"/>
        <v>61.68468793768767</v>
      </c>
      <c r="S82" s="154">
        <f t="shared" si="7"/>
        <v>70.342187999117527</v>
      </c>
      <c r="T82" s="29" t="str">
        <f t="shared" si="8"/>
        <v>A</v>
      </c>
      <c r="U82">
        <f>((SUM($J$30:J82)*L82/(M82*SUM($G$30:G82))))*10^6</f>
        <v>39.782433811864024</v>
      </c>
    </row>
    <row r="83" spans="2:21" ht="15.75" x14ac:dyDescent="0.25">
      <c r="B83" s="13">
        <v>54</v>
      </c>
      <c r="C83" s="456"/>
      <c r="D83" s="456"/>
      <c r="E83" s="457"/>
      <c r="F83" s="54">
        <v>0.67986111111111103</v>
      </c>
      <c r="G83" s="21">
        <f>'Testing DK9 (3)'!N84</f>
        <v>0.49642178688821054</v>
      </c>
      <c r="H83" s="153">
        <f>'Testing DK9 (3)'!BW84</f>
        <v>1.2141918782383991E-2</v>
      </c>
      <c r="I83" s="153">
        <v>2.1428571428571399E-3</v>
      </c>
      <c r="J83" s="153">
        <f t="shared" si="1"/>
        <v>1.428477592524113E-2</v>
      </c>
      <c r="K83" s="31" t="s">
        <v>257</v>
      </c>
      <c r="L83" s="31">
        <v>3.206</v>
      </c>
      <c r="M83" s="31">
        <v>2624</v>
      </c>
      <c r="N83" s="154">
        <f t="shared" si="2"/>
        <v>35.15784815651422</v>
      </c>
      <c r="O83" s="154">
        <f t="shared" si="3"/>
        <v>54.109375383936559</v>
      </c>
      <c r="P83" s="154">
        <f t="shared" si="4"/>
        <v>41.123125291791787</v>
      </c>
      <c r="Q83" s="154">
        <f t="shared" si="5"/>
        <v>49.780625353221637</v>
      </c>
      <c r="R83" s="154">
        <f t="shared" si="6"/>
        <v>61.68468793768767</v>
      </c>
      <c r="S83" s="154">
        <f t="shared" si="7"/>
        <v>70.342187999117527</v>
      </c>
      <c r="T83" s="29" t="str">
        <f t="shared" si="8"/>
        <v>A</v>
      </c>
      <c r="U83">
        <f>((SUM($J$30:J83)*L83/(M83*SUM($G$30:G83))))*10^6</f>
        <v>39.676730736304592</v>
      </c>
    </row>
    <row r="84" spans="2:21" ht="15.75" x14ac:dyDescent="0.25">
      <c r="B84" s="13">
        <v>55</v>
      </c>
      <c r="C84" s="456"/>
      <c r="D84" s="456"/>
      <c r="E84" s="457"/>
      <c r="F84" s="54">
        <v>0.68194444444444402</v>
      </c>
      <c r="G84" s="21">
        <f>'Testing DK9 (3)'!N85</f>
        <v>0.457856011146206</v>
      </c>
      <c r="H84" s="153">
        <f>'Testing DK9 (3)'!BW85</f>
        <v>9.3074707164519134E-3</v>
      </c>
      <c r="I84" s="153">
        <v>2.1428571428571399E-3</v>
      </c>
      <c r="J84" s="153">
        <f t="shared" si="1"/>
        <v>1.1450327859309054E-2</v>
      </c>
      <c r="K84" s="31" t="s">
        <v>257</v>
      </c>
      <c r="L84" s="31">
        <v>3.206</v>
      </c>
      <c r="M84" s="31">
        <v>2624</v>
      </c>
      <c r="N84" s="154">
        <f t="shared" si="2"/>
        <v>30.555450347078544</v>
      </c>
      <c r="O84" s="154">
        <f t="shared" si="3"/>
        <v>54.109375383936559</v>
      </c>
      <c r="P84" s="154">
        <f t="shared" si="4"/>
        <v>41.123125291791787</v>
      </c>
      <c r="Q84" s="154">
        <f t="shared" si="5"/>
        <v>49.780625353221637</v>
      </c>
      <c r="R84" s="154">
        <f t="shared" si="6"/>
        <v>61.68468793768767</v>
      </c>
      <c r="S84" s="154">
        <f t="shared" si="7"/>
        <v>70.342187999117527</v>
      </c>
      <c r="T84" s="29" t="str">
        <f t="shared" si="8"/>
        <v>A</v>
      </c>
      <c r="U84">
        <f>((SUM($J$30:J84)*L84/(M84*SUM($G$30:G84))))*10^6</f>
        <v>39.488414199171032</v>
      </c>
    </row>
    <row r="85" spans="2:21" ht="15.75" x14ac:dyDescent="0.25">
      <c r="B85" s="13">
        <v>56</v>
      </c>
      <c r="C85" s="456"/>
      <c r="D85" s="456"/>
      <c r="E85" s="457"/>
      <c r="F85" s="54">
        <v>0.68402777777777801</v>
      </c>
      <c r="G85" s="21">
        <f>'Testing DK9 (3)'!N86</f>
        <v>0.62931627320778372</v>
      </c>
      <c r="H85" s="153">
        <f>'Testing DK9 (3)'!BW86</f>
        <v>3.0674578557037677E-2</v>
      </c>
      <c r="I85" s="153">
        <v>2.1428571428571399E-3</v>
      </c>
      <c r="J85" s="153">
        <f t="shared" si="1"/>
        <v>3.2817435699894815E-2</v>
      </c>
      <c r="K85" s="31" t="s">
        <v>257</v>
      </c>
      <c r="L85" s="31">
        <v>3.206</v>
      </c>
      <c r="M85" s="31">
        <v>2624</v>
      </c>
      <c r="N85" s="154">
        <f t="shared" si="2"/>
        <v>63.714072913588382</v>
      </c>
      <c r="O85" s="154">
        <f t="shared" si="3"/>
        <v>54.109375383936559</v>
      </c>
      <c r="P85" s="154">
        <f t="shared" si="4"/>
        <v>41.123125291791787</v>
      </c>
      <c r="Q85" s="154">
        <f t="shared" si="5"/>
        <v>49.780625353221637</v>
      </c>
      <c r="R85" s="154">
        <f t="shared" si="6"/>
        <v>61.68468793768767</v>
      </c>
      <c r="S85" s="154">
        <f t="shared" si="7"/>
        <v>70.342187999117527</v>
      </c>
      <c r="T85" s="29" t="str">
        <f t="shared" si="8"/>
        <v>E</v>
      </c>
      <c r="U85">
        <f>((SUM($J$30:J85)*L85/(M85*SUM($G$30:G85))))*10^6</f>
        <v>40.156905504988764</v>
      </c>
    </row>
    <row r="86" spans="2:21" ht="15.75" x14ac:dyDescent="0.25">
      <c r="B86" s="13">
        <v>57</v>
      </c>
      <c r="C86" s="456"/>
      <c r="D86" s="456"/>
      <c r="E86" s="457"/>
      <c r="F86" s="54">
        <v>0.68611111111111101</v>
      </c>
      <c r="G86" s="21">
        <f>'Testing DK9 (3)'!N87</f>
        <v>0.46817726584162173</v>
      </c>
      <c r="H86" s="153">
        <f>'Testing DK9 (3)'!BW87</f>
        <v>9.9973824417324431E-3</v>
      </c>
      <c r="I86" s="153">
        <v>2.1428571428571399E-3</v>
      </c>
      <c r="J86" s="153">
        <f t="shared" si="1"/>
        <v>1.2140239584589582E-2</v>
      </c>
      <c r="K86" s="31" t="s">
        <v>257</v>
      </c>
      <c r="L86" s="31">
        <v>3.206</v>
      </c>
      <c r="M86" s="31">
        <v>2624</v>
      </c>
      <c r="N86" s="154">
        <f t="shared" si="2"/>
        <v>31.68229429640677</v>
      </c>
      <c r="O86" s="154">
        <f t="shared" si="3"/>
        <v>54.109375383936559</v>
      </c>
      <c r="P86" s="154">
        <f t="shared" si="4"/>
        <v>41.123125291791787</v>
      </c>
      <c r="Q86" s="154">
        <f t="shared" si="5"/>
        <v>49.780625353221637</v>
      </c>
      <c r="R86" s="154">
        <f t="shared" si="6"/>
        <v>61.68468793768767</v>
      </c>
      <c r="S86" s="154">
        <f t="shared" si="7"/>
        <v>70.342187999117527</v>
      </c>
      <c r="T86" s="29" t="str">
        <f t="shared" si="8"/>
        <v>A</v>
      </c>
      <c r="U86">
        <f>((SUM($J$30:J86)*L86/(M86*SUM($G$30:G86))))*10^6</f>
        <v>39.986432315650532</v>
      </c>
    </row>
    <row r="87" spans="2:21" ht="15.75" x14ac:dyDescent="0.25">
      <c r="B87" s="13">
        <v>58</v>
      </c>
      <c r="C87" s="456"/>
      <c r="D87" s="456"/>
      <c r="E87" s="457">
        <v>0.6875</v>
      </c>
      <c r="F87" s="54">
        <v>0.6875</v>
      </c>
      <c r="G87" s="21">
        <f>'Testing DK9 (3)'!N88</f>
        <v>0.38290438295397072</v>
      </c>
      <c r="H87" s="153">
        <f>'Testing DK9 (3)'!BW88</f>
        <v>1.8146164029509238E-2</v>
      </c>
      <c r="I87" s="153">
        <v>2.1428571428571399E-3</v>
      </c>
      <c r="J87" s="153">
        <f t="shared" si="1"/>
        <v>2.0289021172366379E-2</v>
      </c>
      <c r="K87" s="31" t="s">
        <v>257</v>
      </c>
      <c r="L87" s="31">
        <v>3.206</v>
      </c>
      <c r="M87" s="31">
        <v>2624</v>
      </c>
      <c r="N87" s="154">
        <f t="shared" si="2"/>
        <v>64.739664598376805</v>
      </c>
      <c r="O87" s="154">
        <f t="shared" si="3"/>
        <v>54.109375383936559</v>
      </c>
      <c r="P87" s="154">
        <f t="shared" si="4"/>
        <v>41.123125291791787</v>
      </c>
      <c r="Q87" s="154">
        <f t="shared" si="5"/>
        <v>49.780625353221637</v>
      </c>
      <c r="R87" s="154">
        <f t="shared" si="6"/>
        <v>61.68468793768767</v>
      </c>
      <c r="S87" s="154">
        <f t="shared" si="7"/>
        <v>70.342187999117527</v>
      </c>
      <c r="T87" s="29" t="str">
        <f t="shared" si="8"/>
        <v>E</v>
      </c>
      <c r="U87">
        <f>((SUM($J$30:J87)*L87/(M87*SUM($G$30:G87))))*10^6</f>
        <v>40.387078859621923</v>
      </c>
    </row>
    <row r="88" spans="2:21" ht="15.75" x14ac:dyDescent="0.25">
      <c r="B88" s="13">
        <v>59</v>
      </c>
      <c r="C88" s="456"/>
      <c r="D88" s="456"/>
      <c r="E88" s="457"/>
      <c r="F88" s="54">
        <v>0.68958333333333333</v>
      </c>
      <c r="G88" s="21">
        <f>'Testing DK9 (3)'!N89</f>
        <v>0.46291613342937243</v>
      </c>
      <c r="H88" s="153">
        <f>'Testing DK9 (3)'!BW89</f>
        <v>1.2519749065494192E-2</v>
      </c>
      <c r="I88" s="153">
        <v>2.1428571428571399E-3</v>
      </c>
      <c r="J88" s="153">
        <f t="shared" si="1"/>
        <v>1.4662606208351331E-2</v>
      </c>
      <c r="K88" s="31" t="s">
        <v>257</v>
      </c>
      <c r="L88" s="31">
        <v>3.206</v>
      </c>
      <c r="M88" s="31">
        <v>2624</v>
      </c>
      <c r="N88" s="154">
        <f t="shared" si="2"/>
        <v>38.69978402226036</v>
      </c>
      <c r="O88" s="154">
        <f t="shared" si="3"/>
        <v>54.109375383936559</v>
      </c>
      <c r="P88" s="154">
        <f t="shared" si="4"/>
        <v>41.123125291791787</v>
      </c>
      <c r="Q88" s="154">
        <f t="shared" si="5"/>
        <v>49.780625353221637</v>
      </c>
      <c r="R88" s="154">
        <f t="shared" si="6"/>
        <v>61.68468793768767</v>
      </c>
      <c r="S88" s="154">
        <f t="shared" si="7"/>
        <v>70.342187999117527</v>
      </c>
      <c r="T88" s="29" t="str">
        <f t="shared" si="8"/>
        <v>A</v>
      </c>
      <c r="U88">
        <f>((SUM($J$30:J88)*L88/(M88*SUM($G$30:G88))))*10^6</f>
        <v>40.354695914798519</v>
      </c>
    </row>
    <row r="89" spans="2:21" ht="15.75" x14ac:dyDescent="0.25">
      <c r="B89" s="13">
        <v>60</v>
      </c>
      <c r="C89" s="456"/>
      <c r="D89" s="456"/>
      <c r="E89" s="457"/>
      <c r="F89" s="54">
        <v>0.69166666666666698</v>
      </c>
      <c r="G89" s="21">
        <f>'Testing DK9 (3)'!N90</f>
        <v>0.56899092413795693</v>
      </c>
      <c r="H89" s="153">
        <f>'Testing DK9 (3)'!BW90</f>
        <v>2.0072778176152075E-2</v>
      </c>
      <c r="I89" s="153">
        <v>2.1428571428571399E-3</v>
      </c>
      <c r="J89" s="153">
        <f t="shared" si="1"/>
        <v>2.2215635319009216E-2</v>
      </c>
      <c r="K89" s="31" t="s">
        <v>257</v>
      </c>
      <c r="L89" s="31">
        <v>3.206</v>
      </c>
      <c r="M89" s="31">
        <v>2624</v>
      </c>
      <c r="N89" s="154">
        <f t="shared" si="2"/>
        <v>47.703812115544736</v>
      </c>
      <c r="O89" s="154">
        <f t="shared" si="3"/>
        <v>54.109375383936559</v>
      </c>
      <c r="P89" s="154">
        <f t="shared" si="4"/>
        <v>41.123125291791787</v>
      </c>
      <c r="Q89" s="154">
        <f t="shared" si="5"/>
        <v>49.780625353221637</v>
      </c>
      <c r="R89" s="154">
        <f t="shared" si="6"/>
        <v>61.68468793768767</v>
      </c>
      <c r="S89" s="154">
        <f t="shared" si="7"/>
        <v>70.342187999117527</v>
      </c>
      <c r="T89" s="29" t="str">
        <f t="shared" si="8"/>
        <v>B</v>
      </c>
      <c r="U89">
        <f>((SUM($J$30:J89)*L89/(M89*SUM($G$30:G89))))*10^6</f>
        <v>40.524066291710696</v>
      </c>
    </row>
    <row r="90" spans="2:21" ht="15.75" x14ac:dyDescent="0.25">
      <c r="B90" s="13">
        <v>61</v>
      </c>
      <c r="C90" s="456"/>
      <c r="D90" s="456"/>
      <c r="E90" s="457"/>
      <c r="F90" s="54">
        <v>0.69374999999999998</v>
      </c>
      <c r="G90" s="21">
        <f>'Testing DK9 (3)'!N91</f>
        <v>0.53120521641044127</v>
      </c>
      <c r="H90" s="153">
        <f>'Testing DK9 (3)'!BW91</f>
        <v>1.542842815655854E-2</v>
      </c>
      <c r="I90" s="153">
        <v>2.1428571428571399E-3</v>
      </c>
      <c r="J90" s="153">
        <f t="shared" si="1"/>
        <v>1.7571285299415679E-2</v>
      </c>
      <c r="K90" s="31" t="s">
        <v>257</v>
      </c>
      <c r="L90" s="31">
        <v>3.206</v>
      </c>
      <c r="M90" s="31">
        <v>2624</v>
      </c>
      <c r="N90" s="154">
        <f t="shared" si="2"/>
        <v>40.414842112245843</v>
      </c>
      <c r="O90" s="154">
        <f t="shared" si="3"/>
        <v>54.109375383936559</v>
      </c>
      <c r="P90" s="154">
        <f t="shared" si="4"/>
        <v>41.123125291791787</v>
      </c>
      <c r="Q90" s="154">
        <f t="shared" si="5"/>
        <v>49.780625353221637</v>
      </c>
      <c r="R90" s="154">
        <f t="shared" si="6"/>
        <v>61.68468793768767</v>
      </c>
      <c r="S90" s="154">
        <f t="shared" si="7"/>
        <v>70.342187999117527</v>
      </c>
      <c r="T90" s="29" t="str">
        <f t="shared" si="8"/>
        <v>A</v>
      </c>
      <c r="U90">
        <f>((SUM($J$30:J90)*L90/(M90*SUM($G$30:G90))))*10^6</f>
        <v>40.521765734723928</v>
      </c>
    </row>
    <row r="91" spans="2:21" ht="15.75" x14ac:dyDescent="0.25">
      <c r="B91" s="13">
        <v>62</v>
      </c>
      <c r="C91" s="456"/>
      <c r="D91" s="456"/>
      <c r="E91" s="457"/>
      <c r="F91" s="54">
        <v>0.69583333333333297</v>
      </c>
      <c r="G91" s="21">
        <f>'Testing DK9 (3)'!N92</f>
        <v>0.45467216042567871</v>
      </c>
      <c r="H91" s="153">
        <f>'Testing DK9 (3)'!BW92</f>
        <v>9.1035689826200542E-3</v>
      </c>
      <c r="I91" s="153">
        <v>2.1428571428571399E-3</v>
      </c>
      <c r="J91" s="153">
        <f t="shared" si="1"/>
        <v>1.1246426125477195E-2</v>
      </c>
      <c r="K91" s="31" t="s">
        <v>257</v>
      </c>
      <c r="L91" s="31">
        <v>3.206</v>
      </c>
      <c r="M91" s="31">
        <v>2624</v>
      </c>
      <c r="N91" s="154">
        <f t="shared" si="2"/>
        <v>30.221489066076931</v>
      </c>
      <c r="O91" s="154">
        <f t="shared" si="3"/>
        <v>54.109375383936559</v>
      </c>
      <c r="P91" s="154">
        <f t="shared" si="4"/>
        <v>41.123125291791787</v>
      </c>
      <c r="Q91" s="154">
        <f t="shared" si="5"/>
        <v>49.780625353221637</v>
      </c>
      <c r="R91" s="154">
        <f t="shared" si="6"/>
        <v>61.68468793768767</v>
      </c>
      <c r="S91" s="154">
        <f t="shared" si="7"/>
        <v>70.342187999117527</v>
      </c>
      <c r="T91" s="29" t="str">
        <f t="shared" si="8"/>
        <v>A</v>
      </c>
      <c r="U91">
        <f>((SUM($J$30:J91)*L91/(M91*SUM($G$30:G91))))*10^6</f>
        <v>40.33935963537467</v>
      </c>
    </row>
    <row r="92" spans="2:21" ht="15.75" x14ac:dyDescent="0.25">
      <c r="B92" s="13">
        <v>63</v>
      </c>
      <c r="C92" s="456"/>
      <c r="D92" s="456"/>
      <c r="E92" s="457"/>
      <c r="F92" s="54">
        <v>0.69791666666666696</v>
      </c>
      <c r="G92" s="21">
        <f>'Testing DK9 (3)'!N93</f>
        <v>0.39145462614414622</v>
      </c>
      <c r="H92" s="153">
        <f>'Testing DK9 (3)'!BW93</f>
        <v>5.7643938095109041E-3</v>
      </c>
      <c r="I92" s="153">
        <v>2.1428571428571399E-3</v>
      </c>
      <c r="J92" s="153">
        <f t="shared" si="1"/>
        <v>7.9072509523680432E-3</v>
      </c>
      <c r="K92" s="31" t="s">
        <v>257</v>
      </c>
      <c r="L92" s="31">
        <v>3.206</v>
      </c>
      <c r="M92" s="31">
        <v>2624</v>
      </c>
      <c r="N92" s="154">
        <f t="shared" si="2"/>
        <v>24.679921823319546</v>
      </c>
      <c r="O92" s="154">
        <f t="shared" si="3"/>
        <v>54.109375383936559</v>
      </c>
      <c r="P92" s="154">
        <f t="shared" si="4"/>
        <v>41.123125291791787</v>
      </c>
      <c r="Q92" s="154">
        <f t="shared" si="5"/>
        <v>49.780625353221637</v>
      </c>
      <c r="R92" s="154">
        <f t="shared" si="6"/>
        <v>61.68468793768767</v>
      </c>
      <c r="S92" s="154">
        <f t="shared" si="7"/>
        <v>70.342187999117527</v>
      </c>
      <c r="T92" s="29" t="str">
        <f t="shared" si="8"/>
        <v>A</v>
      </c>
      <c r="U92">
        <f>((SUM($J$30:J92)*L92/(M92*SUM($G$30:G92))))*10^6</f>
        <v>40.104191677648011</v>
      </c>
    </row>
    <row r="93" spans="2:21" ht="15.75" x14ac:dyDescent="0.25">
      <c r="B93" s="13">
        <v>64</v>
      </c>
      <c r="C93" s="456"/>
      <c r="D93" s="456"/>
      <c r="E93" s="457"/>
      <c r="F93" s="54">
        <v>0.7</v>
      </c>
      <c r="G93" s="21">
        <f>'Testing DK9 (3)'!N94</f>
        <v>0.54732154242179065</v>
      </c>
      <c r="H93" s="153">
        <f>'Testing DK9 (3)'!BW94</f>
        <v>1.7253702023136131E-2</v>
      </c>
      <c r="I93" s="153">
        <v>2.1428571428571399E-3</v>
      </c>
      <c r="J93" s="153">
        <f t="shared" si="1"/>
        <v>1.9396559165993272E-2</v>
      </c>
      <c r="K93" s="31" t="s">
        <v>257</v>
      </c>
      <c r="L93" s="31">
        <v>3.206</v>
      </c>
      <c r="M93" s="31">
        <v>2624</v>
      </c>
      <c r="N93" s="154">
        <f t="shared" si="2"/>
        <v>43.299396237553623</v>
      </c>
      <c r="O93" s="154">
        <f t="shared" si="3"/>
        <v>54.109375383936559</v>
      </c>
      <c r="P93" s="154">
        <f t="shared" si="4"/>
        <v>41.123125291791787</v>
      </c>
      <c r="Q93" s="154">
        <f t="shared" si="5"/>
        <v>49.780625353221637</v>
      </c>
      <c r="R93" s="154">
        <f t="shared" si="6"/>
        <v>61.68468793768767</v>
      </c>
      <c r="S93" s="154">
        <f t="shared" si="7"/>
        <v>70.342187999117527</v>
      </c>
      <c r="T93" s="29" t="str">
        <f t="shared" si="8"/>
        <v>B</v>
      </c>
      <c r="U93">
        <f>((SUM($J$30:J93)*L93/(M93*SUM($G$30:G93))))*10^6</f>
        <v>40.169902541206312</v>
      </c>
    </row>
    <row r="94" spans="2:21" ht="15.75" x14ac:dyDescent="0.25">
      <c r="B94" s="13">
        <v>65</v>
      </c>
      <c r="C94" s="456"/>
      <c r="D94" s="456"/>
      <c r="E94" s="457">
        <v>0.70138888888888895</v>
      </c>
      <c r="F94" s="54">
        <v>0.70138888888888895</v>
      </c>
      <c r="G94" s="21">
        <f>'Testing DK9 (3)'!N95</f>
        <v>0.39033272701185834</v>
      </c>
      <c r="H94" s="153">
        <f>'Testing DK9 (3)'!BW95</f>
        <v>1.5026469377557484E-2</v>
      </c>
      <c r="I94" s="153">
        <v>2.1428571428571399E-3</v>
      </c>
      <c r="J94" s="153">
        <f t="shared" si="1"/>
        <v>1.7169326520414623E-2</v>
      </c>
      <c r="K94" s="31" t="s">
        <v>257</v>
      </c>
      <c r="L94" s="31">
        <v>3.206</v>
      </c>
      <c r="M94" s="31">
        <v>2624</v>
      </c>
      <c r="N94" s="154">
        <f t="shared" si="2"/>
        <v>53.742514405670661</v>
      </c>
      <c r="O94" s="154">
        <f t="shared" si="3"/>
        <v>54.109375383936559</v>
      </c>
      <c r="P94" s="154">
        <f t="shared" si="4"/>
        <v>41.123125291791787</v>
      </c>
      <c r="Q94" s="154">
        <f t="shared" si="5"/>
        <v>49.780625353221637</v>
      </c>
      <c r="R94" s="154">
        <f t="shared" si="6"/>
        <v>61.68468793768767</v>
      </c>
      <c r="S94" s="154">
        <f t="shared" si="7"/>
        <v>70.342187999117527</v>
      </c>
      <c r="T94" s="29" t="str">
        <f t="shared" si="8"/>
        <v>C</v>
      </c>
      <c r="U94">
        <f>((SUM($J$30:J94)*L94/(M94*SUM($G$30:G94))))*10^6</f>
        <v>40.366089879175227</v>
      </c>
    </row>
    <row r="95" spans="2:21" ht="15.75" x14ac:dyDescent="0.25">
      <c r="B95" s="13">
        <v>66</v>
      </c>
      <c r="C95" s="456"/>
      <c r="D95" s="456"/>
      <c r="E95" s="457"/>
      <c r="F95" s="54">
        <v>0.70347222222222217</v>
      </c>
      <c r="G95" s="21">
        <f>'Testing DK9 (3)'!N96</f>
        <v>0.47509539685502394</v>
      </c>
      <c r="H95" s="153">
        <f>'Testing DK9 (3)'!BW96</f>
        <v>1.0486104882835216E-2</v>
      </c>
      <c r="I95" s="153">
        <v>2.1428571428571399E-3</v>
      </c>
      <c r="J95" s="153">
        <f t="shared" ref="J95:J130" si="9">H95+I95</f>
        <v>1.2628962025692355E-2</v>
      </c>
      <c r="K95" s="31" t="s">
        <v>257</v>
      </c>
      <c r="L95" s="31">
        <v>3.206</v>
      </c>
      <c r="M95" s="31">
        <v>2624</v>
      </c>
      <c r="N95" s="154">
        <f t="shared" ref="N95:N148" si="10">((J95*L95)/(M95*G95))*10^6</f>
        <v>32.477793941931672</v>
      </c>
      <c r="O95" s="154">
        <f t="shared" ref="O95:O130" si="11">2023*M95^(-0.46)</f>
        <v>54.109375383936559</v>
      </c>
      <c r="P95" s="154">
        <f t="shared" ref="P95:P149" si="12">0.76*O95</f>
        <v>41.123125291791787</v>
      </c>
      <c r="Q95" s="154">
        <f t="shared" ref="Q95:Q130" si="13">0.92*O95</f>
        <v>49.780625353221637</v>
      </c>
      <c r="R95" s="154">
        <f t="shared" ref="R95:R130" si="14">1.14*O95</f>
        <v>61.68468793768767</v>
      </c>
      <c r="S95" s="154">
        <f t="shared" ref="S95:S130" si="15">1.3*O95</f>
        <v>70.342187999117527</v>
      </c>
      <c r="T95" s="29" t="str">
        <f t="shared" ref="T95:T130" si="16">IF(N95&lt;=P95,"A",IF((AND(N95&lt;=Q95,N95&gt;P95)),"B",IF((AND(N95&lt;=O95,N95&gt;Q95)),"C",IF((AND(N95&lt;=R95,N95&gt;O95)),"D","E"))))</f>
        <v>A</v>
      </c>
      <c r="U95">
        <f>((SUM($J$30:J95)*L95/(M95*SUM($G$30:G95))))*10^6</f>
        <v>40.229706246974665</v>
      </c>
    </row>
    <row r="96" spans="2:21" ht="15.75" x14ac:dyDescent="0.25">
      <c r="B96" s="13">
        <v>67</v>
      </c>
      <c r="C96" s="456"/>
      <c r="D96" s="456"/>
      <c r="E96" s="457"/>
      <c r="F96" s="54">
        <v>0.70555555555555505</v>
      </c>
      <c r="G96" s="21">
        <f>'Testing DK9 (3)'!N97</f>
        <v>0.45118680479668366</v>
      </c>
      <c r="H96" s="153">
        <f>'Testing DK9 (3)'!BW97</f>
        <v>8.8849445415818459E-3</v>
      </c>
      <c r="I96" s="153">
        <v>2.1428571428571399E-3</v>
      </c>
      <c r="J96" s="153">
        <f t="shared" si="9"/>
        <v>1.1027801684438985E-2</v>
      </c>
      <c r="K96" s="31" t="s">
        <v>257</v>
      </c>
      <c r="L96" s="31">
        <v>3.206</v>
      </c>
      <c r="M96" s="31">
        <v>2624</v>
      </c>
      <c r="N96" s="154">
        <f t="shared" si="10"/>
        <v>29.862918210962597</v>
      </c>
      <c r="O96" s="154">
        <f t="shared" si="11"/>
        <v>54.109375383936559</v>
      </c>
      <c r="P96" s="154">
        <f t="shared" si="12"/>
        <v>41.123125291791787</v>
      </c>
      <c r="Q96" s="154">
        <f t="shared" si="13"/>
        <v>49.780625353221637</v>
      </c>
      <c r="R96" s="154">
        <f t="shared" si="14"/>
        <v>61.68468793768767</v>
      </c>
      <c r="S96" s="154">
        <f t="shared" si="15"/>
        <v>70.342187999117527</v>
      </c>
      <c r="T96" s="29" t="str">
        <f t="shared" si="16"/>
        <v>A</v>
      </c>
      <c r="U96">
        <f>((SUM($J$30:J96)*L96/(M96*SUM($G$30:G96))))*10^6</f>
        <v>40.062240519351171</v>
      </c>
    </row>
    <row r="97" spans="2:21" ht="15.75" x14ac:dyDescent="0.25">
      <c r="B97" s="13">
        <v>68</v>
      </c>
      <c r="C97" s="456"/>
      <c r="D97" s="456"/>
      <c r="E97" s="457"/>
      <c r="F97" s="54">
        <v>0.70763888888888904</v>
      </c>
      <c r="G97" s="21">
        <f>'Testing DK9 (3)'!N98</f>
        <v>0.53631745320393243</v>
      </c>
      <c r="H97" s="153">
        <f>'Testing DK9 (3)'!BW98</f>
        <v>1.5984365631667299E-2</v>
      </c>
      <c r="I97" s="153">
        <v>2.1428571428571399E-3</v>
      </c>
      <c r="J97" s="153">
        <f t="shared" si="9"/>
        <v>1.812722277452444E-2</v>
      </c>
      <c r="K97" s="31" t="s">
        <v>257</v>
      </c>
      <c r="L97" s="31">
        <v>3.206</v>
      </c>
      <c r="M97" s="31">
        <v>2624</v>
      </c>
      <c r="N97" s="154">
        <f t="shared" si="10"/>
        <v>41.296099068256702</v>
      </c>
      <c r="O97" s="154">
        <f t="shared" si="11"/>
        <v>54.109375383936559</v>
      </c>
      <c r="P97" s="154">
        <f t="shared" si="12"/>
        <v>41.123125291791787</v>
      </c>
      <c r="Q97" s="154">
        <f t="shared" si="13"/>
        <v>49.780625353221637</v>
      </c>
      <c r="R97" s="154">
        <f t="shared" si="14"/>
        <v>61.68468793768767</v>
      </c>
      <c r="S97" s="154">
        <f t="shared" si="15"/>
        <v>70.342187999117527</v>
      </c>
      <c r="T97" s="29" t="str">
        <f t="shared" si="16"/>
        <v>B</v>
      </c>
      <c r="U97">
        <f>((SUM($J$30:J97)*L97/(M97*SUM($G$30:G97))))*10^6</f>
        <v>40.085486739933437</v>
      </c>
    </row>
    <row r="98" spans="2:21" ht="15.75" x14ac:dyDescent="0.25">
      <c r="B98" s="13">
        <v>69</v>
      </c>
      <c r="C98" s="456"/>
      <c r="D98" s="456"/>
      <c r="E98" s="457"/>
      <c r="F98" s="54">
        <v>0.70972222222222203</v>
      </c>
      <c r="G98" s="21">
        <f>'Testing DK9 (3)'!N99</f>
        <v>0.4854854362511814</v>
      </c>
      <c r="H98" s="153">
        <f>'Testing DK9 (3)'!BW99</f>
        <v>1.1263162672510277E-2</v>
      </c>
      <c r="I98" s="153">
        <v>2.1428571428571399E-3</v>
      </c>
      <c r="J98" s="153">
        <f t="shared" si="9"/>
        <v>1.3406019815367418E-2</v>
      </c>
      <c r="K98" s="31" t="s">
        <v>257</v>
      </c>
      <c r="L98" s="31">
        <v>3.206</v>
      </c>
      <c r="M98" s="31">
        <v>2624</v>
      </c>
      <c r="N98" s="154">
        <f t="shared" si="10"/>
        <v>33.738311056434704</v>
      </c>
      <c r="O98" s="154">
        <f t="shared" si="11"/>
        <v>54.109375383936559</v>
      </c>
      <c r="P98" s="154">
        <f t="shared" si="12"/>
        <v>41.123125291791787</v>
      </c>
      <c r="Q98" s="154">
        <f t="shared" si="13"/>
        <v>49.780625353221637</v>
      </c>
      <c r="R98" s="154">
        <f t="shared" si="14"/>
        <v>61.68468793768767</v>
      </c>
      <c r="S98" s="154">
        <f t="shared" si="15"/>
        <v>70.342187999117527</v>
      </c>
      <c r="T98" s="29" t="str">
        <f t="shared" si="16"/>
        <v>A</v>
      </c>
      <c r="U98">
        <f>((SUM($J$30:J98)*L98/(M98*SUM($G$30:G98))))*10^6</f>
        <v>39.979053443885</v>
      </c>
    </row>
    <row r="99" spans="2:21" ht="15.75" x14ac:dyDescent="0.25">
      <c r="B99" s="13">
        <v>70</v>
      </c>
      <c r="C99" s="456"/>
      <c r="D99" s="456"/>
      <c r="E99" s="457"/>
      <c r="F99" s="54">
        <v>0.71180555555555503</v>
      </c>
      <c r="G99" s="21">
        <f>'Testing DK9 (3)'!N100</f>
        <v>0.43620645408677816</v>
      </c>
      <c r="H99" s="153">
        <f>'Testing DK9 (3)'!BW100</f>
        <v>7.9966150704261357E-3</v>
      </c>
      <c r="I99" s="153">
        <v>2.1428571428571399E-3</v>
      </c>
      <c r="J99" s="153">
        <f t="shared" si="9"/>
        <v>1.0139472213283277E-2</v>
      </c>
      <c r="K99" s="31" t="s">
        <v>257</v>
      </c>
      <c r="L99" s="31">
        <v>3.206</v>
      </c>
      <c r="M99" s="31">
        <v>2624</v>
      </c>
      <c r="N99" s="154">
        <f t="shared" si="10"/>
        <v>28.400301437344083</v>
      </c>
      <c r="O99" s="154">
        <f t="shared" si="11"/>
        <v>54.109375383936559</v>
      </c>
      <c r="P99" s="154">
        <f t="shared" si="12"/>
        <v>41.123125291791787</v>
      </c>
      <c r="Q99" s="154">
        <f t="shared" si="13"/>
        <v>49.780625353221637</v>
      </c>
      <c r="R99" s="154">
        <f t="shared" si="14"/>
        <v>61.68468793768767</v>
      </c>
      <c r="S99" s="154">
        <f t="shared" si="15"/>
        <v>70.342187999117527</v>
      </c>
      <c r="T99" s="29" t="str">
        <f t="shared" si="16"/>
        <v>A</v>
      </c>
      <c r="U99">
        <f>((SUM($J$30:J99)*L99/(M99*SUM($G$30:G99))))*10^6</f>
        <v>39.80719134040757</v>
      </c>
    </row>
    <row r="100" spans="2:21" ht="15.75" x14ac:dyDescent="0.25">
      <c r="B100" s="13">
        <v>71</v>
      </c>
      <c r="C100" s="456"/>
      <c r="D100" s="456"/>
      <c r="E100" s="457"/>
      <c r="F100" s="54">
        <v>0.71388888888888802</v>
      </c>
      <c r="G100" s="21">
        <f>'Testing DK9 (3)'!N101</f>
        <v>0.44260167222370667</v>
      </c>
      <c r="H100" s="153">
        <f>'Testing DK9 (3)'!BW101</f>
        <v>8.3660024597102707E-3</v>
      </c>
      <c r="I100" s="153">
        <v>2.1428571428571399E-3</v>
      </c>
      <c r="J100" s="153">
        <f t="shared" si="9"/>
        <v>1.0508859602567412E-2</v>
      </c>
      <c r="K100" s="31" t="s">
        <v>257</v>
      </c>
      <c r="L100" s="31">
        <v>3.206</v>
      </c>
      <c r="M100" s="31">
        <v>2624</v>
      </c>
      <c r="N100" s="154">
        <f t="shared" si="10"/>
        <v>29.00963248110995</v>
      </c>
      <c r="O100" s="154">
        <f t="shared" si="11"/>
        <v>54.109375383936559</v>
      </c>
      <c r="P100" s="154">
        <f t="shared" si="12"/>
        <v>41.123125291791787</v>
      </c>
      <c r="Q100" s="154">
        <f t="shared" si="13"/>
        <v>49.780625353221637</v>
      </c>
      <c r="R100" s="154">
        <f t="shared" si="14"/>
        <v>61.68468793768767</v>
      </c>
      <c r="S100" s="154">
        <f t="shared" si="15"/>
        <v>70.342187999117527</v>
      </c>
      <c r="T100" s="29" t="str">
        <f t="shared" si="16"/>
        <v>A</v>
      </c>
      <c r="U100">
        <f>((SUM($J$30:J100)*L100/(M100*SUM($G$30:G100))))*10^6</f>
        <v>39.646987476323858</v>
      </c>
    </row>
    <row r="101" spans="2:21" ht="15.75" x14ac:dyDescent="0.25">
      <c r="B101" s="13">
        <v>72</v>
      </c>
      <c r="C101" s="456"/>
      <c r="D101" s="456"/>
      <c r="E101" s="457">
        <v>0.71527777777777701</v>
      </c>
      <c r="F101" s="54">
        <v>0.71527777777777701</v>
      </c>
      <c r="G101" s="21">
        <f>'Testing DK9 (3)'!N102</f>
        <v>0.35343335378252333</v>
      </c>
      <c r="H101" s="153">
        <f>'Testing DK9 (3)'!BW102</f>
        <v>1.0210818995906253E-2</v>
      </c>
      <c r="I101" s="153">
        <v>2.1428571428571399E-3</v>
      </c>
      <c r="J101" s="153">
        <f t="shared" si="9"/>
        <v>1.2353676138763394E-2</v>
      </c>
      <c r="K101" s="31" t="s">
        <v>257</v>
      </c>
      <c r="L101" s="31">
        <v>3.206</v>
      </c>
      <c r="M101" s="31">
        <v>2624</v>
      </c>
      <c r="N101" s="154">
        <f t="shared" si="10"/>
        <v>42.705948036160606</v>
      </c>
      <c r="O101" s="154">
        <f t="shared" si="11"/>
        <v>54.109375383936559</v>
      </c>
      <c r="P101" s="154">
        <f t="shared" si="12"/>
        <v>41.123125291791787</v>
      </c>
      <c r="Q101" s="154">
        <f t="shared" si="13"/>
        <v>49.780625353221637</v>
      </c>
      <c r="R101" s="154">
        <f t="shared" si="14"/>
        <v>61.68468793768767</v>
      </c>
      <c r="S101" s="154">
        <f t="shared" si="15"/>
        <v>70.342187999117527</v>
      </c>
      <c r="T101" s="29" t="str">
        <f t="shared" si="16"/>
        <v>B</v>
      </c>
      <c r="U101">
        <f>((SUM($J$30:J101)*L101/(M101*SUM($G$30:G101))))*10^6</f>
        <v>39.682805409765692</v>
      </c>
    </row>
    <row r="102" spans="2:21" ht="15.75" x14ac:dyDescent="0.25">
      <c r="B102" s="13">
        <v>73</v>
      </c>
      <c r="C102" s="456"/>
      <c r="D102" s="456"/>
      <c r="E102" s="457"/>
      <c r="F102" s="54">
        <v>0.71736111111111101</v>
      </c>
      <c r="G102" s="21">
        <f>'Testing DK9 (3)'!N103</f>
        <v>0.33549181491482272</v>
      </c>
      <c r="H102" s="153">
        <f>'Testing DK9 (3)'!BW103</f>
        <v>3.6653804114940339E-3</v>
      </c>
      <c r="I102" s="153">
        <v>2.1428571428571399E-3</v>
      </c>
      <c r="J102" s="153">
        <f t="shared" si="9"/>
        <v>5.8082375543511734E-3</v>
      </c>
      <c r="K102" s="31" t="s">
        <v>257</v>
      </c>
      <c r="L102" s="31">
        <v>3.206</v>
      </c>
      <c r="M102" s="31">
        <v>2624</v>
      </c>
      <c r="N102" s="154">
        <f t="shared" si="10"/>
        <v>21.152520703050378</v>
      </c>
      <c r="O102" s="154">
        <f t="shared" si="11"/>
        <v>54.109375383936559</v>
      </c>
      <c r="P102" s="154">
        <f t="shared" si="12"/>
        <v>41.123125291791787</v>
      </c>
      <c r="Q102" s="154">
        <f t="shared" si="13"/>
        <v>49.780625353221637</v>
      </c>
      <c r="R102" s="154">
        <f t="shared" si="14"/>
        <v>61.68468793768767</v>
      </c>
      <c r="S102" s="154">
        <f t="shared" si="15"/>
        <v>70.342187999117527</v>
      </c>
      <c r="T102" s="29" t="str">
        <f t="shared" si="16"/>
        <v>A</v>
      </c>
      <c r="U102">
        <f>((SUM($J$30:J102)*L102/(M102*SUM($G$30:G102))))*10^6</f>
        <v>39.479109327505178</v>
      </c>
    </row>
    <row r="103" spans="2:21" ht="15.75" x14ac:dyDescent="0.25">
      <c r="B103" s="13">
        <v>74</v>
      </c>
      <c r="C103" s="456"/>
      <c r="D103" s="456"/>
      <c r="E103" s="457"/>
      <c r="F103" s="54">
        <v>0.719444444444445</v>
      </c>
      <c r="G103" s="21">
        <f>'Testing DK9 (3)'!N104</f>
        <v>0.39289468821718143</v>
      </c>
      <c r="H103" s="153">
        <f>'Testing DK9 (3)'!BW104</f>
        <v>5.8276903560608995E-3</v>
      </c>
      <c r="I103" s="153">
        <v>2.1428571428571399E-3</v>
      </c>
      <c r="J103" s="153">
        <f t="shared" si="9"/>
        <v>7.9705474989180403E-3</v>
      </c>
      <c r="K103" s="31" t="s">
        <v>257</v>
      </c>
      <c r="L103" s="31">
        <v>3.206</v>
      </c>
      <c r="M103" s="31">
        <v>2624</v>
      </c>
      <c r="N103" s="154">
        <f t="shared" si="10"/>
        <v>24.786298990672691</v>
      </c>
      <c r="O103" s="154">
        <f t="shared" si="11"/>
        <v>54.109375383936559</v>
      </c>
      <c r="P103" s="154">
        <f t="shared" si="12"/>
        <v>41.123125291791787</v>
      </c>
      <c r="Q103" s="154">
        <f t="shared" si="13"/>
        <v>49.780625353221637</v>
      </c>
      <c r="R103" s="154">
        <f t="shared" si="14"/>
        <v>61.68468793768767</v>
      </c>
      <c r="S103" s="154">
        <f t="shared" si="15"/>
        <v>70.342187999117527</v>
      </c>
      <c r="T103" s="29" t="str">
        <f t="shared" si="16"/>
        <v>A</v>
      </c>
      <c r="U103">
        <f>((SUM($J$30:J103)*L103/(M103*SUM($G$30:G103))))*10^6</f>
        <v>39.292366255262301</v>
      </c>
    </row>
    <row r="104" spans="2:21" ht="15.75" x14ac:dyDescent="0.25">
      <c r="B104" s="13">
        <v>75</v>
      </c>
      <c r="C104" s="456"/>
      <c r="D104" s="456"/>
      <c r="E104" s="457"/>
      <c r="F104" s="54">
        <v>0.72152777777777899</v>
      </c>
      <c r="G104" s="21">
        <f>'Testing DK9 (3)'!N105</f>
        <v>0.48224276633436386</v>
      </c>
      <c r="H104" s="153">
        <f>'Testing DK9 (3)'!BW105</f>
        <v>1.1014858391954098E-2</v>
      </c>
      <c r="I104" s="153">
        <v>2.1428571428571399E-3</v>
      </c>
      <c r="J104" s="153">
        <f t="shared" si="9"/>
        <v>1.3157715534811237E-2</v>
      </c>
      <c r="K104" s="31" t="s">
        <v>257</v>
      </c>
      <c r="L104" s="31">
        <v>3.206</v>
      </c>
      <c r="M104" s="31">
        <v>2624</v>
      </c>
      <c r="N104" s="154">
        <f t="shared" si="10"/>
        <v>33.336074518308969</v>
      </c>
      <c r="O104" s="154">
        <f t="shared" si="11"/>
        <v>54.109375383936559</v>
      </c>
      <c r="P104" s="154">
        <f t="shared" si="12"/>
        <v>41.123125291791787</v>
      </c>
      <c r="Q104" s="154">
        <f t="shared" si="13"/>
        <v>49.780625353221637</v>
      </c>
      <c r="R104" s="154">
        <f t="shared" si="14"/>
        <v>61.68468793768767</v>
      </c>
      <c r="S104" s="154">
        <f t="shared" si="15"/>
        <v>70.342187999117527</v>
      </c>
      <c r="T104" s="29" t="str">
        <f t="shared" si="16"/>
        <v>A</v>
      </c>
      <c r="U104">
        <f>((SUM($J$30:J104)*L104/(M104*SUM($G$30:G104))))*10^6</f>
        <v>39.200874409345793</v>
      </c>
    </row>
    <row r="105" spans="2:21" ht="15.75" x14ac:dyDescent="0.25">
      <c r="B105" s="13">
        <v>76</v>
      </c>
      <c r="C105" s="456"/>
      <c r="D105" s="456"/>
      <c r="E105" s="457"/>
      <c r="F105" s="54">
        <v>0.72361111111111298</v>
      </c>
      <c r="G105" s="21">
        <f>'Testing DK9 (3)'!N106</f>
        <v>0.45584598714020563</v>
      </c>
      <c r="H105" s="153">
        <f>'Testing DK9 (3)'!BW106</f>
        <v>9.1782719171278511E-3</v>
      </c>
      <c r="I105" s="153">
        <v>2.1428571428571399E-3</v>
      </c>
      <c r="J105" s="153">
        <f t="shared" si="9"/>
        <v>1.1321129059984992E-2</v>
      </c>
      <c r="K105" s="31" t="s">
        <v>257</v>
      </c>
      <c r="L105" s="31">
        <v>3.206</v>
      </c>
      <c r="M105" s="31">
        <v>2624</v>
      </c>
      <c r="N105" s="154">
        <f t="shared" si="10"/>
        <v>30.343892607264145</v>
      </c>
      <c r="O105" s="154">
        <f t="shared" si="11"/>
        <v>54.109375383936559</v>
      </c>
      <c r="P105" s="154">
        <f t="shared" si="12"/>
        <v>41.123125291791787</v>
      </c>
      <c r="Q105" s="154">
        <f t="shared" si="13"/>
        <v>49.780625353221637</v>
      </c>
      <c r="R105" s="154">
        <f t="shared" si="14"/>
        <v>61.68468793768767</v>
      </c>
      <c r="S105" s="154">
        <f t="shared" si="15"/>
        <v>70.342187999117527</v>
      </c>
      <c r="T105" s="29" t="str">
        <f t="shared" si="16"/>
        <v>A</v>
      </c>
      <c r="U105">
        <f>((SUM($J$30:J105)*L105/(M105*SUM($G$30:G105))))*10^6</f>
        <v>39.074113865617889</v>
      </c>
    </row>
    <row r="106" spans="2:21" ht="15.75" x14ac:dyDescent="0.25">
      <c r="B106" s="13">
        <v>77</v>
      </c>
      <c r="C106" s="456"/>
      <c r="D106" s="456"/>
      <c r="E106" s="457"/>
      <c r="F106" s="54">
        <v>0.72569444444444697</v>
      </c>
      <c r="G106" s="21">
        <f>'Testing DK9 (3)'!N107</f>
        <v>0.38615645611094945</v>
      </c>
      <c r="H106" s="153">
        <f>'Testing DK9 (3)'!BW107</f>
        <v>7.1652590499670012E-3</v>
      </c>
      <c r="I106" s="153">
        <v>2.1428571428571399E-3</v>
      </c>
      <c r="J106" s="153">
        <f t="shared" si="9"/>
        <v>9.3081161928241403E-3</v>
      </c>
      <c r="K106" s="31" t="s">
        <v>257</v>
      </c>
      <c r="L106" s="31">
        <v>3.206</v>
      </c>
      <c r="M106" s="31">
        <v>2624</v>
      </c>
      <c r="N106" s="154">
        <f t="shared" si="10"/>
        <v>29.450873688782156</v>
      </c>
      <c r="O106" s="154">
        <f t="shared" si="11"/>
        <v>54.109375383936559</v>
      </c>
      <c r="P106" s="154">
        <f t="shared" si="12"/>
        <v>41.123125291791787</v>
      </c>
      <c r="Q106" s="154">
        <f t="shared" si="13"/>
        <v>49.780625353221637</v>
      </c>
      <c r="R106" s="154">
        <f t="shared" si="14"/>
        <v>61.68468793768767</v>
      </c>
      <c r="S106" s="154">
        <f t="shared" si="15"/>
        <v>70.342187999117527</v>
      </c>
      <c r="T106" s="29" t="str">
        <f t="shared" si="16"/>
        <v>A</v>
      </c>
      <c r="U106">
        <f>((SUM($J$30:J106)*L106/(M106*SUM($G$30:G106))))*10^6</f>
        <v>38.95883992596427</v>
      </c>
    </row>
    <row r="107" spans="2:21" ht="15.75" x14ac:dyDescent="0.25">
      <c r="B107" s="13">
        <v>78</v>
      </c>
      <c r="C107" s="456"/>
      <c r="D107" s="456"/>
      <c r="E107" s="457"/>
      <c r="F107" s="54">
        <v>0.72777777777778097</v>
      </c>
      <c r="G107" s="21">
        <f>'Testing DK9 (3)'!N108</f>
        <v>0.30864690113461823</v>
      </c>
      <c r="H107" s="153">
        <f>'Testing DK9 (3)'!BW108</f>
        <v>2.8773915093975905E-3</v>
      </c>
      <c r="I107" s="153">
        <v>2.1428571428571399E-3</v>
      </c>
      <c r="J107" s="153">
        <f t="shared" si="9"/>
        <v>5.0202486522547309E-3</v>
      </c>
      <c r="K107" s="31" t="s">
        <v>257</v>
      </c>
      <c r="L107" s="31">
        <v>3.206</v>
      </c>
      <c r="M107" s="31">
        <v>2624</v>
      </c>
      <c r="N107" s="154">
        <f t="shared" si="10"/>
        <v>19.872979960343454</v>
      </c>
      <c r="O107" s="154">
        <f t="shared" si="11"/>
        <v>54.109375383936559</v>
      </c>
      <c r="P107" s="154">
        <f t="shared" si="12"/>
        <v>41.123125291791787</v>
      </c>
      <c r="Q107" s="154">
        <f t="shared" si="13"/>
        <v>49.780625353221637</v>
      </c>
      <c r="R107" s="154">
        <f t="shared" si="14"/>
        <v>61.68468793768767</v>
      </c>
      <c r="S107" s="154">
        <f t="shared" si="15"/>
        <v>70.342187999117527</v>
      </c>
      <c r="T107" s="29" t="str">
        <f t="shared" si="16"/>
        <v>A</v>
      </c>
      <c r="U107">
        <f>((SUM($J$30:J107)*L107/(M107*SUM($G$30:G107))))*10^6</f>
        <v>38.777838554725115</v>
      </c>
    </row>
    <row r="108" spans="2:21" ht="15.75" x14ac:dyDescent="0.25">
      <c r="B108" s="13">
        <v>79</v>
      </c>
      <c r="C108" s="456"/>
      <c r="D108" s="456"/>
      <c r="E108" s="457">
        <v>0.72916666666666596</v>
      </c>
      <c r="F108" s="54">
        <v>0.72916666666666596</v>
      </c>
      <c r="G108" s="21">
        <f>'Testing DK9 (3)'!N109</f>
        <v>0.24003357577649539</v>
      </c>
      <c r="H108" s="153">
        <f>'Testing DK9 (3)'!BW109</f>
        <v>3.0030942175941636E-3</v>
      </c>
      <c r="I108" s="153">
        <v>2.1428571428571399E-3</v>
      </c>
      <c r="J108" s="153">
        <f t="shared" si="9"/>
        <v>5.1459513604513035E-3</v>
      </c>
      <c r="K108" s="31" t="s">
        <v>257</v>
      </c>
      <c r="L108" s="31">
        <v>3.206</v>
      </c>
      <c r="M108" s="31">
        <v>2624</v>
      </c>
      <c r="N108" s="154">
        <f t="shared" si="10"/>
        <v>26.193490124495451</v>
      </c>
      <c r="O108" s="154">
        <f t="shared" si="11"/>
        <v>54.109375383936559</v>
      </c>
      <c r="P108" s="154">
        <f t="shared" si="12"/>
        <v>41.123125291791787</v>
      </c>
      <c r="Q108" s="154">
        <f t="shared" si="13"/>
        <v>49.780625353221637</v>
      </c>
      <c r="R108" s="154">
        <f t="shared" si="14"/>
        <v>61.68468793768767</v>
      </c>
      <c r="S108" s="154">
        <f t="shared" si="15"/>
        <v>70.342187999117527</v>
      </c>
      <c r="T108" s="29" t="str">
        <f t="shared" si="16"/>
        <v>A</v>
      </c>
      <c r="U108">
        <f>((SUM($J$30:J108)*L108/(M108*SUM($G$30:G108))))*10^6</f>
        <v>38.685704615848891</v>
      </c>
    </row>
    <row r="109" spans="2:21" ht="15.75" x14ac:dyDescent="0.25">
      <c r="B109" s="13">
        <v>80</v>
      </c>
      <c r="C109" s="456"/>
      <c r="D109" s="456"/>
      <c r="E109" s="457"/>
      <c r="F109" s="54">
        <v>0.73125000000000007</v>
      </c>
      <c r="G109" s="21">
        <f>'Testing DK9 (3)'!N110</f>
        <v>0.26539415745427103</v>
      </c>
      <c r="H109" s="153">
        <f>'Testing DK9 (3)'!BW110</f>
        <v>1.8596477220475895E-3</v>
      </c>
      <c r="I109" s="153">
        <v>2.1428571428571399E-3</v>
      </c>
      <c r="J109" s="153">
        <f t="shared" si="9"/>
        <v>4.0025048649047299E-3</v>
      </c>
      <c r="K109" s="31" t="s">
        <v>257</v>
      </c>
      <c r="L109" s="31">
        <v>3.206</v>
      </c>
      <c r="M109" s="31">
        <v>2624</v>
      </c>
      <c r="N109" s="154">
        <f t="shared" si="10"/>
        <v>18.426387414650321</v>
      </c>
      <c r="O109" s="154">
        <f t="shared" si="11"/>
        <v>54.109375383936559</v>
      </c>
      <c r="P109" s="154">
        <f t="shared" si="12"/>
        <v>41.123125291791787</v>
      </c>
      <c r="Q109" s="154">
        <f t="shared" si="13"/>
        <v>49.780625353221637</v>
      </c>
      <c r="R109" s="154">
        <f t="shared" si="14"/>
        <v>61.68468793768767</v>
      </c>
      <c r="S109" s="154">
        <f t="shared" si="15"/>
        <v>70.342187999117527</v>
      </c>
      <c r="T109" s="29" t="str">
        <f t="shared" si="16"/>
        <v>A</v>
      </c>
      <c r="U109">
        <f>((SUM($J$30:J109)*L109/(M109*SUM($G$30:G109))))*10^6</f>
        <v>38.5230255464135</v>
      </c>
    </row>
    <row r="110" spans="2:21" ht="15.75" x14ac:dyDescent="0.25">
      <c r="B110" s="13">
        <v>81</v>
      </c>
      <c r="C110" s="456"/>
      <c r="D110" s="456"/>
      <c r="E110" s="457"/>
      <c r="F110" s="54">
        <v>0.73333333333333395</v>
      </c>
      <c r="G110" s="21">
        <f>'Testing DK9 (3)'!N111</f>
        <v>0.27341325127205157</v>
      </c>
      <c r="H110" s="153">
        <f>'Testing DK9 (3)'!BW111</f>
        <v>2.0265809295090006E-3</v>
      </c>
      <c r="I110" s="153">
        <v>2.1428571428571399E-3</v>
      </c>
      <c r="J110" s="153">
        <f t="shared" si="9"/>
        <v>4.1694380723661401E-3</v>
      </c>
      <c r="K110" s="31" t="s">
        <v>257</v>
      </c>
      <c r="L110" s="31">
        <v>3.206</v>
      </c>
      <c r="M110" s="31">
        <v>2624</v>
      </c>
      <c r="N110" s="154">
        <f t="shared" si="10"/>
        <v>18.631921929297896</v>
      </c>
      <c r="O110" s="154">
        <f t="shared" si="11"/>
        <v>54.109375383936559</v>
      </c>
      <c r="P110" s="154">
        <f t="shared" si="12"/>
        <v>41.123125291791787</v>
      </c>
      <c r="Q110" s="154">
        <f t="shared" si="13"/>
        <v>49.780625353221637</v>
      </c>
      <c r="R110" s="154">
        <f t="shared" si="14"/>
        <v>61.68468793768767</v>
      </c>
      <c r="S110" s="154">
        <f t="shared" si="15"/>
        <v>70.342187999117527</v>
      </c>
      <c r="T110" s="29" t="str">
        <f t="shared" si="16"/>
        <v>A</v>
      </c>
      <c r="U110">
        <f>((SUM($J$30:J110)*L110/(M110*SUM($G$30:G110))))*10^6</f>
        <v>38.359827089479239</v>
      </c>
    </row>
    <row r="111" spans="2:21" ht="15.75" x14ac:dyDescent="0.25">
      <c r="B111" s="13">
        <v>82</v>
      </c>
      <c r="C111" s="456"/>
      <c r="D111" s="456"/>
      <c r="E111" s="457"/>
      <c r="F111" s="54">
        <v>0.73541666666666805</v>
      </c>
      <c r="G111" s="21">
        <f>'Testing DK9 (3)'!N112</f>
        <v>0.25176321687352787</v>
      </c>
      <c r="H111" s="153">
        <f>'Testing DK9 (3)'!BW112</f>
        <v>1.5971199745002725E-3</v>
      </c>
      <c r="I111" s="153">
        <v>2.1428571428571399E-3</v>
      </c>
      <c r="J111" s="153">
        <f t="shared" si="9"/>
        <v>3.7399771173574122E-3</v>
      </c>
      <c r="K111" s="31" t="s">
        <v>257</v>
      </c>
      <c r="L111" s="31">
        <v>3.206</v>
      </c>
      <c r="M111" s="31">
        <v>2624</v>
      </c>
      <c r="N111" s="154">
        <f t="shared" si="10"/>
        <v>18.149988460526579</v>
      </c>
      <c r="O111" s="154">
        <f t="shared" si="11"/>
        <v>54.109375383936559</v>
      </c>
      <c r="P111" s="154">
        <f t="shared" si="12"/>
        <v>41.123125291791787</v>
      </c>
      <c r="Q111" s="154">
        <f t="shared" si="13"/>
        <v>49.780625353221637</v>
      </c>
      <c r="R111" s="154">
        <f t="shared" si="14"/>
        <v>61.68468793768767</v>
      </c>
      <c r="S111" s="154">
        <f t="shared" si="15"/>
        <v>70.342187999117527</v>
      </c>
      <c r="T111" s="29" t="str">
        <f t="shared" si="16"/>
        <v>A</v>
      </c>
      <c r="U111">
        <f>((SUM($J$30:J111)*L111/(M111*SUM($G$30:G111))))*10^6</f>
        <v>38.208288232986632</v>
      </c>
    </row>
    <row r="112" spans="2:21" ht="15.75" x14ac:dyDescent="0.25">
      <c r="B112" s="13">
        <v>83</v>
      </c>
      <c r="C112" s="456"/>
      <c r="D112" s="456"/>
      <c r="E112" s="457"/>
      <c r="F112" s="54">
        <v>0.73750000000000204</v>
      </c>
      <c r="G112" s="21">
        <f>'Testing DK9 (3)'!N113</f>
        <v>0.32901572495438058</v>
      </c>
      <c r="H112" s="153">
        <f>'Testing DK9 (3)'!BW113</f>
        <v>3.4634357914210289E-3</v>
      </c>
      <c r="I112" s="153">
        <v>2.1428571428571399E-3</v>
      </c>
      <c r="J112" s="153">
        <f t="shared" si="9"/>
        <v>5.6062929342781693E-3</v>
      </c>
      <c r="K112" s="31" t="s">
        <v>257</v>
      </c>
      <c r="L112" s="31">
        <v>3.206</v>
      </c>
      <c r="M112" s="31">
        <v>2624</v>
      </c>
      <c r="N112" s="154">
        <f t="shared" si="10"/>
        <v>20.818949827119091</v>
      </c>
      <c r="O112" s="154">
        <f t="shared" si="11"/>
        <v>54.109375383936559</v>
      </c>
      <c r="P112" s="154">
        <f t="shared" si="12"/>
        <v>41.123125291791787</v>
      </c>
      <c r="Q112" s="154">
        <f t="shared" si="13"/>
        <v>49.780625353221637</v>
      </c>
      <c r="R112" s="154">
        <f t="shared" si="14"/>
        <v>61.68468793768767</v>
      </c>
      <c r="S112" s="154">
        <f t="shared" si="15"/>
        <v>70.342187999117527</v>
      </c>
      <c r="T112" s="29" t="str">
        <f t="shared" si="16"/>
        <v>A</v>
      </c>
      <c r="U112">
        <f>((SUM($J$30:J112)*L112/(M112*SUM($G$30:G112))))*10^6</f>
        <v>38.039542180455399</v>
      </c>
    </row>
    <row r="113" spans="2:21" ht="15.75" x14ac:dyDescent="0.25">
      <c r="B113" s="13">
        <v>84</v>
      </c>
      <c r="C113" s="456"/>
      <c r="D113" s="456"/>
      <c r="E113" s="457"/>
      <c r="F113" s="54">
        <v>0.73958333333333603</v>
      </c>
      <c r="G113" s="21">
        <f>'Testing DK9 (3)'!N114</f>
        <v>0.26383203018142898</v>
      </c>
      <c r="H113" s="153">
        <f>'Testing DK9 (3)'!BW114</f>
        <v>1.8282211638397526E-3</v>
      </c>
      <c r="I113" s="153">
        <v>2.1428571428571399E-3</v>
      </c>
      <c r="J113" s="153">
        <f t="shared" si="9"/>
        <v>3.971078306696893E-3</v>
      </c>
      <c r="K113" s="31" t="s">
        <v>257</v>
      </c>
      <c r="L113" s="31">
        <v>3.206</v>
      </c>
      <c r="M113" s="31">
        <v>2624</v>
      </c>
      <c r="N113" s="154">
        <f t="shared" si="10"/>
        <v>18.389952990193684</v>
      </c>
      <c r="O113" s="154">
        <f t="shared" si="11"/>
        <v>54.109375383936559</v>
      </c>
      <c r="P113" s="154">
        <f t="shared" si="12"/>
        <v>41.123125291791787</v>
      </c>
      <c r="Q113" s="154">
        <f t="shared" si="13"/>
        <v>49.780625353221637</v>
      </c>
      <c r="R113" s="154">
        <f t="shared" si="14"/>
        <v>61.68468793768767</v>
      </c>
      <c r="S113" s="154">
        <f t="shared" si="15"/>
        <v>70.342187999117527</v>
      </c>
      <c r="T113" s="29" t="str">
        <f t="shared" si="16"/>
        <v>A</v>
      </c>
      <c r="U113">
        <f>((SUM($J$30:J113)*L113/(M113*SUM($G$30:G113))))*10^6</f>
        <v>37.887820188695493</v>
      </c>
    </row>
    <row r="114" spans="2:21" ht="15.75" x14ac:dyDescent="0.25">
      <c r="B114" s="13">
        <v>85</v>
      </c>
      <c r="C114" s="456"/>
      <c r="D114" s="456"/>
      <c r="E114" s="457"/>
      <c r="F114" s="54">
        <v>0.74166666666667103</v>
      </c>
      <c r="G114" s="21">
        <f>'Testing DK9 (3)'!N115</f>
        <v>0.2448139186622886</v>
      </c>
      <c r="H114" s="153">
        <f>'Testing DK9 (3)'!BW115</f>
        <v>1.4732149390740141E-3</v>
      </c>
      <c r="I114" s="153">
        <v>2.1428571428571399E-3</v>
      </c>
      <c r="J114" s="153">
        <f t="shared" si="9"/>
        <v>3.6160720819311543E-3</v>
      </c>
      <c r="K114" s="31" t="s">
        <v>257</v>
      </c>
      <c r="L114" s="31">
        <v>3.206</v>
      </c>
      <c r="M114" s="31">
        <v>2624</v>
      </c>
      <c r="N114" s="154">
        <f t="shared" si="10"/>
        <v>18.046818922718597</v>
      </c>
      <c r="O114" s="154">
        <f t="shared" si="11"/>
        <v>54.109375383936559</v>
      </c>
      <c r="P114" s="154">
        <f t="shared" si="12"/>
        <v>41.123125291791787</v>
      </c>
      <c r="Q114" s="154">
        <f t="shared" si="13"/>
        <v>49.780625353221637</v>
      </c>
      <c r="R114" s="154">
        <f t="shared" si="14"/>
        <v>61.68468793768767</v>
      </c>
      <c r="S114" s="154">
        <f t="shared" si="15"/>
        <v>70.342187999117527</v>
      </c>
      <c r="T114" s="29" t="str">
        <f t="shared" si="16"/>
        <v>A</v>
      </c>
      <c r="U114">
        <f>((SUM($J$30:J114)*L114/(M114*SUM($G$30:G114))))*10^6</f>
        <v>37.746674799576297</v>
      </c>
    </row>
    <row r="115" spans="2:21" ht="15.75" x14ac:dyDescent="0.25">
      <c r="B115" s="13">
        <v>86</v>
      </c>
      <c r="C115" s="456"/>
      <c r="D115" s="456"/>
      <c r="E115" s="457">
        <v>0.74305555555555503</v>
      </c>
      <c r="F115" s="54">
        <v>0.74305555555555503</v>
      </c>
      <c r="G115" s="21">
        <f>'Testing DK9 (3)'!N116</f>
        <v>0.18195477798757162</v>
      </c>
      <c r="H115" s="153">
        <f>'Testing DK9 (3)'!BW116</f>
        <v>1.3441991317964218E-3</v>
      </c>
      <c r="I115" s="153">
        <v>2.8571428571428571E-3</v>
      </c>
      <c r="J115" s="153">
        <f t="shared" si="9"/>
        <v>4.2013419889392785E-3</v>
      </c>
      <c r="K115" s="31" t="s">
        <v>257</v>
      </c>
      <c r="L115" s="31">
        <v>3.206</v>
      </c>
      <c r="M115" s="31">
        <v>2624</v>
      </c>
      <c r="N115" s="154">
        <f t="shared" si="10"/>
        <v>28.211375239889772</v>
      </c>
      <c r="O115" s="154">
        <f t="shared" si="11"/>
        <v>54.109375383936559</v>
      </c>
      <c r="P115" s="154">
        <f t="shared" si="12"/>
        <v>41.123125291791787</v>
      </c>
      <c r="Q115" s="154">
        <f t="shared" si="13"/>
        <v>49.780625353221637</v>
      </c>
      <c r="R115" s="154">
        <f t="shared" si="14"/>
        <v>61.68468793768767</v>
      </c>
      <c r="S115" s="154">
        <f t="shared" si="15"/>
        <v>70.342187999117527</v>
      </c>
      <c r="T115" s="29" t="str">
        <f t="shared" si="16"/>
        <v>A</v>
      </c>
      <c r="U115">
        <f>((SUM($J$30:J115)*L115/(M115*SUM($G$30:G115))))*10^6</f>
        <v>37.696524372837729</v>
      </c>
    </row>
    <row r="116" spans="2:21" ht="15.75" x14ac:dyDescent="0.25">
      <c r="B116" s="13">
        <v>87</v>
      </c>
      <c r="C116" s="456"/>
      <c r="D116" s="456"/>
      <c r="E116" s="457"/>
      <c r="F116" s="54">
        <v>0.74513888888888891</v>
      </c>
      <c r="G116" s="21">
        <f>'Testing DK9 (3)'!N117</f>
        <v>0.3270307113365834</v>
      </c>
      <c r="H116" s="153">
        <f>'Testing DK9 (3)'!BW117</f>
        <v>3.4030820910086585E-3</v>
      </c>
      <c r="I116" s="153">
        <v>2.8571428571428571E-3</v>
      </c>
      <c r="J116" s="153">
        <f t="shared" si="9"/>
        <v>6.2602249481515156E-3</v>
      </c>
      <c r="K116" s="31" t="s">
        <v>257</v>
      </c>
      <c r="L116" s="31">
        <v>3.206</v>
      </c>
      <c r="M116" s="31">
        <v>2624</v>
      </c>
      <c r="N116" s="154">
        <f t="shared" si="10"/>
        <v>23.388430939621131</v>
      </c>
      <c r="O116" s="154">
        <f t="shared" si="11"/>
        <v>54.109375383936559</v>
      </c>
      <c r="P116" s="154">
        <f t="shared" si="12"/>
        <v>41.123125291791787</v>
      </c>
      <c r="Q116" s="154">
        <f t="shared" si="13"/>
        <v>49.780625353221637</v>
      </c>
      <c r="R116" s="154">
        <f t="shared" si="14"/>
        <v>61.68468793768767</v>
      </c>
      <c r="S116" s="154">
        <f t="shared" si="15"/>
        <v>70.342187999117527</v>
      </c>
      <c r="T116" s="29" t="str">
        <f t="shared" si="16"/>
        <v>A</v>
      </c>
      <c r="U116">
        <f>((SUM($J$30:J116)*L116/(M116*SUM($G$30:G116))))*10^6</f>
        <v>37.562537864127926</v>
      </c>
    </row>
    <row r="117" spans="2:21" ht="15.75" x14ac:dyDescent="0.25">
      <c r="B117" s="13">
        <v>88</v>
      </c>
      <c r="C117" s="456"/>
      <c r="D117" s="456"/>
      <c r="E117" s="457"/>
      <c r="F117" s="54">
        <v>0.74722222222222301</v>
      </c>
      <c r="G117" s="21">
        <f>'Testing DK9 (3)'!N118</f>
        <v>0.23785888101774963</v>
      </c>
      <c r="H117" s="153">
        <f>'Testing DK9 (3)'!BW118</f>
        <v>1.3557005620270827E-3</v>
      </c>
      <c r="I117" s="153">
        <v>2.8571428571428571E-3</v>
      </c>
      <c r="J117" s="153">
        <f t="shared" si="9"/>
        <v>4.21284341916994E-3</v>
      </c>
      <c r="K117" s="31" t="s">
        <v>257</v>
      </c>
      <c r="L117" s="31">
        <v>3.206</v>
      </c>
      <c r="M117" s="31">
        <v>2624</v>
      </c>
      <c r="N117" s="154">
        <f t="shared" si="10"/>
        <v>21.639919139886171</v>
      </c>
      <c r="O117" s="154">
        <f t="shared" si="11"/>
        <v>54.109375383936559</v>
      </c>
      <c r="P117" s="154">
        <f t="shared" si="12"/>
        <v>41.123125291791787</v>
      </c>
      <c r="Q117" s="154">
        <f t="shared" si="13"/>
        <v>49.780625353221637</v>
      </c>
      <c r="R117" s="154">
        <f t="shared" si="14"/>
        <v>61.68468793768767</v>
      </c>
      <c r="S117" s="154">
        <f t="shared" si="15"/>
        <v>70.342187999117527</v>
      </c>
      <c r="T117" s="29" t="str">
        <f t="shared" si="16"/>
        <v>A</v>
      </c>
      <c r="U117">
        <f>((SUM($J$30:J117)*L117/(M117*SUM($G$30:G117))))*10^6</f>
        <v>37.454822740349911</v>
      </c>
    </row>
    <row r="118" spans="2:21" ht="15.75" x14ac:dyDescent="0.25">
      <c r="B118" s="13">
        <v>89</v>
      </c>
      <c r="C118" s="456"/>
      <c r="D118" s="456"/>
      <c r="E118" s="457"/>
      <c r="F118" s="54">
        <v>0.749305555555557</v>
      </c>
      <c r="G118" s="21">
        <f>'Testing DK9 (3)'!N119</f>
        <v>0.28530238759913024</v>
      </c>
      <c r="H118" s="153">
        <f>'Testing DK9 (3)'!BW119</f>
        <v>2.29179688323447E-3</v>
      </c>
      <c r="I118" s="153">
        <v>2.8571428571428571E-3</v>
      </c>
      <c r="J118" s="153">
        <f t="shared" si="9"/>
        <v>5.1489397403773271E-3</v>
      </c>
      <c r="K118" s="31" t="s">
        <v>257</v>
      </c>
      <c r="L118" s="31">
        <v>3.206</v>
      </c>
      <c r="M118" s="31">
        <v>2624</v>
      </c>
      <c r="N118" s="154">
        <f t="shared" si="10"/>
        <v>22.050177527562305</v>
      </c>
      <c r="O118" s="154">
        <f t="shared" si="11"/>
        <v>54.109375383936559</v>
      </c>
      <c r="P118" s="154">
        <f t="shared" si="12"/>
        <v>41.123125291791787</v>
      </c>
      <c r="Q118" s="154">
        <f t="shared" si="13"/>
        <v>49.780625353221637</v>
      </c>
      <c r="R118" s="154">
        <f t="shared" si="14"/>
        <v>61.68468793768767</v>
      </c>
      <c r="S118" s="154">
        <f t="shared" si="15"/>
        <v>70.342187999117527</v>
      </c>
      <c r="T118" s="29" t="str">
        <f t="shared" si="16"/>
        <v>A</v>
      </c>
      <c r="U118">
        <f>((SUM($J$30:J118)*L118/(M118*SUM($G$30:G118))))*10^6</f>
        <v>37.330831737741505</v>
      </c>
    </row>
    <row r="119" spans="2:21" ht="15.75" x14ac:dyDescent="0.25">
      <c r="B119" s="13">
        <v>90</v>
      </c>
      <c r="C119" s="456"/>
      <c r="D119" s="456"/>
      <c r="E119" s="457"/>
      <c r="F119" s="54">
        <v>0.75138888888889099</v>
      </c>
      <c r="G119" s="21">
        <f>'Testing DK9 (3)'!N120</f>
        <v>0.26173106210136099</v>
      </c>
      <c r="H119" s="153">
        <f>'Testing DK9 (3)'!BW120</f>
        <v>1.7865081073945195E-3</v>
      </c>
      <c r="I119" s="153">
        <v>2.8571428571428571E-3</v>
      </c>
      <c r="J119" s="153">
        <f t="shared" si="9"/>
        <v>4.6436509645373762E-3</v>
      </c>
      <c r="K119" s="31" t="s">
        <v>257</v>
      </c>
      <c r="L119" s="31">
        <v>3.206</v>
      </c>
      <c r="M119" s="31">
        <v>2624</v>
      </c>
      <c r="N119" s="154">
        <f t="shared" si="10"/>
        <v>21.677240140818895</v>
      </c>
      <c r="O119" s="154">
        <f t="shared" si="11"/>
        <v>54.109375383936559</v>
      </c>
      <c r="P119" s="154">
        <f t="shared" si="12"/>
        <v>41.123125291791787</v>
      </c>
      <c r="Q119" s="154">
        <f t="shared" si="13"/>
        <v>49.780625353221637</v>
      </c>
      <c r="R119" s="154">
        <f t="shared" si="14"/>
        <v>61.68468793768767</v>
      </c>
      <c r="S119" s="154">
        <f t="shared" si="15"/>
        <v>70.342187999117527</v>
      </c>
      <c r="T119" s="29" t="str">
        <f t="shared" si="16"/>
        <v>A</v>
      </c>
      <c r="U119">
        <f>((SUM($J$30:J119)*L119/(M119*SUM($G$30:G119))))*10^6</f>
        <v>37.216093729295565</v>
      </c>
    </row>
    <row r="120" spans="2:21" ht="15.75" x14ac:dyDescent="0.25">
      <c r="B120" s="13">
        <v>91</v>
      </c>
      <c r="C120" s="456"/>
      <c r="D120" s="456"/>
      <c r="E120" s="457"/>
      <c r="F120" s="54">
        <v>0.75347222222222399</v>
      </c>
      <c r="G120" s="21">
        <f>'Testing DK9 (3)'!N121</f>
        <v>0.30572395840353883</v>
      </c>
      <c r="H120" s="153">
        <f>'Testing DK9 (3)'!BW121</f>
        <v>2.7991797250617604E-3</v>
      </c>
      <c r="I120" s="153">
        <v>2.8571428571428571E-3</v>
      </c>
      <c r="J120" s="153">
        <f t="shared" si="9"/>
        <v>5.6563225822046179E-3</v>
      </c>
      <c r="K120" s="31" t="s">
        <v>257</v>
      </c>
      <c r="L120" s="31">
        <v>3.206</v>
      </c>
      <c r="M120" s="31">
        <v>2624</v>
      </c>
      <c r="N120" s="154">
        <f t="shared" si="10"/>
        <v>22.604993305304653</v>
      </c>
      <c r="O120" s="154">
        <f t="shared" si="11"/>
        <v>54.109375383936559</v>
      </c>
      <c r="P120" s="154">
        <f t="shared" si="12"/>
        <v>41.123125291791787</v>
      </c>
      <c r="Q120" s="154">
        <f t="shared" si="13"/>
        <v>49.780625353221637</v>
      </c>
      <c r="R120" s="154">
        <f t="shared" si="14"/>
        <v>61.68468793768767</v>
      </c>
      <c r="S120" s="154">
        <f t="shared" si="15"/>
        <v>70.342187999117527</v>
      </c>
      <c r="T120" s="29" t="str">
        <f t="shared" si="16"/>
        <v>A</v>
      </c>
      <c r="U120">
        <f>((SUM($J$30:J120)*L120/(M120*SUM($G$30:G120))))*10^6</f>
        <v>37.092057685657451</v>
      </c>
    </row>
    <row r="121" spans="2:21" ht="15.75" x14ac:dyDescent="0.25">
      <c r="B121" s="13">
        <v>92</v>
      </c>
      <c r="C121" s="456"/>
      <c r="D121" s="456"/>
      <c r="E121" s="457"/>
      <c r="F121" s="54">
        <v>0.75555555555555798</v>
      </c>
      <c r="G121" s="21">
        <f>'Testing DK9 (3)'!N122</f>
        <v>0.25408565261738658</v>
      </c>
      <c r="H121" s="153">
        <f>'Testing DK9 (3)'!BW122</f>
        <v>1.6400039789832726E-3</v>
      </c>
      <c r="I121" s="153">
        <v>2.8571428571428571E-3</v>
      </c>
      <c r="J121" s="153">
        <f t="shared" si="9"/>
        <v>4.4971468361261297E-3</v>
      </c>
      <c r="K121" s="31" t="s">
        <v>257</v>
      </c>
      <c r="L121" s="31">
        <v>3.206</v>
      </c>
      <c r="M121" s="31">
        <v>2624</v>
      </c>
      <c r="N121" s="154">
        <f t="shared" si="10"/>
        <v>21.625024724743195</v>
      </c>
      <c r="O121" s="154">
        <f t="shared" si="11"/>
        <v>54.109375383936559</v>
      </c>
      <c r="P121" s="154">
        <f t="shared" si="12"/>
        <v>41.123125291791787</v>
      </c>
      <c r="Q121" s="154">
        <f t="shared" si="13"/>
        <v>49.780625353221637</v>
      </c>
      <c r="R121" s="154">
        <f t="shared" si="14"/>
        <v>61.68468793768767</v>
      </c>
      <c r="S121" s="154">
        <f t="shared" si="15"/>
        <v>70.342187999117527</v>
      </c>
      <c r="T121" s="29" t="str">
        <f t="shared" si="16"/>
        <v>A</v>
      </c>
      <c r="U121">
        <f>((SUM($J$30:J121)*L121/(M121*SUM($G$30:G121))))*10^6</f>
        <v>36.983697600316283</v>
      </c>
    </row>
    <row r="122" spans="2:21" ht="15.75" x14ac:dyDescent="0.25">
      <c r="B122" s="13">
        <v>93</v>
      </c>
      <c r="C122" s="456"/>
      <c r="D122" s="456"/>
      <c r="E122" s="457">
        <v>0.75694444444444398</v>
      </c>
      <c r="F122" s="54">
        <v>0.75694444444444398</v>
      </c>
      <c r="G122" s="21">
        <f>'Testing DK9 (3)'!N123</f>
        <v>0.23503572611813686</v>
      </c>
      <c r="H122" s="153">
        <f>'Testing DK9 (3)'!BW123</f>
        <v>2.8237987251296792E-3</v>
      </c>
      <c r="I122" s="153">
        <v>4.2857142857142859E-3</v>
      </c>
      <c r="J122" s="153">
        <f t="shared" si="9"/>
        <v>7.1095130108439651E-3</v>
      </c>
      <c r="K122" s="31" t="s">
        <v>257</v>
      </c>
      <c r="L122" s="31">
        <v>3.206</v>
      </c>
      <c r="M122" s="31">
        <v>2624</v>
      </c>
      <c r="N122" s="154">
        <f t="shared" si="10"/>
        <v>36.95776157087397</v>
      </c>
      <c r="O122" s="154">
        <f t="shared" si="11"/>
        <v>54.109375383936559</v>
      </c>
      <c r="P122" s="154">
        <f t="shared" si="12"/>
        <v>41.123125291791787</v>
      </c>
      <c r="Q122" s="154">
        <f t="shared" si="13"/>
        <v>49.780625353221637</v>
      </c>
      <c r="R122" s="154">
        <f t="shared" si="14"/>
        <v>61.68468793768767</v>
      </c>
      <c r="S122" s="154">
        <f t="shared" si="15"/>
        <v>70.342187999117527</v>
      </c>
      <c r="T122" s="29" t="str">
        <f t="shared" si="16"/>
        <v>A</v>
      </c>
      <c r="U122">
        <f>((SUM($J$30:J122)*L122/(M122*SUM($G$30:G122))))*10^6</f>
        <v>36.983530601211555</v>
      </c>
    </row>
    <row r="123" spans="2:21" ht="15.75" x14ac:dyDescent="0.25">
      <c r="B123" s="13">
        <v>94</v>
      </c>
      <c r="C123" s="456"/>
      <c r="D123" s="456"/>
      <c r="E123" s="457"/>
      <c r="F123" s="54">
        <v>0.75902777777777775</v>
      </c>
      <c r="G123" s="21">
        <f>'Testing DK9 (3)'!N124</f>
        <v>0.15764267019345801</v>
      </c>
      <c r="H123" s="153">
        <f>'Testing DK9 (3)'!BW124</f>
        <v>4.146712706654057E-4</v>
      </c>
      <c r="I123" s="153">
        <v>4.2857142857142859E-3</v>
      </c>
      <c r="J123" s="153">
        <f t="shared" si="9"/>
        <v>4.700385556379692E-3</v>
      </c>
      <c r="K123" s="31" t="s">
        <v>257</v>
      </c>
      <c r="L123" s="31">
        <v>3.206</v>
      </c>
      <c r="M123" s="31">
        <v>2624</v>
      </c>
      <c r="N123" s="154">
        <f t="shared" si="10"/>
        <v>36.430018176928371</v>
      </c>
      <c r="O123" s="154">
        <f t="shared" si="11"/>
        <v>54.109375383936559</v>
      </c>
      <c r="P123" s="154">
        <f t="shared" si="12"/>
        <v>41.123125291791787</v>
      </c>
      <c r="Q123" s="154">
        <f t="shared" si="13"/>
        <v>49.780625353221637</v>
      </c>
      <c r="R123" s="154">
        <f t="shared" si="14"/>
        <v>61.68468793768767</v>
      </c>
      <c r="S123" s="154">
        <f t="shared" si="15"/>
        <v>70.342187999117527</v>
      </c>
      <c r="T123" s="29" t="str">
        <f t="shared" si="16"/>
        <v>A</v>
      </c>
      <c r="U123">
        <f>((SUM($J$30:J123)*L123/(M123*SUM($G$30:G123))))*10^6</f>
        <v>36.981150439916277</v>
      </c>
    </row>
    <row r="124" spans="2:21" ht="15.75" x14ac:dyDescent="0.25">
      <c r="B124" s="13">
        <v>95</v>
      </c>
      <c r="C124" s="456"/>
      <c r="D124" s="456"/>
      <c r="E124" s="457"/>
      <c r="F124" s="54">
        <v>0.76111111111111196</v>
      </c>
      <c r="G124" s="21">
        <f>'Testing DK9 (3)'!N125</f>
        <v>0.15749817114139555</v>
      </c>
      <c r="H124" s="153">
        <f>'Testing DK9 (3)'!BW125</f>
        <v>4.1357904996741694E-4</v>
      </c>
      <c r="I124" s="153">
        <v>4.2857142857142859E-3</v>
      </c>
      <c r="J124" s="153">
        <f t="shared" si="9"/>
        <v>4.6992933356817031E-3</v>
      </c>
      <c r="K124" s="31" t="s">
        <v>257</v>
      </c>
      <c r="L124" s="31">
        <v>3.206</v>
      </c>
      <c r="M124" s="31">
        <v>2624</v>
      </c>
      <c r="N124" s="154">
        <f t="shared" si="10"/>
        <v>36.45496849316303</v>
      </c>
      <c r="O124" s="154">
        <f t="shared" si="11"/>
        <v>54.109375383936559</v>
      </c>
      <c r="P124" s="154">
        <f t="shared" si="12"/>
        <v>41.123125291791787</v>
      </c>
      <c r="Q124" s="154">
        <f t="shared" si="13"/>
        <v>49.780625353221637</v>
      </c>
      <c r="R124" s="154">
        <f t="shared" si="14"/>
        <v>61.68468793768767</v>
      </c>
      <c r="S124" s="154">
        <f t="shared" si="15"/>
        <v>70.342187999117527</v>
      </c>
      <c r="T124" s="29" t="str">
        <f t="shared" si="16"/>
        <v>A</v>
      </c>
      <c r="U124">
        <f>((SUM($J$30:J124)*L124/(M124*SUM($G$30:G124))))*10^6</f>
        <v>36.978899546723525</v>
      </c>
    </row>
    <row r="125" spans="2:21" ht="15.75" x14ac:dyDescent="0.25">
      <c r="B125" s="13">
        <v>96</v>
      </c>
      <c r="C125" s="456"/>
      <c r="D125" s="456"/>
      <c r="E125" s="457"/>
      <c r="F125" s="54">
        <v>0.76319444444444495</v>
      </c>
      <c r="G125" s="21">
        <f>'Testing DK9 (3)'!N126</f>
        <v>6.1031958662526302E-2</v>
      </c>
      <c r="H125" s="153">
        <f>'Testing DK9 (3)'!BW126</f>
        <v>2.7261141738616638E-5</v>
      </c>
      <c r="I125" s="153">
        <v>4.2857142857142859E-3</v>
      </c>
      <c r="J125" s="153">
        <f t="shared" si="9"/>
        <v>4.3129754274529022E-3</v>
      </c>
      <c r="K125" s="31" t="s">
        <v>257</v>
      </c>
      <c r="L125" s="31">
        <v>3.206</v>
      </c>
      <c r="M125" s="31">
        <v>2624</v>
      </c>
      <c r="N125" s="154">
        <f t="shared" si="10"/>
        <v>86.341455083783146</v>
      </c>
      <c r="O125" s="154">
        <f t="shared" si="11"/>
        <v>54.109375383936559</v>
      </c>
      <c r="P125" s="154">
        <f t="shared" si="12"/>
        <v>41.123125291791787</v>
      </c>
      <c r="Q125" s="154">
        <f t="shared" si="13"/>
        <v>49.780625353221637</v>
      </c>
      <c r="R125" s="154">
        <f t="shared" si="14"/>
        <v>61.68468793768767</v>
      </c>
      <c r="S125" s="154">
        <f t="shared" si="15"/>
        <v>70.342187999117527</v>
      </c>
      <c r="T125" s="29" t="str">
        <f t="shared" si="16"/>
        <v>E</v>
      </c>
      <c r="U125">
        <f>((SUM($J$30:J125)*L125/(M125*SUM($G$30:G125))))*10^6</f>
        <v>37.060591456118395</v>
      </c>
    </row>
    <row r="126" spans="2:21" ht="15.75" x14ac:dyDescent="0.25">
      <c r="B126" s="13">
        <v>97</v>
      </c>
      <c r="C126" s="456"/>
      <c r="D126" s="456"/>
      <c r="E126" s="457"/>
      <c r="F126" s="54">
        <v>0.76527777777777894</v>
      </c>
      <c r="G126" s="21">
        <f>'Testing DK9 (3)'!N127</f>
        <v>4.5340267928779245E-2</v>
      </c>
      <c r="H126" s="153">
        <f>'Testing DK9 (3)'!BW127</f>
        <v>1.1654740629179561E-5</v>
      </c>
      <c r="I126" s="153">
        <v>4.2857142857142859E-3</v>
      </c>
      <c r="J126" s="153">
        <f t="shared" si="9"/>
        <v>4.2973690263434653E-3</v>
      </c>
      <c r="K126" s="31" t="s">
        <v>257</v>
      </c>
      <c r="L126" s="31">
        <v>3.206</v>
      </c>
      <c r="M126" s="31">
        <v>2624</v>
      </c>
      <c r="N126" s="154">
        <f t="shared" si="10"/>
        <v>115.80258510911446</v>
      </c>
      <c r="O126" s="154">
        <f t="shared" si="11"/>
        <v>54.109375383936559</v>
      </c>
      <c r="P126" s="154">
        <f t="shared" si="12"/>
        <v>41.123125291791787</v>
      </c>
      <c r="Q126" s="154">
        <f t="shared" si="13"/>
        <v>49.780625353221637</v>
      </c>
      <c r="R126" s="154">
        <f t="shared" si="14"/>
        <v>61.68468793768767</v>
      </c>
      <c r="S126" s="154">
        <f t="shared" si="15"/>
        <v>70.342187999117527</v>
      </c>
      <c r="T126" s="29" t="str">
        <f t="shared" si="16"/>
        <v>E</v>
      </c>
      <c r="U126">
        <f>((SUM($J$30:J126)*L126/(M126*SUM($G$30:G126))))*10^6</f>
        <v>37.157281327022531</v>
      </c>
    </row>
    <row r="127" spans="2:21" ht="15.75" x14ac:dyDescent="0.25">
      <c r="B127" s="13">
        <v>98</v>
      </c>
      <c r="C127" s="456"/>
      <c r="D127" s="456"/>
      <c r="E127" s="457"/>
      <c r="F127" s="54">
        <v>0.76736111111111305</v>
      </c>
      <c r="G127" s="21">
        <f>'Testing DK9 (3)'!N128</f>
        <v>7.2953374730104506E-2</v>
      </c>
      <c r="H127" s="153">
        <f>'Testing DK9 (3)'!BW128</f>
        <v>4.543257567325676E-5</v>
      </c>
      <c r="I127" s="153">
        <v>4.2857142857142859E-3</v>
      </c>
      <c r="J127" s="153">
        <f t="shared" si="9"/>
        <v>4.331146861387543E-3</v>
      </c>
      <c r="K127" s="31" t="s">
        <v>257</v>
      </c>
      <c r="L127" s="31">
        <v>3.206</v>
      </c>
      <c r="M127" s="31">
        <v>2624</v>
      </c>
      <c r="N127" s="154">
        <f t="shared" si="10"/>
        <v>72.5366026305731</v>
      </c>
      <c r="O127" s="154">
        <f t="shared" si="11"/>
        <v>54.109375383936559</v>
      </c>
      <c r="P127" s="154">
        <f t="shared" si="12"/>
        <v>41.123125291791787</v>
      </c>
      <c r="Q127" s="154">
        <f t="shared" si="13"/>
        <v>49.780625353221637</v>
      </c>
      <c r="R127" s="154">
        <f t="shared" si="14"/>
        <v>61.68468793768767</v>
      </c>
      <c r="S127" s="154">
        <f t="shared" si="15"/>
        <v>70.342187999117527</v>
      </c>
      <c r="T127" s="29" t="str">
        <f t="shared" si="16"/>
        <v>E</v>
      </c>
      <c r="U127">
        <f>((SUM($J$30:J127)*L127/(M127*SUM($G$30:G127))))*10^6</f>
        <v>37.227044810404109</v>
      </c>
    </row>
    <row r="128" spans="2:21" ht="15.75" x14ac:dyDescent="0.25">
      <c r="B128" s="13">
        <v>99</v>
      </c>
      <c r="C128" s="456"/>
      <c r="D128" s="456"/>
      <c r="E128" s="457"/>
      <c r="F128" s="54">
        <v>0.76944444444444704</v>
      </c>
      <c r="G128" s="21">
        <f>'Testing DK9 (3)'!N129</f>
        <v>8.0284644615051332E-2</v>
      </c>
      <c r="H128" s="153">
        <f>'Testing DK9 (3)'!BW129</f>
        <v>5.9772602901661297E-5</v>
      </c>
      <c r="I128" s="153">
        <v>4.2857142857142859E-3</v>
      </c>
      <c r="J128" s="153">
        <f t="shared" si="9"/>
        <v>4.3454868886159473E-3</v>
      </c>
      <c r="K128" s="31" t="s">
        <v>257</v>
      </c>
      <c r="L128" s="31">
        <v>3.206</v>
      </c>
      <c r="M128" s="31">
        <v>2624</v>
      </c>
      <c r="N128" s="154">
        <f t="shared" si="10"/>
        <v>66.131084052171914</v>
      </c>
      <c r="O128" s="154">
        <f t="shared" si="11"/>
        <v>54.109375383936559</v>
      </c>
      <c r="P128" s="154">
        <f t="shared" si="12"/>
        <v>41.123125291791787</v>
      </c>
      <c r="Q128" s="154">
        <f t="shared" si="13"/>
        <v>49.780625353221637</v>
      </c>
      <c r="R128" s="154">
        <f t="shared" si="14"/>
        <v>61.68468793768767</v>
      </c>
      <c r="S128" s="154">
        <f t="shared" si="15"/>
        <v>70.342187999117527</v>
      </c>
      <c r="T128" s="29" t="str">
        <f t="shared" si="16"/>
        <v>E</v>
      </c>
      <c r="U128">
        <f>((SUM($J$30:J128)*L128/(M128*SUM($G$30:G128))))*10^6</f>
        <v>37.289631630969133</v>
      </c>
    </row>
    <row r="129" spans="2:21" ht="15.75" x14ac:dyDescent="0.25">
      <c r="B129" s="13">
        <v>100</v>
      </c>
      <c r="C129" s="456"/>
      <c r="D129" s="456"/>
      <c r="E129" s="457">
        <v>0.77083333333333304</v>
      </c>
      <c r="F129" s="54">
        <v>0.77083333333333304</v>
      </c>
      <c r="G129" s="21">
        <f>'Testing DK9 (3)'!N130</f>
        <v>7.0219944335550802E-2</v>
      </c>
      <c r="H129" s="153">
        <f>'Testing DK9 (3)'!BW130</f>
        <v>8.6803869634560397E-5</v>
      </c>
      <c r="I129" s="153">
        <v>4.2857142857142859E-3</v>
      </c>
      <c r="J129" s="153">
        <f t="shared" si="9"/>
        <v>4.3725181553488464E-3</v>
      </c>
      <c r="K129" s="31" t="s">
        <v>257</v>
      </c>
      <c r="L129" s="31">
        <v>3.206</v>
      </c>
      <c r="M129" s="31">
        <v>2624</v>
      </c>
      <c r="N129" s="154">
        <f t="shared" si="10"/>
        <v>76.080056747656798</v>
      </c>
      <c r="O129" s="154">
        <f t="shared" si="11"/>
        <v>54.109375383936559</v>
      </c>
      <c r="P129" s="154">
        <f t="shared" si="12"/>
        <v>41.123125291791787</v>
      </c>
      <c r="Q129" s="154">
        <f t="shared" si="13"/>
        <v>49.780625353221637</v>
      </c>
      <c r="R129" s="154">
        <f t="shared" si="14"/>
        <v>61.68468793768767</v>
      </c>
      <c r="S129" s="154">
        <f t="shared" si="15"/>
        <v>70.342187999117527</v>
      </c>
      <c r="T129" s="29" t="str">
        <f t="shared" si="16"/>
        <v>E</v>
      </c>
      <c r="U129">
        <f>((SUM($J$30:J129)*L129/(M129*SUM($G$30:G129))))*10^6</f>
        <v>37.362957152202114</v>
      </c>
    </row>
    <row r="130" spans="2:21" ht="15.75" x14ac:dyDescent="0.25">
      <c r="B130" s="13">
        <v>101</v>
      </c>
      <c r="C130" s="456"/>
      <c r="D130" s="456"/>
      <c r="E130" s="457"/>
      <c r="F130" s="54">
        <v>0.7729166666666667</v>
      </c>
      <c r="G130" s="21">
        <f>'Testing DK9 (3)'!N131</f>
        <v>9.852150647641407E-2</v>
      </c>
      <c r="H130" s="153">
        <f>'Testing DK9 (3)'!BW131</f>
        <v>1.0749044830954465E-4</v>
      </c>
      <c r="I130" s="153">
        <v>4.2857142857142859E-3</v>
      </c>
      <c r="J130" s="153">
        <f t="shared" si="9"/>
        <v>4.3932047340238308E-3</v>
      </c>
      <c r="K130" s="31" t="s">
        <v>257</v>
      </c>
      <c r="L130" s="31">
        <v>3.206</v>
      </c>
      <c r="M130" s="31">
        <v>2624</v>
      </c>
      <c r="N130" s="154">
        <f t="shared" si="10"/>
        <v>54.481629224260466</v>
      </c>
      <c r="O130" s="154">
        <f t="shared" si="11"/>
        <v>54.109375383936559</v>
      </c>
      <c r="P130" s="154">
        <f t="shared" si="12"/>
        <v>41.123125291791787</v>
      </c>
      <c r="Q130" s="154">
        <f t="shared" si="13"/>
        <v>49.780625353221637</v>
      </c>
      <c r="R130" s="154">
        <f t="shared" si="14"/>
        <v>61.68468793768767</v>
      </c>
      <c r="S130" s="154">
        <f t="shared" si="15"/>
        <v>70.342187999117527</v>
      </c>
      <c r="T130" s="29" t="str">
        <f t="shared" si="16"/>
        <v>D</v>
      </c>
      <c r="U130">
        <f>((SUM($J$30:J130)*L130/(M130*SUM($G$30:G130))))*10^6</f>
        <v>37.408238668134437</v>
      </c>
    </row>
    <row r="131" spans="2:21" ht="15.75" x14ac:dyDescent="0.25">
      <c r="B131" s="13">
        <v>102</v>
      </c>
      <c r="C131" s="456"/>
      <c r="D131" s="456"/>
      <c r="E131" s="457"/>
      <c r="F131" s="54">
        <v>0.77500000000000002</v>
      </c>
      <c r="G131" s="21">
        <f>'Testing DK9 (3)'!N132</f>
        <v>0.1254201540377903</v>
      </c>
      <c r="H131" s="153">
        <f>'Testing DK9 (3)'!BW132</f>
        <v>2.1492506480037907E-4</v>
      </c>
      <c r="I131" s="153">
        <v>4.2857142857142859E-3</v>
      </c>
      <c r="J131" s="153">
        <f t="shared" ref="J131:J149" si="17">H131+I131</f>
        <v>4.5006393505146649E-3</v>
      </c>
      <c r="K131" s="31" t="s">
        <v>257</v>
      </c>
      <c r="L131" s="31">
        <v>3.206</v>
      </c>
      <c r="M131" s="31">
        <v>2624</v>
      </c>
      <c r="N131" s="154">
        <f t="shared" si="10"/>
        <v>43.843636711029539</v>
      </c>
      <c r="O131" s="154">
        <f t="shared" ref="O131:O149" si="18">2023*M131^(-0.46)</f>
        <v>54.109375383936559</v>
      </c>
      <c r="P131" s="154">
        <f t="shared" si="12"/>
        <v>41.123125291791787</v>
      </c>
      <c r="Q131" s="154">
        <f t="shared" ref="Q131:Q149" si="19">0.92*O131</f>
        <v>49.780625353221637</v>
      </c>
      <c r="R131" s="154">
        <f t="shared" ref="R131:R149" si="20">1.14*O131</f>
        <v>61.68468793768767</v>
      </c>
      <c r="S131" s="154">
        <f t="shared" ref="S131:S149" si="21">1.3*O131</f>
        <v>70.342187999117527</v>
      </c>
      <c r="T131" s="29" t="str">
        <f t="shared" ref="T131:T149" si="22">IF(N131&lt;=P131,"A",IF((AND(N131&lt;=Q131,N131&gt;P131)),"B",IF((AND(N131&lt;=O131,N131&gt;Q131)),"C",IF((AND(N131&lt;=R131,N131&gt;O131)),"D","E"))))</f>
        <v>B</v>
      </c>
      <c r="U131">
        <f>((SUM($J$30:J131)*L131/(M131*SUM($G$30:G131))))*10^6</f>
        <v>37.429836125430043</v>
      </c>
    </row>
    <row r="132" spans="2:21" ht="15.75" x14ac:dyDescent="0.25">
      <c r="B132" s="13">
        <v>103</v>
      </c>
      <c r="C132" s="456"/>
      <c r="D132" s="456"/>
      <c r="E132" s="457"/>
      <c r="F132" s="54">
        <v>0.77708333333333401</v>
      </c>
      <c r="G132" s="21">
        <f>'Testing DK9 (3)'!N133</f>
        <v>9.2553744102230953E-2</v>
      </c>
      <c r="H132" s="153">
        <f>'Testing DK9 (3)'!BW133</f>
        <v>8.9854591306150295E-5</v>
      </c>
      <c r="I132" s="153">
        <v>4.2857142857142859E-3</v>
      </c>
      <c r="J132" s="153">
        <f t="shared" si="17"/>
        <v>4.3755688770204361E-3</v>
      </c>
      <c r="K132" s="31" t="s">
        <v>257</v>
      </c>
      <c r="L132" s="31">
        <v>3.206</v>
      </c>
      <c r="M132" s="31">
        <v>2624</v>
      </c>
      <c r="N132" s="154">
        <f t="shared" si="10"/>
        <v>57.761733679611339</v>
      </c>
      <c r="O132" s="154">
        <f t="shared" si="18"/>
        <v>54.109375383936559</v>
      </c>
      <c r="P132" s="154">
        <f t="shared" si="12"/>
        <v>41.123125291791787</v>
      </c>
      <c r="Q132" s="154">
        <f t="shared" si="19"/>
        <v>49.780625353221637</v>
      </c>
      <c r="R132" s="154">
        <f t="shared" si="20"/>
        <v>61.68468793768767</v>
      </c>
      <c r="S132" s="154">
        <f t="shared" si="21"/>
        <v>70.342187999117527</v>
      </c>
      <c r="T132" s="29" t="str">
        <f t="shared" si="22"/>
        <v>D</v>
      </c>
      <c r="U132">
        <f>((SUM($J$30:J132)*L132/(M132*SUM($G$30:G132))))*10^6</f>
        <v>37.480065473999595</v>
      </c>
    </row>
    <row r="133" spans="2:21" ht="15.75" x14ac:dyDescent="0.25">
      <c r="B133" s="13">
        <v>104</v>
      </c>
      <c r="C133" s="456"/>
      <c r="D133" s="456"/>
      <c r="E133" s="457"/>
      <c r="F133" s="54">
        <v>0.77916666666666801</v>
      </c>
      <c r="G133" s="21">
        <f>'Testing DK9 (3)'!N134</f>
        <v>9.6895622971256479E-2</v>
      </c>
      <c r="H133" s="153">
        <f>'Testing DK9 (3)'!BW134</f>
        <v>1.0248033017471075E-4</v>
      </c>
      <c r="I133" s="153">
        <v>4.2857142857142859E-3</v>
      </c>
      <c r="J133" s="153">
        <f t="shared" si="17"/>
        <v>4.3881946158889967E-3</v>
      </c>
      <c r="K133" s="31" t="s">
        <v>257</v>
      </c>
      <c r="L133" s="31">
        <v>3.206</v>
      </c>
      <c r="M133" s="31">
        <v>2624</v>
      </c>
      <c r="N133" s="154">
        <f t="shared" si="10"/>
        <v>55.332642134173412</v>
      </c>
      <c r="O133" s="154">
        <f t="shared" si="18"/>
        <v>54.109375383936559</v>
      </c>
      <c r="P133" s="154">
        <f t="shared" si="12"/>
        <v>41.123125291791787</v>
      </c>
      <c r="Q133" s="154">
        <f t="shared" si="19"/>
        <v>49.780625353221637</v>
      </c>
      <c r="R133" s="154">
        <f t="shared" si="20"/>
        <v>61.68468793768767</v>
      </c>
      <c r="S133" s="154">
        <f t="shared" si="21"/>
        <v>70.342187999117527</v>
      </c>
      <c r="T133" s="29" t="str">
        <f t="shared" si="22"/>
        <v>D</v>
      </c>
      <c r="U133">
        <f>((SUM($J$30:J133)*L133/(M133*SUM($G$30:G133))))*10^6</f>
        <v>37.526119639031833</v>
      </c>
    </row>
    <row r="134" spans="2:21" ht="15.75" x14ac:dyDescent="0.25">
      <c r="B134" s="13">
        <v>105</v>
      </c>
      <c r="C134" s="456"/>
      <c r="D134" s="456"/>
      <c r="E134" s="457"/>
      <c r="F134" s="54">
        <v>0.781250000000001</v>
      </c>
      <c r="G134" s="21">
        <f>'Testing DK9 (3)'!N135</f>
        <v>9.21410977434753E-2</v>
      </c>
      <c r="H134" s="153">
        <f>'Testing DK9 (3)'!BW135</f>
        <v>8.87106063057141E-5</v>
      </c>
      <c r="I134" s="153">
        <v>4.2857142857142859E-3</v>
      </c>
      <c r="J134" s="153">
        <f t="shared" si="17"/>
        <v>4.3744248920200004E-3</v>
      </c>
      <c r="K134" s="31" t="s">
        <v>257</v>
      </c>
      <c r="L134" s="31">
        <v>3.206</v>
      </c>
      <c r="M134" s="31">
        <v>2624</v>
      </c>
      <c r="N134" s="154">
        <f t="shared" si="10"/>
        <v>58.005245534249141</v>
      </c>
      <c r="O134" s="154">
        <f t="shared" si="18"/>
        <v>54.109375383936559</v>
      </c>
      <c r="P134" s="154">
        <f t="shared" si="12"/>
        <v>41.123125291791787</v>
      </c>
      <c r="Q134" s="154">
        <f t="shared" si="19"/>
        <v>49.780625353221637</v>
      </c>
      <c r="R134" s="154">
        <f t="shared" si="20"/>
        <v>61.68468793768767</v>
      </c>
      <c r="S134" s="154">
        <f t="shared" si="21"/>
        <v>70.342187999117527</v>
      </c>
      <c r="T134" s="29" t="str">
        <f t="shared" si="22"/>
        <v>D</v>
      </c>
      <c r="U134">
        <f>((SUM($J$30:J134)*L134/(M134*SUM($G$30:G134))))*10^6</f>
        <v>37.576234274629392</v>
      </c>
    </row>
    <row r="135" spans="2:21" ht="15.75" x14ac:dyDescent="0.25">
      <c r="B135" s="13">
        <v>106</v>
      </c>
      <c r="C135" s="456"/>
      <c r="D135" s="456"/>
      <c r="E135" s="457"/>
      <c r="F135" s="54">
        <v>0.78333333333333499</v>
      </c>
      <c r="G135" s="21">
        <f>'Testing DK9 (3)'!N136</f>
        <v>0.10231216755041037</v>
      </c>
      <c r="H135" s="153">
        <f>'Testing DK9 (3)'!BW136</f>
        <v>1.1978628666603734E-4</v>
      </c>
      <c r="I135" s="153">
        <v>4.2857142857142859E-3</v>
      </c>
      <c r="J135" s="153">
        <f t="shared" si="17"/>
        <v>4.4055005723803234E-3</v>
      </c>
      <c r="K135" s="31" t="s">
        <v>257</v>
      </c>
      <c r="L135" s="31">
        <v>3.206</v>
      </c>
      <c r="M135" s="31">
        <v>2624</v>
      </c>
      <c r="N135" s="154">
        <f t="shared" si="10"/>
        <v>52.60992270660789</v>
      </c>
      <c r="O135" s="154">
        <f t="shared" si="18"/>
        <v>54.109375383936559</v>
      </c>
      <c r="P135" s="154">
        <f t="shared" si="12"/>
        <v>41.123125291791787</v>
      </c>
      <c r="Q135" s="154">
        <f t="shared" si="19"/>
        <v>49.780625353221637</v>
      </c>
      <c r="R135" s="154">
        <f t="shared" si="20"/>
        <v>61.68468793768767</v>
      </c>
      <c r="S135" s="154">
        <f t="shared" si="21"/>
        <v>70.342187999117527</v>
      </c>
      <c r="T135" s="29" t="str">
        <f t="shared" si="22"/>
        <v>C</v>
      </c>
      <c r="U135">
        <f>((SUM($J$30:J135)*L135/(M135*SUM($G$30:G135))))*10^6</f>
        <v>37.616973627911584</v>
      </c>
    </row>
    <row r="136" spans="2:21" ht="15.75" x14ac:dyDescent="0.25">
      <c r="B136" s="13">
        <v>107</v>
      </c>
      <c r="C136" s="456"/>
      <c r="D136" s="456"/>
      <c r="E136" s="457">
        <v>0.78472222222222199</v>
      </c>
      <c r="F136" s="54">
        <v>0.78472222222222221</v>
      </c>
      <c r="G136" s="21">
        <f>'Testing DK9 (3)'!N137</f>
        <v>0.10345277083034513</v>
      </c>
      <c r="H136" s="153">
        <f>'Testing DK9 (3)'!BW137</f>
        <v>2.642047264080267E-4</v>
      </c>
      <c r="I136" s="153">
        <v>4.2857142857142859E-3</v>
      </c>
      <c r="J136" s="153">
        <f t="shared" si="17"/>
        <v>4.5499190121223131E-3</v>
      </c>
      <c r="K136" s="31" t="s">
        <v>257</v>
      </c>
      <c r="L136" s="31">
        <v>3.206</v>
      </c>
      <c r="M136" s="31">
        <v>2624</v>
      </c>
      <c r="N136" s="154">
        <f t="shared" si="10"/>
        <v>53.735491622991994</v>
      </c>
      <c r="O136" s="154">
        <f t="shared" si="18"/>
        <v>54.109375383936559</v>
      </c>
      <c r="P136" s="154">
        <f t="shared" si="12"/>
        <v>41.123125291791787</v>
      </c>
      <c r="Q136" s="154">
        <f t="shared" si="19"/>
        <v>49.780625353221637</v>
      </c>
      <c r="R136" s="154">
        <f t="shared" si="20"/>
        <v>61.68468793768767</v>
      </c>
      <c r="S136" s="154">
        <f t="shared" si="21"/>
        <v>70.342187999117527</v>
      </c>
      <c r="T136" s="29" t="str">
        <f t="shared" si="22"/>
        <v>C</v>
      </c>
      <c r="U136">
        <f>((SUM($J$30:J136)*L136/(M136*SUM($G$30:G136))))*10^6</f>
        <v>37.661018987536771</v>
      </c>
    </row>
    <row r="137" spans="2:21" ht="15.75" x14ac:dyDescent="0.25">
      <c r="B137" s="13">
        <v>108</v>
      </c>
      <c r="C137" s="456"/>
      <c r="D137" s="456"/>
      <c r="E137" s="457"/>
      <c r="F137" s="54">
        <v>0.78680555555555554</v>
      </c>
      <c r="G137" s="21">
        <f>'Testing DK9 (3)'!N138</f>
        <v>7.6586366518422641E-2</v>
      </c>
      <c r="H137" s="153">
        <f>'Testing DK9 (3)'!BW138</f>
        <v>5.2218293581229416E-5</v>
      </c>
      <c r="I137" s="153">
        <v>4.2857142857142859E-3</v>
      </c>
      <c r="J137" s="153">
        <f t="shared" si="17"/>
        <v>4.3379325792955153E-3</v>
      </c>
      <c r="K137" s="31" t="s">
        <v>257</v>
      </c>
      <c r="L137" s="31">
        <v>3.206</v>
      </c>
      <c r="M137" s="31">
        <v>2624</v>
      </c>
      <c r="N137" s="154">
        <f t="shared" si="10"/>
        <v>69.203971622634157</v>
      </c>
      <c r="O137" s="154">
        <f t="shared" si="18"/>
        <v>54.109375383936559</v>
      </c>
      <c r="P137" s="154">
        <f t="shared" si="12"/>
        <v>41.123125291791787</v>
      </c>
      <c r="Q137" s="154">
        <f t="shared" si="19"/>
        <v>49.780625353221637</v>
      </c>
      <c r="R137" s="154">
        <f t="shared" si="20"/>
        <v>61.68468793768767</v>
      </c>
      <c r="S137" s="154">
        <f t="shared" si="21"/>
        <v>70.342187999117527</v>
      </c>
      <c r="T137" s="29" t="str">
        <f t="shared" si="22"/>
        <v>E</v>
      </c>
      <c r="U137">
        <f>((SUM($J$30:J137)*L137/(M137*SUM($G$30:G137))))*10^6</f>
        <v>37.724699869165242</v>
      </c>
    </row>
    <row r="138" spans="2:21" ht="15.75" x14ac:dyDescent="0.25">
      <c r="B138" s="13">
        <v>109</v>
      </c>
      <c r="C138" s="456"/>
      <c r="D138" s="456"/>
      <c r="E138" s="457"/>
      <c r="F138" s="54">
        <v>0.78888888888888897</v>
      </c>
      <c r="G138" s="21">
        <f>'Testing DK9 (3)'!N139</f>
        <v>9.1877959099358614E-2</v>
      </c>
      <c r="H138" s="153">
        <f>'Testing DK9 (3)'!BW139</f>
        <v>8.7986094864611508E-5</v>
      </c>
      <c r="I138" s="153">
        <v>4.2857142857142859E-3</v>
      </c>
      <c r="J138" s="153">
        <f t="shared" si="17"/>
        <v>4.3737003805788977E-3</v>
      </c>
      <c r="K138" s="31" t="s">
        <v>257</v>
      </c>
      <c r="L138" s="31">
        <v>3.206</v>
      </c>
      <c r="M138" s="31">
        <v>2624</v>
      </c>
      <c r="N138" s="154">
        <f t="shared" si="10"/>
        <v>58.161738066378639</v>
      </c>
      <c r="O138" s="154">
        <f t="shared" si="18"/>
        <v>54.109375383936559</v>
      </c>
      <c r="P138" s="154">
        <f t="shared" si="12"/>
        <v>41.123125291791787</v>
      </c>
      <c r="Q138" s="154">
        <f t="shared" si="19"/>
        <v>49.780625353221637</v>
      </c>
      <c r="R138" s="154">
        <f t="shared" si="20"/>
        <v>61.68468793768767</v>
      </c>
      <c r="S138" s="154">
        <f t="shared" si="21"/>
        <v>70.342187999117527</v>
      </c>
      <c r="T138" s="29" t="str">
        <f t="shared" si="22"/>
        <v>D</v>
      </c>
      <c r="U138">
        <f>((SUM($J$30:J138)*L138/(M138*SUM($G$30:G138))))*10^6</f>
        <v>37.774077924573035</v>
      </c>
    </row>
    <row r="139" spans="2:21" ht="15.75" x14ac:dyDescent="0.25">
      <c r="B139" s="13">
        <v>110</v>
      </c>
      <c r="C139" s="456"/>
      <c r="D139" s="456"/>
      <c r="E139" s="457"/>
      <c r="F139" s="54">
        <v>0.79097222222222197</v>
      </c>
      <c r="G139" s="21">
        <f>'Testing DK9 (3)'!N140</f>
        <v>0.11773345525976643</v>
      </c>
      <c r="H139" s="153">
        <f>'Testing DK9 (3)'!BW140</f>
        <v>1.7922875639496272E-4</v>
      </c>
      <c r="I139" s="153">
        <v>4.2857142857142859E-3</v>
      </c>
      <c r="J139" s="153">
        <f t="shared" si="17"/>
        <v>4.4649430421092482E-3</v>
      </c>
      <c r="K139" s="31" t="s">
        <v>257</v>
      </c>
      <c r="L139" s="31">
        <v>3.206</v>
      </c>
      <c r="M139" s="31">
        <v>2624</v>
      </c>
      <c r="N139" s="154">
        <f t="shared" si="10"/>
        <v>46.33569915840939</v>
      </c>
      <c r="O139" s="154">
        <f t="shared" si="18"/>
        <v>54.109375383936559</v>
      </c>
      <c r="P139" s="154">
        <f t="shared" si="12"/>
        <v>41.123125291791787</v>
      </c>
      <c r="Q139" s="154">
        <f t="shared" si="19"/>
        <v>49.780625353221637</v>
      </c>
      <c r="R139" s="154">
        <f t="shared" si="20"/>
        <v>61.68468793768767</v>
      </c>
      <c r="S139" s="154">
        <f t="shared" si="21"/>
        <v>70.342187999117527</v>
      </c>
      <c r="T139" s="29" t="str">
        <f t="shared" si="22"/>
        <v>B</v>
      </c>
      <c r="U139">
        <f>((SUM($J$30:J139)*L139/(M139*SUM($G$30:G139))))*10^6</f>
        <v>37.80050311206265</v>
      </c>
    </row>
    <row r="140" spans="2:21" ht="15.75" x14ac:dyDescent="0.25">
      <c r="B140" s="13">
        <v>111</v>
      </c>
      <c r="C140" s="456"/>
      <c r="D140" s="456"/>
      <c r="E140" s="457"/>
      <c r="F140" s="54">
        <v>0.79305555555555596</v>
      </c>
      <c r="G140" s="21">
        <f>'Testing DK9 (3)'!N141</f>
        <v>0.10581694356738647</v>
      </c>
      <c r="H140" s="153">
        <f>'Testing DK9 (3)'!BW141</f>
        <v>1.3194089083779214E-4</v>
      </c>
      <c r="I140" s="153">
        <v>4.2857142857142859E-3</v>
      </c>
      <c r="J140" s="153">
        <f t="shared" si="17"/>
        <v>4.417655176552078E-3</v>
      </c>
      <c r="K140" s="31" t="s">
        <v>257</v>
      </c>
      <c r="L140" s="31">
        <v>3.206</v>
      </c>
      <c r="M140" s="31">
        <v>2624</v>
      </c>
      <c r="N140" s="154">
        <f t="shared" si="10"/>
        <v>51.007764213958176</v>
      </c>
      <c r="O140" s="154">
        <f t="shared" si="18"/>
        <v>54.109375383936559</v>
      </c>
      <c r="P140" s="154">
        <f t="shared" si="12"/>
        <v>41.123125291791787</v>
      </c>
      <c r="Q140" s="154">
        <f t="shared" si="19"/>
        <v>49.780625353221637</v>
      </c>
      <c r="R140" s="154">
        <f t="shared" si="20"/>
        <v>61.68468793768767</v>
      </c>
      <c r="S140" s="154">
        <f t="shared" si="21"/>
        <v>70.342187999117527</v>
      </c>
      <c r="T140" s="29" t="str">
        <f t="shared" si="22"/>
        <v>C</v>
      </c>
      <c r="U140">
        <f>((SUM($J$30:J140)*L140/(M140*SUM($G$30:G140))))*10^6</f>
        <v>37.837039621853101</v>
      </c>
    </row>
    <row r="141" spans="2:21" ht="15.75" x14ac:dyDescent="0.25">
      <c r="B141" s="13">
        <v>112</v>
      </c>
      <c r="C141" s="456"/>
      <c r="D141" s="456"/>
      <c r="E141" s="457"/>
      <c r="F141" s="54">
        <v>0.79513888888888895</v>
      </c>
      <c r="G141" s="21">
        <f>'Testing DK9 (3)'!N142</f>
        <v>0.10210627710763495</v>
      </c>
      <c r="H141" s="153">
        <f>'Testing DK9 (3)'!BW142</f>
        <v>1.1909598700474834E-4</v>
      </c>
      <c r="I141" s="153">
        <v>4.2857142857142859E-3</v>
      </c>
      <c r="J141" s="153">
        <f t="shared" si="17"/>
        <v>4.4048102727190343E-3</v>
      </c>
      <c r="K141" s="31" t="s">
        <v>257</v>
      </c>
      <c r="L141" s="31">
        <v>3.206</v>
      </c>
      <c r="M141" s="31">
        <v>2624</v>
      </c>
      <c r="N141" s="154">
        <f t="shared" si="10"/>
        <v>52.707746986163009</v>
      </c>
      <c r="O141" s="154">
        <f t="shared" si="18"/>
        <v>54.109375383936559</v>
      </c>
      <c r="P141" s="154">
        <f t="shared" si="12"/>
        <v>41.123125291791787</v>
      </c>
      <c r="Q141" s="154">
        <f t="shared" si="19"/>
        <v>49.780625353221637</v>
      </c>
      <c r="R141" s="154">
        <f t="shared" si="20"/>
        <v>61.68468793768767</v>
      </c>
      <c r="S141" s="154">
        <f t="shared" si="21"/>
        <v>70.342187999117527</v>
      </c>
      <c r="T141" s="29" t="str">
        <f t="shared" si="22"/>
        <v>C</v>
      </c>
      <c r="U141">
        <f>((SUM($J$30:J141)*L141/(M141*SUM($G$30:G141))))*10^6</f>
        <v>37.876629612125988</v>
      </c>
    </row>
    <row r="142" spans="2:21" ht="15.75" x14ac:dyDescent="0.25">
      <c r="B142" s="13">
        <v>113</v>
      </c>
      <c r="C142" s="456"/>
      <c r="D142" s="456"/>
      <c r="E142" s="457"/>
      <c r="F142" s="54">
        <v>0.79722222222222205</v>
      </c>
      <c r="G142" s="21">
        <f>'Testing DK9 (3)'!N143</f>
        <v>9.2308290331816353E-2</v>
      </c>
      <c r="H142" s="153">
        <f>'Testing DK9 (3)'!BW143</f>
        <v>8.9172963081000358E-5</v>
      </c>
      <c r="I142" s="153">
        <v>4.2857142857142859E-3</v>
      </c>
      <c r="J142" s="153">
        <f t="shared" si="17"/>
        <v>4.3748872487952865E-3</v>
      </c>
      <c r="K142" s="31" t="s">
        <v>257</v>
      </c>
      <c r="L142" s="31">
        <v>3.206</v>
      </c>
      <c r="M142" s="31">
        <v>2624</v>
      </c>
      <c r="N142" s="154">
        <f t="shared" si="10"/>
        <v>57.906303823150338</v>
      </c>
      <c r="O142" s="154">
        <f t="shared" si="18"/>
        <v>54.109375383936559</v>
      </c>
      <c r="P142" s="154">
        <f t="shared" si="12"/>
        <v>41.123125291791787</v>
      </c>
      <c r="Q142" s="154">
        <f t="shared" si="19"/>
        <v>49.780625353221637</v>
      </c>
      <c r="R142" s="154">
        <f t="shared" si="20"/>
        <v>61.68468793768767</v>
      </c>
      <c r="S142" s="154">
        <f t="shared" si="21"/>
        <v>70.342187999117527</v>
      </c>
      <c r="T142" s="29" t="str">
        <f t="shared" si="22"/>
        <v>D</v>
      </c>
      <c r="U142">
        <f>((SUM($J$30:J142)*L142/(M142*SUM($G$30:G142))))*10^6</f>
        <v>37.924721509289</v>
      </c>
    </row>
    <row r="143" spans="2:21" ht="15.75" x14ac:dyDescent="0.25">
      <c r="B143" s="13">
        <v>114</v>
      </c>
      <c r="C143" s="456"/>
      <c r="D143" s="456"/>
      <c r="E143" s="457">
        <v>0.79861111111111005</v>
      </c>
      <c r="F143" s="54">
        <v>0.79861111111111116</v>
      </c>
      <c r="G143" s="21">
        <f>'Testing DK9 (3)'!N144</f>
        <v>0.19021362177953138</v>
      </c>
      <c r="H143" s="153">
        <f>'Testing DK9 (3)'!BW144</f>
        <v>1.5281439279284819E-3</v>
      </c>
      <c r="I143" s="153">
        <v>4.2857142857142859E-3</v>
      </c>
      <c r="J143" s="153">
        <f t="shared" si="17"/>
        <v>5.8138582136427683E-3</v>
      </c>
      <c r="K143" s="31" t="s">
        <v>257</v>
      </c>
      <c r="L143" s="31">
        <v>3.206</v>
      </c>
      <c r="M143" s="31">
        <v>2624</v>
      </c>
      <c r="N143" s="154">
        <f t="shared" si="10"/>
        <v>37.344143962470547</v>
      </c>
      <c r="O143" s="154">
        <f t="shared" si="18"/>
        <v>54.109375383936559</v>
      </c>
      <c r="P143" s="154">
        <f t="shared" si="12"/>
        <v>41.123125291791787</v>
      </c>
      <c r="Q143" s="154">
        <f t="shared" si="19"/>
        <v>49.780625353221637</v>
      </c>
      <c r="R143" s="154">
        <f t="shared" si="20"/>
        <v>61.68468793768767</v>
      </c>
      <c r="S143" s="154">
        <f t="shared" si="21"/>
        <v>70.342187999117527</v>
      </c>
      <c r="T143" s="29" t="str">
        <f t="shared" si="22"/>
        <v>A</v>
      </c>
      <c r="U143">
        <f>((SUM($J$30:J143)*L143/(M143*SUM($G$30:G143))))*10^6</f>
        <v>37.921863157164765</v>
      </c>
    </row>
    <row r="144" spans="2:21" ht="15.75" x14ac:dyDescent="0.25">
      <c r="B144" s="13">
        <v>115</v>
      </c>
      <c r="C144" s="456"/>
      <c r="D144" s="456"/>
      <c r="E144" s="457"/>
      <c r="F144" s="54">
        <v>0.80069444444444438</v>
      </c>
      <c r="G144" s="21">
        <f>'Testing DK9 (3)'!N145</f>
        <v>8.3755430610047199E-2</v>
      </c>
      <c r="H144" s="153">
        <f>'Testing DK9 (3)'!BW145</f>
        <v>9.483538965274877E-5</v>
      </c>
      <c r="I144" s="153">
        <v>4.2857142857142859E-3</v>
      </c>
      <c r="J144" s="153">
        <f t="shared" si="17"/>
        <v>4.3805496753670349E-3</v>
      </c>
      <c r="K144" s="31" t="s">
        <v>257</v>
      </c>
      <c r="L144" s="31">
        <v>3.206</v>
      </c>
      <c r="M144" s="31">
        <v>2624</v>
      </c>
      <c r="N144" s="154">
        <f t="shared" si="10"/>
        <v>63.902128044072832</v>
      </c>
      <c r="O144" s="154">
        <f t="shared" si="18"/>
        <v>54.109375383936559</v>
      </c>
      <c r="P144" s="154">
        <f t="shared" si="12"/>
        <v>41.123125291791787</v>
      </c>
      <c r="Q144" s="154">
        <f t="shared" si="19"/>
        <v>49.780625353221637</v>
      </c>
      <c r="R144" s="154">
        <f t="shared" si="20"/>
        <v>61.68468793768767</v>
      </c>
      <c r="S144" s="154">
        <f t="shared" si="21"/>
        <v>70.342187999117527</v>
      </c>
      <c r="T144" s="29" t="str">
        <f t="shared" si="22"/>
        <v>E</v>
      </c>
      <c r="U144">
        <f>((SUM($J$30:J144)*L144/(M144*SUM($G$30:G144))))*10^6</f>
        <v>37.978062335708913</v>
      </c>
    </row>
    <row r="145" spans="2:24" ht="15.75" x14ac:dyDescent="0.25">
      <c r="B145" s="13">
        <v>116</v>
      </c>
      <c r="C145" s="456"/>
      <c r="D145" s="456"/>
      <c r="E145" s="457"/>
      <c r="F145" s="54">
        <v>0.80277777777777803</v>
      </c>
      <c r="G145" s="21">
        <f>'Testing DK9 (3)'!N146</f>
        <v>8.9227318116819332E-2</v>
      </c>
      <c r="H145" s="153">
        <f>'Testing DK9 (3)'!BW146</f>
        <v>8.0902452580760824E-5</v>
      </c>
      <c r="I145" s="153">
        <v>4.2857142857142859E-3</v>
      </c>
      <c r="J145" s="153">
        <f t="shared" si="17"/>
        <v>4.3666167382950469E-3</v>
      </c>
      <c r="K145" s="31" t="s">
        <v>257</v>
      </c>
      <c r="L145" s="31">
        <v>3.206</v>
      </c>
      <c r="M145" s="31">
        <v>2624</v>
      </c>
      <c r="N145" s="154">
        <f t="shared" si="10"/>
        <v>59.792528995678218</v>
      </c>
      <c r="O145" s="154">
        <f t="shared" si="18"/>
        <v>54.109375383936559</v>
      </c>
      <c r="P145" s="154">
        <f t="shared" si="12"/>
        <v>41.123125291791787</v>
      </c>
      <c r="Q145" s="154">
        <f t="shared" si="19"/>
        <v>49.780625353221637</v>
      </c>
      <c r="R145" s="154">
        <f t="shared" si="20"/>
        <v>61.68468793768767</v>
      </c>
      <c r="S145" s="154">
        <f t="shared" si="21"/>
        <v>70.342187999117527</v>
      </c>
      <c r="T145" s="29" t="str">
        <f t="shared" si="22"/>
        <v>D</v>
      </c>
      <c r="U145">
        <f>((SUM($J$30:J145)*L145/(M145*SUM($G$30:G145))))*10^6</f>
        <v>38.028217561349237</v>
      </c>
    </row>
    <row r="146" spans="2:24" ht="15.75" x14ac:dyDescent="0.25">
      <c r="B146" s="13">
        <v>117</v>
      </c>
      <c r="C146" s="456"/>
      <c r="D146" s="456"/>
      <c r="E146" s="457"/>
      <c r="F146" s="54">
        <v>0.80486111111111103</v>
      </c>
      <c r="G146" s="21">
        <v>1E-3</v>
      </c>
      <c r="H146" s="153">
        <v>0</v>
      </c>
      <c r="I146" s="153">
        <v>4.2857142857142859E-3</v>
      </c>
      <c r="J146" s="153">
        <f t="shared" si="17"/>
        <v>4.2857142857142859E-3</v>
      </c>
      <c r="K146" s="31" t="s">
        <v>257</v>
      </c>
      <c r="L146" s="31">
        <v>3.206</v>
      </c>
      <c r="M146" s="31">
        <v>2624</v>
      </c>
      <c r="N146" s="31">
        <f t="shared" si="10"/>
        <v>5236.2804878048782</v>
      </c>
      <c r="O146" s="154">
        <f t="shared" si="18"/>
        <v>54.109375383936559</v>
      </c>
      <c r="P146" s="154">
        <f t="shared" si="12"/>
        <v>41.123125291791787</v>
      </c>
      <c r="Q146" s="154">
        <f t="shared" si="19"/>
        <v>49.780625353221637</v>
      </c>
      <c r="R146" s="154">
        <f t="shared" si="20"/>
        <v>61.68468793768767</v>
      </c>
      <c r="S146" s="154">
        <f t="shared" si="21"/>
        <v>70.342187999117527</v>
      </c>
      <c r="T146" s="29" t="str">
        <f t="shared" si="22"/>
        <v>E</v>
      </c>
      <c r="U146">
        <f>((SUM($J$30:J146)*L146/(M146*SUM($G$30:G146))))*10^6</f>
        <v>38.162160527091345</v>
      </c>
    </row>
    <row r="147" spans="2:24" ht="15.75" x14ac:dyDescent="0.25">
      <c r="B147" s="13">
        <v>118</v>
      </c>
      <c r="C147" s="456"/>
      <c r="D147" s="456"/>
      <c r="E147" s="457"/>
      <c r="F147" s="54">
        <v>0.80694444444444402</v>
      </c>
      <c r="G147" s="21">
        <v>1E-3</v>
      </c>
      <c r="H147" s="153">
        <v>0</v>
      </c>
      <c r="I147" s="153">
        <v>4.2857142857142859E-3</v>
      </c>
      <c r="J147" s="153">
        <f t="shared" si="17"/>
        <v>4.2857142857142859E-3</v>
      </c>
      <c r="K147" s="31" t="s">
        <v>257</v>
      </c>
      <c r="L147" s="31">
        <v>3.206</v>
      </c>
      <c r="M147" s="31">
        <v>2624</v>
      </c>
      <c r="N147" s="31">
        <f t="shared" si="10"/>
        <v>5236.2804878048782</v>
      </c>
      <c r="O147" s="154">
        <f t="shared" si="18"/>
        <v>54.109375383936559</v>
      </c>
      <c r="P147" s="154">
        <f t="shared" si="12"/>
        <v>41.123125291791787</v>
      </c>
      <c r="Q147" s="154">
        <f t="shared" si="19"/>
        <v>49.780625353221637</v>
      </c>
      <c r="R147" s="154">
        <f t="shared" si="20"/>
        <v>61.68468793768767</v>
      </c>
      <c r="S147" s="154">
        <f t="shared" si="21"/>
        <v>70.342187999117527</v>
      </c>
      <c r="T147" s="29" t="str">
        <f t="shared" si="22"/>
        <v>E</v>
      </c>
      <c r="U147">
        <f>((SUM($J$30:J147)*L147/(M147*SUM($G$30:G147))))*10^6</f>
        <v>38.296096590415161</v>
      </c>
    </row>
    <row r="148" spans="2:24" ht="15.75" x14ac:dyDescent="0.25">
      <c r="B148" s="13">
        <v>119</v>
      </c>
      <c r="C148" s="456"/>
      <c r="D148" s="456"/>
      <c r="E148" s="457"/>
      <c r="F148" s="54">
        <v>0.80902777777777701</v>
      </c>
      <c r="G148" s="21">
        <v>1E-3</v>
      </c>
      <c r="H148" s="153">
        <v>0</v>
      </c>
      <c r="I148" s="153">
        <v>4.2857142857142859E-3</v>
      </c>
      <c r="J148" s="153">
        <f t="shared" si="17"/>
        <v>4.2857142857142859E-3</v>
      </c>
      <c r="K148" s="31" t="s">
        <v>257</v>
      </c>
      <c r="L148" s="31">
        <v>3.206</v>
      </c>
      <c r="M148" s="31">
        <v>2624</v>
      </c>
      <c r="N148" s="31">
        <f t="shared" si="10"/>
        <v>5236.2804878048782</v>
      </c>
      <c r="O148" s="154">
        <f t="shared" si="18"/>
        <v>54.109375383936559</v>
      </c>
      <c r="P148" s="154">
        <f t="shared" si="12"/>
        <v>41.123125291791787</v>
      </c>
      <c r="Q148" s="154">
        <f t="shared" si="19"/>
        <v>49.780625353221637</v>
      </c>
      <c r="R148" s="154">
        <f t="shared" si="20"/>
        <v>61.68468793768767</v>
      </c>
      <c r="S148" s="154">
        <f t="shared" si="21"/>
        <v>70.342187999117527</v>
      </c>
      <c r="T148" s="29" t="str">
        <f t="shared" si="22"/>
        <v>E</v>
      </c>
      <c r="U148">
        <f>((SUM($J$30:J148)*L148/(M148*SUM($G$30:G148))))*10^6</f>
        <v>38.430025751854188</v>
      </c>
    </row>
    <row r="149" spans="2:24" ht="16.5" thickBot="1" x14ac:dyDescent="0.3">
      <c r="B149" s="237">
        <v>120</v>
      </c>
      <c r="C149" s="461"/>
      <c r="D149" s="461"/>
      <c r="E149" s="462"/>
      <c r="F149" s="239">
        <v>0.81111111111111001</v>
      </c>
      <c r="G149" s="240">
        <v>1E-3</v>
      </c>
      <c r="H149" s="241">
        <v>0</v>
      </c>
      <c r="I149" s="153">
        <v>4.2857142857142859E-3</v>
      </c>
      <c r="J149" s="241">
        <f t="shared" si="17"/>
        <v>4.2857142857142859E-3</v>
      </c>
      <c r="K149" s="242" t="s">
        <v>257</v>
      </c>
      <c r="L149" s="242">
        <v>3.206</v>
      </c>
      <c r="M149" s="242">
        <v>2624</v>
      </c>
      <c r="N149" s="242">
        <f t="shared" ref="N149" si="23">(J149*L149)/(M149*G149)</f>
        <v>5.2362804878048784E-3</v>
      </c>
      <c r="O149" s="243">
        <f t="shared" si="18"/>
        <v>54.109375383936559</v>
      </c>
      <c r="P149" s="243">
        <f t="shared" si="12"/>
        <v>41.123125291791787</v>
      </c>
      <c r="Q149" s="243">
        <f t="shared" si="19"/>
        <v>49.780625353221637</v>
      </c>
      <c r="R149" s="243">
        <f t="shared" si="20"/>
        <v>61.68468793768767</v>
      </c>
      <c r="S149" s="243">
        <f t="shared" si="21"/>
        <v>70.342187999117527</v>
      </c>
      <c r="T149" s="244" t="str">
        <f t="shared" si="22"/>
        <v>A</v>
      </c>
      <c r="U149">
        <f>((SUM($J$30:J149)*L149/(M149*SUM($G$30:G149))))*10^6</f>
        <v>38.563948011941939</v>
      </c>
    </row>
    <row r="150" spans="2:24" ht="16.5" thickBot="1" x14ac:dyDescent="0.3">
      <c r="B150" s="46">
        <v>1</v>
      </c>
      <c r="C150" s="460" t="s">
        <v>82</v>
      </c>
      <c r="D150" s="460" t="s">
        <v>81</v>
      </c>
      <c r="E150" s="257">
        <v>0.84722222222222221</v>
      </c>
      <c r="F150" s="55">
        <v>0.84722222222222221</v>
      </c>
      <c r="G150" s="71">
        <v>1E-3</v>
      </c>
      <c r="H150" s="245">
        <v>0</v>
      </c>
      <c r="I150" s="247">
        <v>2.5000000000000001E-3</v>
      </c>
      <c r="J150" s="246">
        <f>H150+I150</f>
        <v>2.5000000000000001E-3</v>
      </c>
      <c r="K150" s="247" t="s">
        <v>257</v>
      </c>
      <c r="L150" s="247">
        <v>3.206</v>
      </c>
      <c r="M150" s="242">
        <v>2624</v>
      </c>
      <c r="N150" s="247">
        <f>(J150*L150)/(M150*G150)</f>
        <v>3.0544969512195119E-3</v>
      </c>
      <c r="O150" s="248">
        <f>2023*M150^(-0.46)</f>
        <v>54.109375383936559</v>
      </c>
      <c r="P150" s="248">
        <f>0.76*O150</f>
        <v>41.123125291791787</v>
      </c>
      <c r="Q150" s="248">
        <f>0.92*O150</f>
        <v>49.780625353221637</v>
      </c>
      <c r="R150" s="248">
        <f>1.14*O150</f>
        <v>61.68468793768767</v>
      </c>
      <c r="S150" s="248">
        <f>1.3*O150</f>
        <v>70.342187999117527</v>
      </c>
      <c r="T150" s="249" t="str">
        <f>IF(N150&lt;=P150,"A",IF((AND(N150&lt;=Q150,N150&gt;P150)),"B",IF((AND(N150&lt;=O150,N150&gt;Q150)),"C",IF((AND(N150&lt;=R150,N150&gt;O150)),"D","E"))))</f>
        <v>A</v>
      </c>
      <c r="U150">
        <f>((SUM($J$30:J150)*L150/(M150*SUM($G$30:G150))))*10^6</f>
        <v>38.641651316569344</v>
      </c>
    </row>
    <row r="151" spans="2:24" ht="16.5" thickBot="1" x14ac:dyDescent="0.3">
      <c r="B151" s="13">
        <v>2</v>
      </c>
      <c r="C151" s="456"/>
      <c r="D151" s="456"/>
      <c r="E151" s="457"/>
      <c r="F151" s="54">
        <v>0.84861111111111109</v>
      </c>
      <c r="G151" s="15">
        <f>'Testing DK9 (3)'!N157</f>
        <v>8.7732849193737417E-2</v>
      </c>
      <c r="H151" s="153">
        <f>'Testing DK9 (3)'!BW157</f>
        <v>1.2654628487757273E-4</v>
      </c>
      <c r="I151" s="247">
        <v>2.5000000000000001E-3</v>
      </c>
      <c r="J151" s="153">
        <f t="shared" ref="J151:J214" si="24">H151+I151</f>
        <v>2.6265462848775729E-3</v>
      </c>
      <c r="K151" s="31" t="s">
        <v>257</v>
      </c>
      <c r="L151" s="31">
        <v>3.206</v>
      </c>
      <c r="M151" s="242">
        <v>2624</v>
      </c>
      <c r="N151" s="31">
        <f t="shared" ref="N151" si="25">(J151*L151)/(M151*G151)</f>
        <v>3.657821531216459E-5</v>
      </c>
      <c r="O151" s="154">
        <f t="shared" ref="O151:O214" si="26">2023*M151^(-0.46)</f>
        <v>54.109375383936559</v>
      </c>
      <c r="P151" s="154">
        <f t="shared" ref="P151:P214" si="27">0.76*O151</f>
        <v>41.123125291791787</v>
      </c>
      <c r="Q151" s="154">
        <f t="shared" ref="Q151:Q214" si="28">0.92*O151</f>
        <v>49.780625353221637</v>
      </c>
      <c r="R151" s="154">
        <f t="shared" ref="R151:R214" si="29">1.14*O151</f>
        <v>61.68468793768767</v>
      </c>
      <c r="S151" s="154">
        <f t="shared" ref="S151:S214" si="30">1.3*O151</f>
        <v>70.342187999117527</v>
      </c>
      <c r="T151" s="29" t="str">
        <f t="shared" ref="T151:T214" si="31">IF(N151&lt;=P151,"A",IF((AND(N151&lt;=Q151,N151&gt;P151)),"B",IF((AND(N151&lt;=O151,N151&gt;Q151)),"C",IF((AND(N151&lt;=R151,N151&gt;O151)),"D","E"))))</f>
        <v>A</v>
      </c>
      <c r="U151">
        <f>((SUM($J$30:J151)*L151/(M151*SUM($G$30:G151))))*10^6</f>
        <v>38.636997701279341</v>
      </c>
    </row>
    <row r="152" spans="2:24" ht="16.5" thickBot="1" x14ac:dyDescent="0.3">
      <c r="B152" s="13">
        <v>3</v>
      </c>
      <c r="C152" s="456"/>
      <c r="D152" s="456"/>
      <c r="E152" s="457"/>
      <c r="F152" s="54">
        <v>0.85</v>
      </c>
      <c r="G152" s="15">
        <f>'Testing DK9 (3)'!N158</f>
        <v>6.9906323688015443E-2</v>
      </c>
      <c r="H152" s="153">
        <f>'Testing DK9 (3)'!BW158</f>
        <v>6.5549699360246396E-5</v>
      </c>
      <c r="I152" s="247">
        <v>2.5000000000000001E-3</v>
      </c>
      <c r="J152" s="153">
        <f t="shared" si="24"/>
        <v>2.5655496993602462E-3</v>
      </c>
      <c r="K152" s="31" t="s">
        <v>257</v>
      </c>
      <c r="L152" s="31">
        <v>3.206</v>
      </c>
      <c r="M152" s="242">
        <v>2624</v>
      </c>
      <c r="N152" s="155">
        <f>((J152*L152)/(M152*G152))*10^6</f>
        <v>44.839798870679118</v>
      </c>
      <c r="O152" s="154">
        <f t="shared" si="26"/>
        <v>54.109375383936559</v>
      </c>
      <c r="P152" s="154">
        <f t="shared" si="27"/>
        <v>41.123125291791787</v>
      </c>
      <c r="Q152" s="154">
        <f t="shared" si="28"/>
        <v>49.780625353221637</v>
      </c>
      <c r="R152" s="154">
        <f t="shared" si="29"/>
        <v>61.68468793768767</v>
      </c>
      <c r="S152" s="154">
        <f t="shared" si="30"/>
        <v>70.342187999117527</v>
      </c>
      <c r="T152" s="29" t="str">
        <f t="shared" si="31"/>
        <v>B</v>
      </c>
      <c r="U152">
        <f>((SUM($J$30:J152)*L152/(M152*SUM($G$30:G152))))*10^6</f>
        <v>38.648124284656227</v>
      </c>
      <c r="W152" s="31">
        <v>0</v>
      </c>
      <c r="X152">
        <f>W152/7</f>
        <v>0</v>
      </c>
    </row>
    <row r="153" spans="2:24" ht="16.5" thickBot="1" x14ac:dyDescent="0.3">
      <c r="B153" s="13">
        <v>4</v>
      </c>
      <c r="C153" s="456"/>
      <c r="D153" s="456"/>
      <c r="E153" s="457"/>
      <c r="F153" s="54">
        <v>0.85138888888888897</v>
      </c>
      <c r="G153" s="15">
        <f>'Testing DK9 (3)'!N159</f>
        <v>0.20034198686808247</v>
      </c>
      <c r="H153" s="153">
        <f>'Testing DK9 (3)'!BW159</f>
        <v>1.8775409687817699E-3</v>
      </c>
      <c r="I153" s="247">
        <v>2.5000000000000001E-3</v>
      </c>
      <c r="J153" s="153">
        <f t="shared" si="24"/>
        <v>4.3775409687817702E-3</v>
      </c>
      <c r="K153" s="31" t="s">
        <v>257</v>
      </c>
      <c r="L153" s="31">
        <v>3.206</v>
      </c>
      <c r="M153" s="242">
        <v>2624</v>
      </c>
      <c r="N153" s="155">
        <f t="shared" ref="N153:N216" si="32">((J153*L153)/(M153*G153))*10^6</f>
        <v>26.696721445189304</v>
      </c>
      <c r="O153" s="154">
        <f t="shared" si="26"/>
        <v>54.109375383936559</v>
      </c>
      <c r="P153" s="154">
        <f t="shared" si="27"/>
        <v>41.123125291791787</v>
      </c>
      <c r="Q153" s="154">
        <f t="shared" si="28"/>
        <v>49.780625353221637</v>
      </c>
      <c r="R153" s="154">
        <f t="shared" si="29"/>
        <v>61.68468793768767</v>
      </c>
      <c r="S153" s="154">
        <f t="shared" si="30"/>
        <v>70.342187999117527</v>
      </c>
      <c r="T153" s="29" t="str">
        <f t="shared" si="31"/>
        <v>A</v>
      </c>
      <c r="U153">
        <f>((SUM($J$30:J153)*L153/(M153*SUM($G$30:G153))))*10^6</f>
        <v>38.586998919151142</v>
      </c>
      <c r="W153" s="31">
        <v>15</v>
      </c>
      <c r="X153">
        <f>W153/6/1000</f>
        <v>2.5000000000000001E-3</v>
      </c>
    </row>
    <row r="154" spans="2:24" ht="16.5" thickBot="1" x14ac:dyDescent="0.3">
      <c r="B154" s="13">
        <v>5</v>
      </c>
      <c r="C154" s="456"/>
      <c r="D154" s="456"/>
      <c r="E154" s="457"/>
      <c r="F154" s="54">
        <v>0.85277777777777797</v>
      </c>
      <c r="G154" s="15">
        <f>'Testing DK9 (3)'!N160</f>
        <v>0.2345402126222805</v>
      </c>
      <c r="H154" s="153">
        <f>'Testing DK9 (3)'!BW160</f>
        <v>2.2852572774550383E-3</v>
      </c>
      <c r="I154" s="247">
        <v>2.5000000000000001E-3</v>
      </c>
      <c r="J154" s="153">
        <f t="shared" si="24"/>
        <v>4.7852572774550383E-3</v>
      </c>
      <c r="K154" s="31" t="s">
        <v>257</v>
      </c>
      <c r="L154" s="31">
        <v>3.206</v>
      </c>
      <c r="M154" s="242">
        <v>2624</v>
      </c>
      <c r="N154" s="155">
        <f t="shared" si="32"/>
        <v>24.928013156237547</v>
      </c>
      <c r="O154" s="154">
        <f t="shared" si="26"/>
        <v>54.109375383936559</v>
      </c>
      <c r="P154" s="154">
        <f t="shared" si="27"/>
        <v>41.123125291791787</v>
      </c>
      <c r="Q154" s="154">
        <f t="shared" si="28"/>
        <v>49.780625353221637</v>
      </c>
      <c r="R154" s="154">
        <f t="shared" si="29"/>
        <v>61.68468793768767</v>
      </c>
      <c r="S154" s="154">
        <f t="shared" si="30"/>
        <v>70.342187999117527</v>
      </c>
      <c r="T154" s="29" t="str">
        <f t="shared" si="31"/>
        <v>A</v>
      </c>
      <c r="U154">
        <f>((SUM($J$30:J154)*L154/(M154*SUM($G$30:G154))))*10^6</f>
        <v>38.505702058438956</v>
      </c>
      <c r="W154" s="31">
        <v>15</v>
      </c>
      <c r="X154">
        <f t="shared" ref="X154:X171" si="33">W154/6/1000</f>
        <v>2.5000000000000001E-3</v>
      </c>
    </row>
    <row r="155" spans="2:24" ht="16.5" thickBot="1" x14ac:dyDescent="0.3">
      <c r="B155" s="13">
        <v>6</v>
      </c>
      <c r="C155" s="456"/>
      <c r="D155" s="456"/>
      <c r="E155" s="457">
        <v>0.85416666666666663</v>
      </c>
      <c r="F155" s="54">
        <v>0.85416666666666663</v>
      </c>
      <c r="G155" s="15">
        <f>'Testing DK9 (3)'!N161</f>
        <v>0.3141853559140893</v>
      </c>
      <c r="H155" s="153">
        <f>'Testing DK9 (3)'!BW161</f>
        <v>5.6540403799021713E-3</v>
      </c>
      <c r="I155" s="247">
        <v>2.5000000000000001E-3</v>
      </c>
      <c r="J155" s="153">
        <f t="shared" si="24"/>
        <v>8.1540403799021718E-3</v>
      </c>
      <c r="K155" s="31" t="s">
        <v>257</v>
      </c>
      <c r="L155" s="31">
        <v>3.206</v>
      </c>
      <c r="M155" s="242">
        <v>2624</v>
      </c>
      <c r="N155" s="155">
        <f t="shared" si="32"/>
        <v>31.709296454087308</v>
      </c>
      <c r="O155" s="154">
        <f t="shared" si="26"/>
        <v>54.109375383936559</v>
      </c>
      <c r="P155" s="154">
        <f t="shared" si="27"/>
        <v>41.123125291791787</v>
      </c>
      <c r="Q155" s="154">
        <f t="shared" si="28"/>
        <v>49.780625353221637</v>
      </c>
      <c r="R155" s="154">
        <f t="shared" si="29"/>
        <v>61.68468793768767</v>
      </c>
      <c r="S155" s="154">
        <f t="shared" si="30"/>
        <v>70.342187999117527</v>
      </c>
      <c r="T155" s="29" t="str">
        <f t="shared" si="31"/>
        <v>A</v>
      </c>
      <c r="U155">
        <f>((SUM($J$30:J155)*L155/(M155*SUM($G$30:G155))))*10^6</f>
        <v>38.451942669881113</v>
      </c>
      <c r="W155" s="31">
        <v>15</v>
      </c>
      <c r="X155">
        <f t="shared" si="33"/>
        <v>2.5000000000000001E-3</v>
      </c>
    </row>
    <row r="156" spans="2:24" ht="16.5" thickBot="1" x14ac:dyDescent="0.3">
      <c r="B156" s="13">
        <v>7</v>
      </c>
      <c r="C156" s="456"/>
      <c r="D156" s="456"/>
      <c r="E156" s="457"/>
      <c r="F156" s="54">
        <v>0.85625000000000007</v>
      </c>
      <c r="G156" s="15">
        <f>'Testing DK9 (3)'!N162</f>
        <v>0.35187169460233098</v>
      </c>
      <c r="H156" s="153">
        <f>'Testing DK9 (3)'!BW162</f>
        <v>3.4296875747621635E-3</v>
      </c>
      <c r="I156" s="247">
        <v>2.5000000000000001E-3</v>
      </c>
      <c r="J156" s="153">
        <f t="shared" si="24"/>
        <v>5.9296875747621635E-3</v>
      </c>
      <c r="K156" s="31" t="s">
        <v>257</v>
      </c>
      <c r="L156" s="31">
        <v>3.206</v>
      </c>
      <c r="M156" s="242">
        <v>2624</v>
      </c>
      <c r="N156" s="155">
        <f t="shared" si="32"/>
        <v>20.589564772198948</v>
      </c>
      <c r="O156" s="154">
        <f t="shared" si="26"/>
        <v>54.109375383936559</v>
      </c>
      <c r="P156" s="154">
        <f t="shared" si="27"/>
        <v>41.123125291791787</v>
      </c>
      <c r="Q156" s="154">
        <f t="shared" si="28"/>
        <v>49.780625353221637</v>
      </c>
      <c r="R156" s="154">
        <f t="shared" si="29"/>
        <v>61.68468793768767</v>
      </c>
      <c r="S156" s="154">
        <f t="shared" si="30"/>
        <v>70.342187999117527</v>
      </c>
      <c r="T156" s="29" t="str">
        <f t="shared" si="31"/>
        <v>A</v>
      </c>
      <c r="U156">
        <f>((SUM($J$30:J156)*L156/(M156*SUM($G$30:G156))))*10^6</f>
        <v>38.295093463951993</v>
      </c>
      <c r="W156" s="31">
        <v>15</v>
      </c>
      <c r="X156">
        <f t="shared" si="33"/>
        <v>2.5000000000000001E-3</v>
      </c>
    </row>
    <row r="157" spans="2:24" ht="16.5" thickBot="1" x14ac:dyDescent="0.3">
      <c r="B157" s="13">
        <v>8</v>
      </c>
      <c r="C157" s="456"/>
      <c r="D157" s="456"/>
      <c r="E157" s="457"/>
      <c r="F157" s="54">
        <v>0.85833333333333395</v>
      </c>
      <c r="G157" s="15">
        <f>'Testing DK9 (3)'!N163</f>
        <v>0.30012786596049057</v>
      </c>
      <c r="H157" s="153">
        <f>'Testing DK9 (3)'!BW163</f>
        <v>2.130543907728591E-3</v>
      </c>
      <c r="I157" s="247">
        <v>2.5000000000000001E-3</v>
      </c>
      <c r="J157" s="153">
        <f t="shared" si="24"/>
        <v>4.6305439077285911E-3</v>
      </c>
      <c r="K157" s="31" t="s">
        <v>257</v>
      </c>
      <c r="L157" s="31">
        <v>3.206</v>
      </c>
      <c r="M157" s="242">
        <v>2624</v>
      </c>
      <c r="N157" s="155">
        <f t="shared" si="32"/>
        <v>18.850608494323563</v>
      </c>
      <c r="O157" s="154">
        <f t="shared" si="26"/>
        <v>54.109375383936559</v>
      </c>
      <c r="P157" s="154">
        <f t="shared" si="27"/>
        <v>41.123125291791787</v>
      </c>
      <c r="Q157" s="154">
        <f t="shared" si="28"/>
        <v>49.780625353221637</v>
      </c>
      <c r="R157" s="154">
        <f t="shared" si="29"/>
        <v>61.68468793768767</v>
      </c>
      <c r="S157" s="154">
        <f t="shared" si="30"/>
        <v>70.342187999117527</v>
      </c>
      <c r="T157" s="29" t="str">
        <f t="shared" si="31"/>
        <v>A</v>
      </c>
      <c r="U157">
        <f>((SUM($J$30:J157)*L157/(M157*SUM($G$30:G157))))*10^6</f>
        <v>38.150542542694929</v>
      </c>
      <c r="W157" s="31">
        <v>15</v>
      </c>
      <c r="X157">
        <f t="shared" si="33"/>
        <v>2.5000000000000001E-3</v>
      </c>
    </row>
    <row r="158" spans="2:24" ht="16.5" thickBot="1" x14ac:dyDescent="0.3">
      <c r="B158" s="13">
        <v>9</v>
      </c>
      <c r="C158" s="456"/>
      <c r="D158" s="456"/>
      <c r="E158" s="457"/>
      <c r="F158" s="54">
        <v>0.86041666666666705</v>
      </c>
      <c r="G158" s="15">
        <f>'Testing DK9 (3)'!N164</f>
        <v>0.3451014180422371</v>
      </c>
      <c r="H158" s="153">
        <f>'Testing DK9 (3)'!BW164</f>
        <v>3.2349120523110508E-3</v>
      </c>
      <c r="I158" s="247">
        <v>2.5000000000000001E-3</v>
      </c>
      <c r="J158" s="153">
        <f t="shared" si="24"/>
        <v>5.7349120523110513E-3</v>
      </c>
      <c r="K158" s="31" t="s">
        <v>257</v>
      </c>
      <c r="L158" s="31">
        <v>3.206</v>
      </c>
      <c r="M158" s="242">
        <v>2624</v>
      </c>
      <c r="N158" s="155">
        <f t="shared" si="32"/>
        <v>20.30391121389388</v>
      </c>
      <c r="O158" s="154">
        <f t="shared" si="26"/>
        <v>54.109375383936559</v>
      </c>
      <c r="P158" s="154">
        <f t="shared" si="27"/>
        <v>41.123125291791787</v>
      </c>
      <c r="Q158" s="154">
        <f t="shared" si="28"/>
        <v>49.780625353221637</v>
      </c>
      <c r="R158" s="154">
        <f t="shared" si="29"/>
        <v>61.68468793768767</v>
      </c>
      <c r="S158" s="154">
        <f t="shared" si="30"/>
        <v>70.342187999117527</v>
      </c>
      <c r="T158" s="29" t="str">
        <f t="shared" si="31"/>
        <v>A</v>
      </c>
      <c r="U158">
        <f>((SUM($J$30:J158)*L158/(M158*SUM($G$30:G158))))*10^6</f>
        <v>37.999282395035586</v>
      </c>
      <c r="W158" s="31">
        <v>15</v>
      </c>
      <c r="X158">
        <f t="shared" si="33"/>
        <v>2.5000000000000001E-3</v>
      </c>
    </row>
    <row r="159" spans="2:24" ht="16.5" thickBot="1" x14ac:dyDescent="0.3">
      <c r="B159" s="13">
        <v>10</v>
      </c>
      <c r="C159" s="456"/>
      <c r="D159" s="456"/>
      <c r="E159" s="457"/>
      <c r="F159" s="54">
        <v>0.86250000000000004</v>
      </c>
      <c r="G159" s="15">
        <f>'Testing DK9 (3)'!N165</f>
        <v>0.43519760933793467</v>
      </c>
      <c r="H159" s="153">
        <f>'Testing DK9 (3)'!BW165</f>
        <v>6.575341031458566E-3</v>
      </c>
      <c r="I159" s="247">
        <v>2.5000000000000001E-3</v>
      </c>
      <c r="J159" s="153">
        <f t="shared" si="24"/>
        <v>9.0753410314585656E-3</v>
      </c>
      <c r="K159" s="31" t="s">
        <v>257</v>
      </c>
      <c r="L159" s="31">
        <v>3.206</v>
      </c>
      <c r="M159" s="242">
        <v>2624</v>
      </c>
      <c r="N159" s="155">
        <f t="shared" si="32"/>
        <v>25.478633997129563</v>
      </c>
      <c r="O159" s="154">
        <f t="shared" si="26"/>
        <v>54.109375383936559</v>
      </c>
      <c r="P159" s="154">
        <f t="shared" si="27"/>
        <v>41.123125291791787</v>
      </c>
      <c r="Q159" s="154">
        <f t="shared" si="28"/>
        <v>49.780625353221637</v>
      </c>
      <c r="R159" s="154">
        <f t="shared" si="29"/>
        <v>61.68468793768767</v>
      </c>
      <c r="S159" s="154">
        <f t="shared" si="30"/>
        <v>70.342187999117527</v>
      </c>
      <c r="T159" s="29" t="str">
        <f t="shared" si="31"/>
        <v>A</v>
      </c>
      <c r="U159">
        <f>((SUM($J$30:J159)*L159/(M159*SUM($G$30:G159))))*10^6</f>
        <v>37.866873362247546</v>
      </c>
      <c r="W159" s="31">
        <v>15</v>
      </c>
      <c r="X159">
        <f t="shared" si="33"/>
        <v>2.5000000000000001E-3</v>
      </c>
    </row>
    <row r="160" spans="2:24" ht="16.5" thickBot="1" x14ac:dyDescent="0.3">
      <c r="B160" s="13">
        <v>11</v>
      </c>
      <c r="C160" s="456"/>
      <c r="D160" s="456"/>
      <c r="E160" s="457">
        <v>0.86458333333333337</v>
      </c>
      <c r="F160" s="54">
        <v>0.86458333333333404</v>
      </c>
      <c r="G160" s="15">
        <f>'Testing DK9 (3)'!N166</f>
        <v>0.43933915657287675</v>
      </c>
      <c r="H160" s="153">
        <f>'Testing DK9 (3)'!BW166</f>
        <v>6.7742117278108737E-3</v>
      </c>
      <c r="I160" s="247">
        <v>2.5000000000000001E-3</v>
      </c>
      <c r="J160" s="153">
        <f t="shared" si="24"/>
        <v>9.2742117278108733E-3</v>
      </c>
      <c r="K160" s="31" t="s">
        <v>257</v>
      </c>
      <c r="L160" s="31">
        <v>3.206</v>
      </c>
      <c r="M160" s="242">
        <v>2624</v>
      </c>
      <c r="N160" s="155">
        <f t="shared" si="32"/>
        <v>25.791510748588195</v>
      </c>
      <c r="O160" s="154">
        <f t="shared" si="26"/>
        <v>54.109375383936559</v>
      </c>
      <c r="P160" s="154">
        <f t="shared" si="27"/>
        <v>41.123125291791787</v>
      </c>
      <c r="Q160" s="154">
        <f t="shared" si="28"/>
        <v>49.780625353221637</v>
      </c>
      <c r="R160" s="154">
        <f t="shared" si="29"/>
        <v>61.68468793768767</v>
      </c>
      <c r="S160" s="154">
        <f t="shared" si="30"/>
        <v>70.342187999117527</v>
      </c>
      <c r="T160" s="29" t="str">
        <f t="shared" si="31"/>
        <v>A</v>
      </c>
      <c r="U160">
        <f>((SUM($J$30:J160)*L160/(M160*SUM($G$30:G160))))*10^6</f>
        <v>37.73931983328756</v>
      </c>
      <c r="W160" s="31">
        <v>15</v>
      </c>
      <c r="X160">
        <f t="shared" si="33"/>
        <v>2.5000000000000001E-3</v>
      </c>
    </row>
    <row r="161" spans="2:24" ht="16.5" thickBot="1" x14ac:dyDescent="0.3">
      <c r="B161" s="13">
        <v>12</v>
      </c>
      <c r="C161" s="456"/>
      <c r="D161" s="456"/>
      <c r="E161" s="457"/>
      <c r="F161" s="54">
        <v>0.86666666666666703</v>
      </c>
      <c r="G161" s="15">
        <f>'Testing DK9 (3)'!N167</f>
        <v>0.29895208911135479</v>
      </c>
      <c r="H161" s="153">
        <f>'Testing DK9 (3)'!BW167</f>
        <v>2.7744537463067049E-3</v>
      </c>
      <c r="I161" s="247">
        <v>2.5000000000000001E-3</v>
      </c>
      <c r="J161" s="153">
        <f t="shared" si="24"/>
        <v>5.2744537463067049E-3</v>
      </c>
      <c r="K161" s="31" t="s">
        <v>257</v>
      </c>
      <c r="L161" s="31">
        <v>3.206</v>
      </c>
      <c r="M161" s="242">
        <v>2624</v>
      </c>
      <c r="N161" s="155">
        <f t="shared" si="32"/>
        <v>21.556367691334181</v>
      </c>
      <c r="O161" s="154">
        <f t="shared" si="26"/>
        <v>54.109375383936559</v>
      </c>
      <c r="P161" s="154">
        <f t="shared" si="27"/>
        <v>41.123125291791787</v>
      </c>
      <c r="Q161" s="154">
        <f t="shared" si="28"/>
        <v>49.780625353221637</v>
      </c>
      <c r="R161" s="154">
        <f t="shared" si="29"/>
        <v>61.68468793768767</v>
      </c>
      <c r="S161" s="154">
        <f t="shared" si="30"/>
        <v>70.342187999117527</v>
      </c>
      <c r="T161" s="29" t="str">
        <f t="shared" si="31"/>
        <v>A</v>
      </c>
      <c r="U161">
        <f>((SUM($J$30:J161)*L161/(M161*SUM($G$30:G161))))*10^6</f>
        <v>37.623830656510016</v>
      </c>
      <c r="W161" s="31">
        <v>15</v>
      </c>
      <c r="X161">
        <f t="shared" si="33"/>
        <v>2.5000000000000001E-3</v>
      </c>
    </row>
    <row r="162" spans="2:24" ht="16.5" thickBot="1" x14ac:dyDescent="0.3">
      <c r="B162" s="13">
        <v>13</v>
      </c>
      <c r="C162" s="456"/>
      <c r="D162" s="456"/>
      <c r="E162" s="457"/>
      <c r="F162" s="54">
        <v>0.86875000000000102</v>
      </c>
      <c r="G162" s="15">
        <f>'Testing DK9 (3)'!N168</f>
        <v>0.23413842949409439</v>
      </c>
      <c r="H162" s="153">
        <f>'Testing DK9 (3)'!BW168</f>
        <v>1.0215469552059479E-3</v>
      </c>
      <c r="I162" s="247">
        <v>2.5000000000000001E-3</v>
      </c>
      <c r="J162" s="153">
        <f t="shared" si="24"/>
        <v>3.5215469552059477E-3</v>
      </c>
      <c r="K162" s="31" t="s">
        <v>257</v>
      </c>
      <c r="L162" s="31">
        <v>3.206</v>
      </c>
      <c r="M162" s="242">
        <v>2624</v>
      </c>
      <c r="N162" s="155">
        <f t="shared" si="32"/>
        <v>18.376401450192922</v>
      </c>
      <c r="O162" s="154">
        <f t="shared" si="26"/>
        <v>54.109375383936559</v>
      </c>
      <c r="P162" s="154">
        <f t="shared" si="27"/>
        <v>41.123125291791787</v>
      </c>
      <c r="Q162" s="154">
        <f t="shared" si="28"/>
        <v>49.780625353221637</v>
      </c>
      <c r="R162" s="154">
        <f t="shared" si="29"/>
        <v>61.68468793768767</v>
      </c>
      <c r="S162" s="154">
        <f t="shared" si="30"/>
        <v>70.342187999117527</v>
      </c>
      <c r="T162" s="29" t="str">
        <f t="shared" si="31"/>
        <v>A</v>
      </c>
      <c r="U162">
        <f>((SUM($J$30:J162)*L162/(M162*SUM($G$30:G162))))*10^6</f>
        <v>37.516849633401705</v>
      </c>
      <c r="W162" s="31">
        <v>15</v>
      </c>
      <c r="X162">
        <f t="shared" si="33"/>
        <v>2.5000000000000001E-3</v>
      </c>
    </row>
    <row r="163" spans="2:24" ht="16.5" thickBot="1" x14ac:dyDescent="0.3">
      <c r="B163" s="13">
        <v>14</v>
      </c>
      <c r="C163" s="456"/>
      <c r="D163" s="456"/>
      <c r="E163" s="457"/>
      <c r="F163" s="54">
        <v>0.87083333333333401</v>
      </c>
      <c r="G163" s="15">
        <f>'Testing DK9 (3)'!N169</f>
        <v>0.39034438163172319</v>
      </c>
      <c r="H163" s="153">
        <f>'Testing DK9 (3)'!BW169</f>
        <v>6.0168661840323077E-3</v>
      </c>
      <c r="I163" s="247">
        <v>2.5000000000000001E-3</v>
      </c>
      <c r="J163" s="153">
        <f t="shared" si="24"/>
        <v>8.5168661840323082E-3</v>
      </c>
      <c r="K163" s="31" t="s">
        <v>257</v>
      </c>
      <c r="L163" s="31">
        <v>3.206</v>
      </c>
      <c r="M163" s="242">
        <v>2624</v>
      </c>
      <c r="N163" s="155">
        <f t="shared" si="32"/>
        <v>26.658246427755973</v>
      </c>
      <c r="O163" s="154">
        <f t="shared" si="26"/>
        <v>54.109375383936559</v>
      </c>
      <c r="P163" s="154">
        <f t="shared" si="27"/>
        <v>41.123125291791787</v>
      </c>
      <c r="Q163" s="154">
        <f t="shared" si="28"/>
        <v>49.780625353221637</v>
      </c>
      <c r="R163" s="154">
        <f t="shared" si="29"/>
        <v>61.68468793768767</v>
      </c>
      <c r="S163" s="154">
        <f t="shared" si="30"/>
        <v>70.342187999117527</v>
      </c>
      <c r="T163" s="29" t="str">
        <f t="shared" si="31"/>
        <v>A</v>
      </c>
      <c r="U163">
        <f>((SUM($J$30:J163)*L163/(M163*SUM($G$30:G163))))*10^6</f>
        <v>37.417153707160971</v>
      </c>
      <c r="W163" s="31">
        <v>15</v>
      </c>
      <c r="X163">
        <f t="shared" si="33"/>
        <v>2.5000000000000001E-3</v>
      </c>
    </row>
    <row r="164" spans="2:24" ht="16.5" thickBot="1" x14ac:dyDescent="0.3">
      <c r="B164" s="13">
        <v>15</v>
      </c>
      <c r="C164" s="456"/>
      <c r="D164" s="456"/>
      <c r="E164" s="457"/>
      <c r="F164" s="54">
        <v>0.87291666666666801</v>
      </c>
      <c r="G164" s="15">
        <f>'Testing DK9 (3)'!N170</f>
        <v>0.4144533984397214</v>
      </c>
      <c r="H164" s="153">
        <f>'Testing DK9 (3)'!BW170</f>
        <v>5.6471308258787831E-3</v>
      </c>
      <c r="I164" s="247">
        <v>2.5000000000000001E-3</v>
      </c>
      <c r="J164" s="153">
        <f t="shared" si="24"/>
        <v>8.1471308258787827E-3</v>
      </c>
      <c r="K164" s="31" t="s">
        <v>257</v>
      </c>
      <c r="L164" s="31">
        <v>3.206</v>
      </c>
      <c r="M164" s="242">
        <v>2624</v>
      </c>
      <c r="N164" s="155">
        <f t="shared" si="32"/>
        <v>24.017548281682249</v>
      </c>
      <c r="O164" s="154">
        <f t="shared" si="26"/>
        <v>54.109375383936559</v>
      </c>
      <c r="P164" s="154">
        <f t="shared" si="27"/>
        <v>41.123125291791787</v>
      </c>
      <c r="Q164" s="154">
        <f t="shared" si="28"/>
        <v>49.780625353221637</v>
      </c>
      <c r="R164" s="154">
        <f t="shared" si="29"/>
        <v>61.68468793768767</v>
      </c>
      <c r="S164" s="154">
        <f t="shared" si="30"/>
        <v>70.342187999117527</v>
      </c>
      <c r="T164" s="29" t="str">
        <f t="shared" si="31"/>
        <v>A</v>
      </c>
      <c r="U164">
        <f>((SUM($J$30:J164)*L164/(M164*SUM($G$30:G164))))*10^6</f>
        <v>37.287790707246025</v>
      </c>
      <c r="W164" s="31">
        <v>15</v>
      </c>
      <c r="X164">
        <f t="shared" si="33"/>
        <v>2.5000000000000001E-3</v>
      </c>
    </row>
    <row r="165" spans="2:24" ht="16.5" thickBot="1" x14ac:dyDescent="0.3">
      <c r="B165" s="13">
        <v>16</v>
      </c>
      <c r="C165" s="456"/>
      <c r="D165" s="456"/>
      <c r="E165" s="457">
        <v>0.875</v>
      </c>
      <c r="F165" s="54">
        <v>0.875000000000001</v>
      </c>
      <c r="G165" s="15">
        <f>'Testing DK9 (3)'!N171</f>
        <v>0.41073853555039747</v>
      </c>
      <c r="H165" s="153">
        <f>'Testing DK9 (3)'!BW171</f>
        <v>5.4921650073180952E-3</v>
      </c>
      <c r="I165" s="247">
        <v>2.5000000000000001E-3</v>
      </c>
      <c r="J165" s="153">
        <f t="shared" si="24"/>
        <v>7.9921650073180948E-3</v>
      </c>
      <c r="K165" s="31" t="s">
        <v>257</v>
      </c>
      <c r="L165" s="31">
        <v>3.206</v>
      </c>
      <c r="M165" s="242">
        <v>2624</v>
      </c>
      <c r="N165" s="155">
        <f t="shared" si="32"/>
        <v>23.77380404863526</v>
      </c>
      <c r="O165" s="154">
        <f t="shared" si="26"/>
        <v>54.109375383936559</v>
      </c>
      <c r="P165" s="154">
        <f t="shared" si="27"/>
        <v>41.123125291791787</v>
      </c>
      <c r="Q165" s="154">
        <f t="shared" si="28"/>
        <v>49.780625353221637</v>
      </c>
      <c r="R165" s="154">
        <f t="shared" si="29"/>
        <v>61.68468793768767</v>
      </c>
      <c r="S165" s="154">
        <f t="shared" si="30"/>
        <v>70.342187999117527</v>
      </c>
      <c r="T165" s="29" t="str">
        <f t="shared" si="31"/>
        <v>A</v>
      </c>
      <c r="U165">
        <f>((SUM($J$30:J165)*L165/(M165*SUM($G$30:G165))))*10^6</f>
        <v>37.159718218350562</v>
      </c>
      <c r="W165" s="31">
        <v>15</v>
      </c>
      <c r="X165">
        <f t="shared" si="33"/>
        <v>2.5000000000000001E-3</v>
      </c>
    </row>
    <row r="166" spans="2:24" ht="16.5" thickBot="1" x14ac:dyDescent="0.3">
      <c r="B166" s="13">
        <v>17</v>
      </c>
      <c r="C166" s="456"/>
      <c r="D166" s="456"/>
      <c r="E166" s="457"/>
      <c r="F166" s="54">
        <v>0.87708333333333399</v>
      </c>
      <c r="G166" s="15">
        <f>'Testing DK9 (3)'!N172</f>
        <v>0.36201402655205994</v>
      </c>
      <c r="H166" s="153">
        <f>'Testing DK9 (3)'!BW172</f>
        <v>3.7366608289306704E-3</v>
      </c>
      <c r="I166" s="247">
        <v>2.5000000000000001E-3</v>
      </c>
      <c r="J166" s="153">
        <f t="shared" si="24"/>
        <v>6.2366608289306704E-3</v>
      </c>
      <c r="K166" s="31" t="s">
        <v>257</v>
      </c>
      <c r="L166" s="31">
        <v>3.206</v>
      </c>
      <c r="M166" s="242">
        <v>2624</v>
      </c>
      <c r="N166" s="155">
        <f t="shared" si="32"/>
        <v>21.048755120563701</v>
      </c>
      <c r="O166" s="154">
        <f t="shared" si="26"/>
        <v>54.109375383936559</v>
      </c>
      <c r="P166" s="154">
        <f t="shared" si="27"/>
        <v>41.123125291791787</v>
      </c>
      <c r="Q166" s="154">
        <f t="shared" si="28"/>
        <v>49.780625353221637</v>
      </c>
      <c r="R166" s="154">
        <f t="shared" si="29"/>
        <v>61.68468793768767</v>
      </c>
      <c r="S166" s="154">
        <f t="shared" si="30"/>
        <v>70.342187999117527</v>
      </c>
      <c r="T166" s="29" t="str">
        <f t="shared" si="31"/>
        <v>A</v>
      </c>
      <c r="U166">
        <f>((SUM($J$30:J166)*L166/(M166*SUM($G$30:G166))))*10^6</f>
        <v>37.026261235057035</v>
      </c>
      <c r="W166" s="31">
        <v>15</v>
      </c>
      <c r="X166">
        <f t="shared" si="33"/>
        <v>2.5000000000000001E-3</v>
      </c>
    </row>
    <row r="167" spans="2:24" ht="16.5" thickBot="1" x14ac:dyDescent="0.3">
      <c r="B167" s="13">
        <v>18</v>
      </c>
      <c r="C167" s="456"/>
      <c r="D167" s="456"/>
      <c r="E167" s="457"/>
      <c r="F167" s="54">
        <v>0.87916666666666798</v>
      </c>
      <c r="G167" s="15">
        <f>'Testing DK9 (3)'!N173</f>
        <v>0.36921309281062881</v>
      </c>
      <c r="H167" s="153">
        <f>'Testing DK9 (3)'!BW173</f>
        <v>3.965994192520232E-3</v>
      </c>
      <c r="I167" s="247">
        <v>2.5000000000000001E-3</v>
      </c>
      <c r="J167" s="153">
        <f t="shared" si="24"/>
        <v>6.4659941925202316E-3</v>
      </c>
      <c r="K167" s="31" t="s">
        <v>257</v>
      </c>
      <c r="L167" s="31">
        <v>3.206</v>
      </c>
      <c r="M167" s="242">
        <v>2624</v>
      </c>
      <c r="N167" s="155">
        <f t="shared" si="32"/>
        <v>21.397247207358568</v>
      </c>
      <c r="O167" s="154">
        <f t="shared" si="26"/>
        <v>54.109375383936559</v>
      </c>
      <c r="P167" s="154">
        <f t="shared" si="27"/>
        <v>41.123125291791787</v>
      </c>
      <c r="Q167" s="154">
        <f t="shared" si="28"/>
        <v>49.780625353221637</v>
      </c>
      <c r="R167" s="154">
        <f t="shared" si="29"/>
        <v>61.68468793768767</v>
      </c>
      <c r="S167" s="154">
        <f t="shared" si="30"/>
        <v>70.342187999117527</v>
      </c>
      <c r="T167" s="29" t="str">
        <f t="shared" si="31"/>
        <v>A</v>
      </c>
      <c r="U167">
        <f>((SUM($J$30:J167)*L167/(M167*SUM($G$30:G167))))*10^6</f>
        <v>36.895328144016837</v>
      </c>
      <c r="W167" s="31">
        <v>15</v>
      </c>
      <c r="X167">
        <f t="shared" si="33"/>
        <v>2.5000000000000001E-3</v>
      </c>
    </row>
    <row r="168" spans="2:24" ht="16.5" thickBot="1" x14ac:dyDescent="0.3">
      <c r="B168" s="13">
        <v>19</v>
      </c>
      <c r="C168" s="456"/>
      <c r="D168" s="456"/>
      <c r="E168" s="457"/>
      <c r="F168" s="54">
        <v>0.88125000000000098</v>
      </c>
      <c r="G168" s="15">
        <f>'Testing DK9 (3)'!N174</f>
        <v>0.30459002268386098</v>
      </c>
      <c r="H168" s="153">
        <f>'Testing DK9 (3)'!BW174</f>
        <v>2.2262976947210345E-3</v>
      </c>
      <c r="I168" s="247">
        <v>2.5000000000000001E-3</v>
      </c>
      <c r="J168" s="153">
        <f t="shared" si="24"/>
        <v>4.726297694721035E-3</v>
      </c>
      <c r="K168" s="31" t="s">
        <v>257</v>
      </c>
      <c r="L168" s="31">
        <v>3.206</v>
      </c>
      <c r="M168" s="242">
        <v>2624</v>
      </c>
      <c r="N168" s="155">
        <f t="shared" si="32"/>
        <v>18.958548637773411</v>
      </c>
      <c r="O168" s="154">
        <f t="shared" si="26"/>
        <v>54.109375383936559</v>
      </c>
      <c r="P168" s="154">
        <f t="shared" si="27"/>
        <v>41.123125291791787</v>
      </c>
      <c r="Q168" s="154">
        <f t="shared" si="28"/>
        <v>49.780625353221637</v>
      </c>
      <c r="R168" s="154">
        <f t="shared" si="29"/>
        <v>61.68468793768767</v>
      </c>
      <c r="S168" s="154">
        <f t="shared" si="30"/>
        <v>70.342187999117527</v>
      </c>
      <c r="T168" s="29" t="str">
        <f t="shared" si="31"/>
        <v>A</v>
      </c>
      <c r="U168">
        <f>((SUM($J$30:J168)*L168/(M168*SUM($G$30:G168))))*10^6</f>
        <v>36.772213504655753</v>
      </c>
      <c r="W168" s="31">
        <v>15</v>
      </c>
      <c r="X168">
        <f t="shared" si="33"/>
        <v>2.5000000000000001E-3</v>
      </c>
    </row>
    <row r="169" spans="2:24" ht="16.5" thickBot="1" x14ac:dyDescent="0.3">
      <c r="B169" s="13">
        <v>20</v>
      </c>
      <c r="C169" s="456"/>
      <c r="D169" s="456"/>
      <c r="E169" s="457"/>
      <c r="F169" s="54">
        <v>0.88333333333333497</v>
      </c>
      <c r="G169" s="15">
        <f>'Testing DK9 (3)'!N175</f>
        <v>0.29429542100647593</v>
      </c>
      <c r="H169" s="153">
        <f>'Testing DK9 (3)'!BW175</f>
        <v>2.0096752746836164E-3</v>
      </c>
      <c r="I169" s="247">
        <v>2.5000000000000001E-3</v>
      </c>
      <c r="J169" s="153">
        <f t="shared" si="24"/>
        <v>4.5096752746836164E-3</v>
      </c>
      <c r="K169" s="31" t="s">
        <v>257</v>
      </c>
      <c r="L169" s="31">
        <v>3.206</v>
      </c>
      <c r="M169" s="242">
        <v>2624</v>
      </c>
      <c r="N169" s="155">
        <f t="shared" si="32"/>
        <v>18.7223971482832</v>
      </c>
      <c r="O169" s="154">
        <f t="shared" si="26"/>
        <v>54.109375383936559</v>
      </c>
      <c r="P169" s="154">
        <f t="shared" si="27"/>
        <v>41.123125291791787</v>
      </c>
      <c r="Q169" s="154">
        <f t="shared" si="28"/>
        <v>49.780625353221637</v>
      </c>
      <c r="R169" s="154">
        <f t="shared" si="29"/>
        <v>61.68468793768767</v>
      </c>
      <c r="S169" s="154">
        <f t="shared" si="30"/>
        <v>70.342187999117527</v>
      </c>
      <c r="T169" s="29" t="str">
        <f t="shared" si="31"/>
        <v>A</v>
      </c>
      <c r="U169">
        <f>((SUM($J$30:J169)*L169/(M169*SUM($G$30:G169))))*10^6</f>
        <v>36.653298901626719</v>
      </c>
      <c r="W169" s="31">
        <v>15</v>
      </c>
      <c r="X169">
        <f t="shared" si="33"/>
        <v>2.5000000000000001E-3</v>
      </c>
    </row>
    <row r="170" spans="2:24" ht="16.5" thickBot="1" x14ac:dyDescent="0.3">
      <c r="B170" s="13">
        <v>21</v>
      </c>
      <c r="C170" s="456"/>
      <c r="D170" s="456"/>
      <c r="E170" s="457">
        <v>0.88541666666666696</v>
      </c>
      <c r="F170" s="54">
        <v>0.88541666666666796</v>
      </c>
      <c r="G170" s="15">
        <f>'Testing DK9 (3)'!N176</f>
        <v>0.42642712197703864</v>
      </c>
      <c r="H170" s="153">
        <f>'Testing DK9 (3)'!BW176</f>
        <v>6.1694699676473931E-3</v>
      </c>
      <c r="I170" s="247">
        <v>2.5000000000000001E-3</v>
      </c>
      <c r="J170" s="153">
        <f t="shared" si="24"/>
        <v>8.6694699676473936E-3</v>
      </c>
      <c r="K170" s="31" t="s">
        <v>257</v>
      </c>
      <c r="L170" s="31">
        <v>3.206</v>
      </c>
      <c r="M170" s="242">
        <v>2624</v>
      </c>
      <c r="N170" s="155">
        <f t="shared" si="32"/>
        <v>24.839761094083478</v>
      </c>
      <c r="O170" s="154">
        <f t="shared" si="26"/>
        <v>54.109375383936559</v>
      </c>
      <c r="P170" s="154">
        <f t="shared" si="27"/>
        <v>41.123125291791787</v>
      </c>
      <c r="Q170" s="154">
        <f t="shared" si="28"/>
        <v>49.780625353221637</v>
      </c>
      <c r="R170" s="154">
        <f t="shared" si="29"/>
        <v>61.68468793768767</v>
      </c>
      <c r="S170" s="154">
        <f t="shared" si="30"/>
        <v>70.342187999117527</v>
      </c>
      <c r="T170" s="29" t="str">
        <f t="shared" si="31"/>
        <v>A</v>
      </c>
      <c r="U170">
        <f>((SUM($J$30:J170)*L170/(M170*SUM($G$30:G170))))*10^6</f>
        <v>36.541592629515158</v>
      </c>
      <c r="W170" s="31">
        <v>30</v>
      </c>
      <c r="X170">
        <f t="shared" si="33"/>
        <v>5.0000000000000001E-3</v>
      </c>
    </row>
    <row r="171" spans="2:24" ht="16.5" thickBot="1" x14ac:dyDescent="0.3">
      <c r="B171" s="13">
        <v>22</v>
      </c>
      <c r="C171" s="456"/>
      <c r="D171" s="456"/>
      <c r="E171" s="457"/>
      <c r="F171" s="54">
        <v>0.88750000000000195</v>
      </c>
      <c r="G171" s="15">
        <f>'Testing DK9 (3)'!N177</f>
        <v>0.37043623370730955</v>
      </c>
      <c r="H171" s="153">
        <f>'Testing DK9 (3)'!BW177</f>
        <v>5.1584938993618273E-3</v>
      </c>
      <c r="I171" s="247">
        <v>2.5000000000000001E-3</v>
      </c>
      <c r="J171" s="153">
        <f t="shared" si="24"/>
        <v>7.6584938993618269E-3</v>
      </c>
      <c r="K171" s="31" t="s">
        <v>257</v>
      </c>
      <c r="L171" s="31">
        <v>3.206</v>
      </c>
      <c r="M171" s="242">
        <v>2624</v>
      </c>
      <c r="N171" s="155">
        <f t="shared" si="32"/>
        <v>25.259781995318718</v>
      </c>
      <c r="O171" s="154">
        <f t="shared" si="26"/>
        <v>54.109375383936559</v>
      </c>
      <c r="P171" s="154">
        <f t="shared" si="27"/>
        <v>41.123125291791787</v>
      </c>
      <c r="Q171" s="154">
        <f t="shared" si="28"/>
        <v>49.780625353221637</v>
      </c>
      <c r="R171" s="154">
        <f t="shared" si="29"/>
        <v>61.68468793768767</v>
      </c>
      <c r="S171" s="154">
        <f t="shared" si="30"/>
        <v>70.342187999117527</v>
      </c>
      <c r="T171" s="29" t="str">
        <f t="shared" si="31"/>
        <v>A</v>
      </c>
      <c r="U171">
        <f>((SUM($J$30:J171)*L171/(M171*SUM($G$30:G171))))*10^6</f>
        <v>36.449676397641312</v>
      </c>
      <c r="W171" s="31">
        <v>30</v>
      </c>
      <c r="X171">
        <f t="shared" si="33"/>
        <v>5.0000000000000001E-3</v>
      </c>
    </row>
    <row r="172" spans="2:24" ht="16.5" thickBot="1" x14ac:dyDescent="0.3">
      <c r="B172" s="13">
        <v>23</v>
      </c>
      <c r="C172" s="456"/>
      <c r="D172" s="456"/>
      <c r="E172" s="457"/>
      <c r="F172" s="54">
        <v>0.88958333333333495</v>
      </c>
      <c r="G172" s="15">
        <f>'Testing DK9 (3)'!N178</f>
        <v>0.37151837411562821</v>
      </c>
      <c r="H172" s="153">
        <f>'Testing DK9 (3)'!BW178</f>
        <v>4.0414982738157185E-3</v>
      </c>
      <c r="I172" s="247">
        <v>2.5000000000000001E-3</v>
      </c>
      <c r="J172" s="153">
        <f t="shared" si="24"/>
        <v>6.5414982738157181E-3</v>
      </c>
      <c r="K172" s="31" t="s">
        <v>257</v>
      </c>
      <c r="L172" s="31">
        <v>3.206</v>
      </c>
      <c r="M172" s="242">
        <v>2624</v>
      </c>
      <c r="N172" s="155">
        <f t="shared" si="32"/>
        <v>21.512784212991956</v>
      </c>
      <c r="O172" s="154">
        <f t="shared" si="26"/>
        <v>54.109375383936559</v>
      </c>
      <c r="P172" s="154">
        <f t="shared" si="27"/>
        <v>41.123125291791787</v>
      </c>
      <c r="Q172" s="154">
        <f t="shared" si="28"/>
        <v>49.780625353221637</v>
      </c>
      <c r="R172" s="154">
        <f t="shared" si="29"/>
        <v>61.68468793768767</v>
      </c>
      <c r="S172" s="154">
        <f t="shared" si="30"/>
        <v>70.342187999117527</v>
      </c>
      <c r="T172" s="29" t="str">
        <f t="shared" si="31"/>
        <v>A</v>
      </c>
      <c r="U172">
        <f>((SUM($J$30:J172)*L172/(M172*SUM($G$30:G172))))*10^6</f>
        <v>36.328614842547175</v>
      </c>
    </row>
    <row r="173" spans="2:24" ht="16.5" thickBot="1" x14ac:dyDescent="0.3">
      <c r="B173" s="13">
        <v>24</v>
      </c>
      <c r="C173" s="456"/>
      <c r="D173" s="456"/>
      <c r="E173" s="457"/>
      <c r="F173" s="54">
        <v>0.89166666666666805</v>
      </c>
      <c r="G173" s="15">
        <f>'Testing DK9 (3)'!N179</f>
        <v>0.2842884508539591</v>
      </c>
      <c r="H173" s="153">
        <f>'Testing DK9 (3)'!BW179</f>
        <v>1.8133234106101415E-3</v>
      </c>
      <c r="I173" s="247">
        <v>2.5000000000000001E-3</v>
      </c>
      <c r="J173" s="153">
        <f t="shared" si="24"/>
        <v>4.3133234106101414E-3</v>
      </c>
      <c r="K173" s="31" t="s">
        <v>257</v>
      </c>
      <c r="L173" s="31">
        <v>3.206</v>
      </c>
      <c r="M173" s="242">
        <v>2624</v>
      </c>
      <c r="N173" s="155">
        <f t="shared" si="32"/>
        <v>18.537556721360485</v>
      </c>
      <c r="O173" s="154">
        <f t="shared" si="26"/>
        <v>54.109375383936559</v>
      </c>
      <c r="P173" s="154">
        <f t="shared" si="27"/>
        <v>41.123125291791787</v>
      </c>
      <c r="Q173" s="154">
        <f t="shared" si="28"/>
        <v>49.780625353221637</v>
      </c>
      <c r="R173" s="154">
        <f t="shared" si="29"/>
        <v>61.68468793768767</v>
      </c>
      <c r="S173" s="154">
        <f t="shared" si="30"/>
        <v>70.342187999117527</v>
      </c>
      <c r="T173" s="29" t="str">
        <f t="shared" si="31"/>
        <v>A</v>
      </c>
      <c r="U173">
        <f>((SUM($J$30:J173)*L173/(M173*SUM($G$30:G173))))*10^6</f>
        <v>36.21895652812217</v>
      </c>
    </row>
    <row r="174" spans="2:24" ht="16.5" thickBot="1" x14ac:dyDescent="0.3">
      <c r="B174" s="13">
        <v>25</v>
      </c>
      <c r="C174" s="456"/>
      <c r="D174" s="456"/>
      <c r="E174" s="457"/>
      <c r="F174" s="54">
        <v>0.89375000000000204</v>
      </c>
      <c r="G174" s="15">
        <f>'Testing DK9 (3)'!N180</f>
        <v>0.38286658532975526</v>
      </c>
      <c r="H174" s="153">
        <f>'Testing DK9 (3)'!BW180</f>
        <v>4.4282727944668183E-3</v>
      </c>
      <c r="I174" s="247">
        <v>2.5000000000000001E-3</v>
      </c>
      <c r="J174" s="153">
        <f t="shared" si="24"/>
        <v>6.9282727944668179E-3</v>
      </c>
      <c r="K174" s="31" t="s">
        <v>257</v>
      </c>
      <c r="L174" s="31">
        <v>3.206</v>
      </c>
      <c r="M174" s="242">
        <v>2624</v>
      </c>
      <c r="N174" s="155">
        <f t="shared" si="32"/>
        <v>22.109412457281167</v>
      </c>
      <c r="O174" s="154">
        <f t="shared" si="26"/>
        <v>54.109375383936559</v>
      </c>
      <c r="P174" s="154">
        <f t="shared" si="27"/>
        <v>41.123125291791787</v>
      </c>
      <c r="Q174" s="154">
        <f t="shared" si="28"/>
        <v>49.780625353221637</v>
      </c>
      <c r="R174" s="154">
        <f t="shared" si="29"/>
        <v>61.68468793768767</v>
      </c>
      <c r="S174" s="154">
        <f t="shared" si="30"/>
        <v>70.342187999117527</v>
      </c>
      <c r="T174" s="29" t="str">
        <f t="shared" si="31"/>
        <v>A</v>
      </c>
      <c r="U174">
        <f>((SUM($J$30:J174)*L174/(M174*SUM($G$30:G174))))*10^6</f>
        <v>36.102798070267305</v>
      </c>
    </row>
    <row r="175" spans="2:24" ht="16.5" thickBot="1" x14ac:dyDescent="0.3">
      <c r="B175" s="13">
        <v>26</v>
      </c>
      <c r="C175" s="456"/>
      <c r="D175" s="456"/>
      <c r="E175" s="457">
        <v>0.89583333333333404</v>
      </c>
      <c r="F175" s="54">
        <v>0.89583333333333504</v>
      </c>
      <c r="G175" s="15">
        <f>'Testing DK9 (3)'!N181</f>
        <v>0.34130049686760139</v>
      </c>
      <c r="H175" s="153">
        <f>'Testing DK9 (3)'!BW181</f>
        <v>4.0649465784340089E-3</v>
      </c>
      <c r="I175" s="247">
        <v>2.5000000000000001E-3</v>
      </c>
      <c r="J175" s="153">
        <f t="shared" si="24"/>
        <v>6.5649465784340093E-3</v>
      </c>
      <c r="K175" s="31" t="s">
        <v>257</v>
      </c>
      <c r="L175" s="31">
        <v>3.206</v>
      </c>
      <c r="M175" s="242">
        <v>2624</v>
      </c>
      <c r="N175" s="155">
        <f t="shared" si="32"/>
        <v>23.501412383263574</v>
      </c>
      <c r="O175" s="154">
        <f t="shared" si="26"/>
        <v>54.109375383936559</v>
      </c>
      <c r="P175" s="154">
        <f t="shared" si="27"/>
        <v>41.123125291791787</v>
      </c>
      <c r="Q175" s="154">
        <f t="shared" si="28"/>
        <v>49.780625353221637</v>
      </c>
      <c r="R175" s="154">
        <f t="shared" si="29"/>
        <v>61.68468793768767</v>
      </c>
      <c r="S175" s="154">
        <f t="shared" si="30"/>
        <v>70.342187999117527</v>
      </c>
      <c r="T175" s="29" t="str">
        <f t="shared" si="31"/>
        <v>A</v>
      </c>
      <c r="U175">
        <f>((SUM($J$30:J175)*L175/(M175*SUM($G$30:G175))))*10^6</f>
        <v>36.010992287421978</v>
      </c>
    </row>
    <row r="176" spans="2:24" ht="16.5" thickBot="1" x14ac:dyDescent="0.3">
      <c r="B176" s="13">
        <v>27</v>
      </c>
      <c r="C176" s="456"/>
      <c r="D176" s="456"/>
      <c r="E176" s="457"/>
      <c r="F176" s="54">
        <v>0.89791666666666903</v>
      </c>
      <c r="G176" s="15">
        <f>'Testing DK9 (3)'!N182</f>
        <v>0.42187983464018469</v>
      </c>
      <c r="H176" s="153">
        <f>'Testing DK9 (3)'!BW182</f>
        <v>7.5928580855196314E-3</v>
      </c>
      <c r="I176" s="247">
        <v>2.5000000000000001E-3</v>
      </c>
      <c r="J176" s="153">
        <f t="shared" si="24"/>
        <v>1.0092858085519631E-2</v>
      </c>
      <c r="K176" s="31" t="s">
        <v>257</v>
      </c>
      <c r="L176" s="31">
        <v>3.206</v>
      </c>
      <c r="M176" s="242">
        <v>2624</v>
      </c>
      <c r="N176" s="155">
        <f t="shared" si="32"/>
        <v>29.229749061226588</v>
      </c>
      <c r="O176" s="154">
        <f t="shared" si="26"/>
        <v>54.109375383936559</v>
      </c>
      <c r="P176" s="154">
        <f t="shared" si="27"/>
        <v>41.123125291791787</v>
      </c>
      <c r="Q176" s="154">
        <f t="shared" si="28"/>
        <v>49.780625353221637</v>
      </c>
      <c r="R176" s="154">
        <f t="shared" si="29"/>
        <v>61.68468793768767</v>
      </c>
      <c r="S176" s="154">
        <f t="shared" si="30"/>
        <v>70.342187999117527</v>
      </c>
      <c r="T176" s="29" t="str">
        <f t="shared" si="31"/>
        <v>A</v>
      </c>
      <c r="U176">
        <f>((SUM($J$30:J176)*L176/(M176*SUM($G$30:G176))))*10^6</f>
        <v>35.950469432371115</v>
      </c>
    </row>
    <row r="177" spans="2:21" ht="16.5" thickBot="1" x14ac:dyDescent="0.3">
      <c r="B177" s="13">
        <v>28</v>
      </c>
      <c r="C177" s="456"/>
      <c r="D177" s="456"/>
      <c r="E177" s="457"/>
      <c r="F177" s="54">
        <v>0.90000000000000202</v>
      </c>
      <c r="G177" s="15">
        <f>'Testing DK9 (3)'!N183</f>
        <v>0.47885736205363205</v>
      </c>
      <c r="H177" s="153">
        <f>'Testing DK9 (3)'!BW183</f>
        <v>8.936556493585995E-3</v>
      </c>
      <c r="I177" s="247">
        <v>2.5000000000000001E-3</v>
      </c>
      <c r="J177" s="153">
        <f t="shared" si="24"/>
        <v>1.1436556493585995E-2</v>
      </c>
      <c r="K177" s="31" t="s">
        <v>257</v>
      </c>
      <c r="L177" s="31">
        <v>3.206</v>
      </c>
      <c r="M177" s="242">
        <v>2624</v>
      </c>
      <c r="N177" s="155">
        <f t="shared" si="32"/>
        <v>29.180235878420643</v>
      </c>
      <c r="O177" s="154">
        <f t="shared" si="26"/>
        <v>54.109375383936559</v>
      </c>
      <c r="P177" s="154">
        <f t="shared" si="27"/>
        <v>41.123125291791787</v>
      </c>
      <c r="Q177" s="154">
        <f t="shared" si="28"/>
        <v>49.780625353221637</v>
      </c>
      <c r="R177" s="154">
        <f t="shared" si="29"/>
        <v>61.68468793768767</v>
      </c>
      <c r="S177" s="154">
        <f t="shared" si="30"/>
        <v>70.342187999117527</v>
      </c>
      <c r="T177" s="29" t="str">
        <f t="shared" si="31"/>
        <v>A</v>
      </c>
      <c r="U177">
        <f>((SUM($J$30:J177)*L177/(M177*SUM($G$30:G177))))*10^6</f>
        <v>35.882571947460896</v>
      </c>
    </row>
    <row r="178" spans="2:21" ht="16.5" thickBot="1" x14ac:dyDescent="0.3">
      <c r="B178" s="13">
        <v>29</v>
      </c>
      <c r="C178" s="456"/>
      <c r="D178" s="456"/>
      <c r="E178" s="457"/>
      <c r="F178" s="54">
        <v>0.90208333333333601</v>
      </c>
      <c r="G178" s="15">
        <f>'Testing DK9 (3)'!N184</f>
        <v>0.54947600375236283</v>
      </c>
      <c r="H178" s="153">
        <f>'Testing DK9 (3)'!BW184</f>
        <v>1.4491704536299402E-2</v>
      </c>
      <c r="I178" s="247">
        <v>2.5000000000000001E-3</v>
      </c>
      <c r="J178" s="153">
        <f t="shared" si="24"/>
        <v>1.6991704536299401E-2</v>
      </c>
      <c r="K178" s="31" t="s">
        <v>257</v>
      </c>
      <c r="L178" s="31">
        <v>3.206</v>
      </c>
      <c r="M178" s="242">
        <v>2624</v>
      </c>
      <c r="N178" s="155">
        <f t="shared" si="32"/>
        <v>37.782257530969453</v>
      </c>
      <c r="O178" s="154">
        <f t="shared" si="26"/>
        <v>54.109375383936559</v>
      </c>
      <c r="P178" s="154">
        <f t="shared" si="27"/>
        <v>41.123125291791787</v>
      </c>
      <c r="Q178" s="154">
        <f t="shared" si="28"/>
        <v>49.780625353221637</v>
      </c>
      <c r="R178" s="154">
        <f t="shared" si="29"/>
        <v>61.68468793768767</v>
      </c>
      <c r="S178" s="154">
        <f t="shared" si="30"/>
        <v>70.342187999117527</v>
      </c>
      <c r="T178" s="29" t="str">
        <f t="shared" si="31"/>
        <v>A</v>
      </c>
      <c r="U178">
        <f>((SUM($J$30:J178)*L178/(M178*SUM($G$30:G178))))*10^6</f>
        <v>35.904184451436684</v>
      </c>
    </row>
    <row r="179" spans="2:21" ht="16.5" thickBot="1" x14ac:dyDescent="0.3">
      <c r="B179" s="13">
        <v>30</v>
      </c>
      <c r="C179" s="456"/>
      <c r="D179" s="456"/>
      <c r="E179" s="457"/>
      <c r="F179" s="54">
        <v>0.90416666666666901</v>
      </c>
      <c r="G179" s="15">
        <f>'Testing DK9 (3)'!N185</f>
        <v>0.26855926293967886</v>
      </c>
      <c r="H179" s="153">
        <f>'Testing DK9 (3)'!BW185</f>
        <v>1.5317017250265764E-3</v>
      </c>
      <c r="I179" s="247">
        <v>2.5000000000000001E-3</v>
      </c>
      <c r="J179" s="153">
        <f t="shared" si="24"/>
        <v>4.0317017250265765E-3</v>
      </c>
      <c r="K179" s="31" t="s">
        <v>257</v>
      </c>
      <c r="L179" s="31">
        <v>3.206</v>
      </c>
      <c r="M179" s="242">
        <v>2624</v>
      </c>
      <c r="N179" s="155">
        <f t="shared" si="32"/>
        <v>18.342053061243558</v>
      </c>
      <c r="O179" s="154">
        <f t="shared" si="26"/>
        <v>54.109375383936559</v>
      </c>
      <c r="P179" s="154">
        <f t="shared" si="27"/>
        <v>41.123125291791787</v>
      </c>
      <c r="Q179" s="154">
        <f t="shared" si="28"/>
        <v>49.780625353221637</v>
      </c>
      <c r="R179" s="154">
        <f t="shared" si="29"/>
        <v>61.68468793768767</v>
      </c>
      <c r="S179" s="154">
        <f t="shared" si="30"/>
        <v>70.342187999117527</v>
      </c>
      <c r="T179" s="29" t="str">
        <f t="shared" si="31"/>
        <v>A</v>
      </c>
      <c r="U179">
        <f>((SUM($J$30:J179)*L179/(M179*SUM($G$30:G179))))*10^6</f>
        <v>35.807070019041753</v>
      </c>
    </row>
    <row r="180" spans="2:21" ht="16.5" thickBot="1" x14ac:dyDescent="0.3">
      <c r="B180" s="13">
        <v>31</v>
      </c>
      <c r="C180" s="456"/>
      <c r="D180" s="456"/>
      <c r="E180" s="457">
        <v>0.90625</v>
      </c>
      <c r="F180" s="54">
        <v>0.906250000000003</v>
      </c>
      <c r="G180" s="15">
        <f>'Testing DK9 (3)'!N186</f>
        <v>0.73836030886560999</v>
      </c>
      <c r="H180" s="153">
        <f>'Testing DK9 (3)'!BW186</f>
        <v>6.6003566183849463E-2</v>
      </c>
      <c r="I180" s="247">
        <v>2.5000000000000001E-3</v>
      </c>
      <c r="J180" s="153">
        <f t="shared" si="24"/>
        <v>6.8503566183849465E-2</v>
      </c>
      <c r="K180" s="31" t="s">
        <v>257</v>
      </c>
      <c r="L180" s="31">
        <v>3.206</v>
      </c>
      <c r="M180" s="242">
        <v>2624</v>
      </c>
      <c r="N180" s="155">
        <f t="shared" si="32"/>
        <v>113.35600331914213</v>
      </c>
      <c r="O180" s="154">
        <f t="shared" si="26"/>
        <v>54.109375383936559</v>
      </c>
      <c r="P180" s="154">
        <f t="shared" si="27"/>
        <v>41.123125291791787</v>
      </c>
      <c r="Q180" s="154">
        <f t="shared" si="28"/>
        <v>49.780625353221637</v>
      </c>
      <c r="R180" s="154">
        <f t="shared" si="29"/>
        <v>61.68468793768767</v>
      </c>
      <c r="S180" s="154">
        <f t="shared" si="30"/>
        <v>70.342187999117527</v>
      </c>
      <c r="T180" s="29" t="str">
        <f t="shared" si="31"/>
        <v>E</v>
      </c>
      <c r="U180">
        <f>((SUM($J$30:J180)*L180/(M180*SUM($G$30:G180))))*10^6</f>
        <v>36.968405286157505</v>
      </c>
    </row>
    <row r="181" spans="2:21" ht="16.5" thickBot="1" x14ac:dyDescent="0.3">
      <c r="B181" s="13">
        <v>32</v>
      </c>
      <c r="C181" s="456"/>
      <c r="D181" s="456"/>
      <c r="E181" s="457"/>
      <c r="F181" s="54">
        <v>0.90833333333333599</v>
      </c>
      <c r="G181" s="15">
        <f>'Testing DK9 (3)'!N187</f>
        <v>0.51139529747408652</v>
      </c>
      <c r="H181" s="153">
        <f>'Testing DK9 (3)'!BW187</f>
        <v>1.4181004688925141E-2</v>
      </c>
      <c r="I181" s="247">
        <v>2.5000000000000001E-3</v>
      </c>
      <c r="J181" s="153">
        <f t="shared" si="24"/>
        <v>1.6681004688925142E-2</v>
      </c>
      <c r="K181" s="31" t="s">
        <v>257</v>
      </c>
      <c r="L181" s="31">
        <v>3.206</v>
      </c>
      <c r="M181" s="242">
        <v>2624</v>
      </c>
      <c r="N181" s="155">
        <f t="shared" si="32"/>
        <v>39.853380128652496</v>
      </c>
      <c r="O181" s="154">
        <f t="shared" si="26"/>
        <v>54.109375383936559</v>
      </c>
      <c r="P181" s="154">
        <f t="shared" si="27"/>
        <v>41.123125291791787</v>
      </c>
      <c r="Q181" s="154">
        <f t="shared" si="28"/>
        <v>49.780625353221637</v>
      </c>
      <c r="R181" s="154">
        <f t="shared" si="29"/>
        <v>61.68468793768767</v>
      </c>
      <c r="S181" s="154">
        <f t="shared" si="30"/>
        <v>70.342187999117527</v>
      </c>
      <c r="T181" s="29" t="str">
        <f t="shared" si="31"/>
        <v>A</v>
      </c>
      <c r="U181">
        <f>((SUM($J$30:J181)*L181/(M181*SUM($G$30:G181))))*10^6</f>
        <v>36.998021587691113</v>
      </c>
    </row>
    <row r="182" spans="2:21" ht="16.5" thickBot="1" x14ac:dyDescent="0.3">
      <c r="B182" s="13">
        <v>33</v>
      </c>
      <c r="C182" s="456"/>
      <c r="D182" s="456"/>
      <c r="E182" s="457"/>
      <c r="F182" s="54">
        <v>0.91041666666666898</v>
      </c>
      <c r="G182" s="15">
        <f>'Testing DK9 (3)'!N188</f>
        <v>0.54999515690635115</v>
      </c>
      <c r="H182" s="153">
        <f>'Testing DK9 (3)'!BW188</f>
        <v>1.4543841854151583E-2</v>
      </c>
      <c r="I182" s="247">
        <v>2.5000000000000001E-3</v>
      </c>
      <c r="J182" s="153">
        <f t="shared" si="24"/>
        <v>1.7043841854151583E-2</v>
      </c>
      <c r="K182" s="31" t="s">
        <v>257</v>
      </c>
      <c r="L182" s="31">
        <v>3.206</v>
      </c>
      <c r="M182" s="242">
        <v>2624</v>
      </c>
      <c r="N182" s="155">
        <f t="shared" si="32"/>
        <v>37.862415569915981</v>
      </c>
      <c r="O182" s="154">
        <f t="shared" si="26"/>
        <v>54.109375383936559</v>
      </c>
      <c r="P182" s="154">
        <f t="shared" si="27"/>
        <v>41.123125291791787</v>
      </c>
      <c r="Q182" s="154">
        <f t="shared" si="28"/>
        <v>49.780625353221637</v>
      </c>
      <c r="R182" s="154">
        <f t="shared" si="29"/>
        <v>61.68468793768767</v>
      </c>
      <c r="S182" s="154">
        <f t="shared" si="30"/>
        <v>70.342187999117527</v>
      </c>
      <c r="T182" s="29" t="str">
        <f t="shared" si="31"/>
        <v>A</v>
      </c>
      <c r="U182">
        <f>((SUM($J$30:J182)*L182/(M182*SUM($G$30:G182))))*10^6</f>
        <v>37.007460763734812</v>
      </c>
    </row>
    <row r="183" spans="2:21" ht="16.5" thickBot="1" x14ac:dyDescent="0.3">
      <c r="B183" s="13">
        <v>34</v>
      </c>
      <c r="C183" s="456"/>
      <c r="D183" s="456"/>
      <c r="E183" s="457"/>
      <c r="F183" s="54">
        <v>0.91250000000000298</v>
      </c>
      <c r="G183" s="15">
        <f>'Testing DK9 (3)'!N189</f>
        <v>0.44517826162839114</v>
      </c>
      <c r="H183" s="153">
        <f>'Testing DK9 (3)'!BW189</f>
        <v>7.0627974536354061E-3</v>
      </c>
      <c r="I183" s="247">
        <v>2.5000000000000001E-3</v>
      </c>
      <c r="J183" s="153">
        <f t="shared" si="24"/>
        <v>9.5627974536354066E-3</v>
      </c>
      <c r="K183" s="31" t="s">
        <v>257</v>
      </c>
      <c r="L183" s="31">
        <v>3.206</v>
      </c>
      <c r="M183" s="242">
        <v>2624</v>
      </c>
      <c r="N183" s="155">
        <f t="shared" si="32"/>
        <v>26.245248867647074</v>
      </c>
      <c r="O183" s="154">
        <f t="shared" si="26"/>
        <v>54.109375383936559</v>
      </c>
      <c r="P183" s="154">
        <f t="shared" si="27"/>
        <v>41.123125291791787</v>
      </c>
      <c r="Q183" s="154">
        <f t="shared" si="28"/>
        <v>49.780625353221637</v>
      </c>
      <c r="R183" s="154">
        <f t="shared" si="29"/>
        <v>61.68468793768767</v>
      </c>
      <c r="S183" s="154">
        <f t="shared" si="30"/>
        <v>70.342187999117527</v>
      </c>
      <c r="T183" s="29" t="str">
        <f t="shared" si="31"/>
        <v>A</v>
      </c>
      <c r="U183">
        <f>((SUM($J$30:J183)*L183/(M183*SUM($G$30:G183))))*10^6</f>
        <v>36.913168261503436</v>
      </c>
    </row>
    <row r="184" spans="2:21" ht="16.5" thickBot="1" x14ac:dyDescent="0.3">
      <c r="B184" s="13">
        <v>35</v>
      </c>
      <c r="C184" s="456"/>
      <c r="D184" s="456"/>
      <c r="E184" s="457"/>
      <c r="F184" s="54">
        <v>0.91458333333333597</v>
      </c>
      <c r="G184" s="15">
        <f>'Testing DK9 (3)'!N190</f>
        <v>0.52519596163486493</v>
      </c>
      <c r="H184" s="153">
        <f>'Testing DK9 (3)'!BW190</f>
        <v>1.2265391293558393E-2</v>
      </c>
      <c r="I184" s="247">
        <v>2.5000000000000001E-3</v>
      </c>
      <c r="J184" s="153">
        <f t="shared" si="24"/>
        <v>1.4765391293558394E-2</v>
      </c>
      <c r="K184" s="31" t="s">
        <v>257</v>
      </c>
      <c r="L184" s="31">
        <v>3.206</v>
      </c>
      <c r="M184" s="242">
        <v>2624</v>
      </c>
      <c r="N184" s="155">
        <f t="shared" si="32"/>
        <v>34.3497254238927</v>
      </c>
      <c r="O184" s="154">
        <f t="shared" si="26"/>
        <v>54.109375383936559</v>
      </c>
      <c r="P184" s="154">
        <f t="shared" si="27"/>
        <v>41.123125291791787</v>
      </c>
      <c r="Q184" s="154">
        <f t="shared" si="28"/>
        <v>49.780625353221637</v>
      </c>
      <c r="R184" s="154">
        <f t="shared" si="29"/>
        <v>61.68468793768767</v>
      </c>
      <c r="S184" s="154">
        <f t="shared" si="30"/>
        <v>70.342187999117527</v>
      </c>
      <c r="T184" s="29" t="str">
        <f t="shared" si="31"/>
        <v>A</v>
      </c>
      <c r="U184">
        <f>((SUM($J$30:J184)*L184/(M184*SUM($G$30:G184))))*10^6</f>
        <v>36.886942944133978</v>
      </c>
    </row>
    <row r="185" spans="2:21" ht="16.5" thickBot="1" x14ac:dyDescent="0.3">
      <c r="B185" s="13">
        <v>36</v>
      </c>
      <c r="C185" s="456"/>
      <c r="D185" s="456"/>
      <c r="E185" s="457">
        <v>0.91666666666666696</v>
      </c>
      <c r="F185" s="54">
        <v>0.91666666666666996</v>
      </c>
      <c r="G185" s="15">
        <f>'Testing DK9 (3)'!N191</f>
        <v>0.34954109960570484</v>
      </c>
      <c r="H185" s="153">
        <f>'Testing DK9 (3)'!BW191</f>
        <v>4.3559608408241047E-3</v>
      </c>
      <c r="I185" s="247">
        <v>2.5000000000000001E-3</v>
      </c>
      <c r="J185" s="153">
        <f t="shared" si="24"/>
        <v>6.8559608408241043E-3</v>
      </c>
      <c r="K185" s="31" t="s">
        <v>257</v>
      </c>
      <c r="L185" s="31">
        <v>3.206</v>
      </c>
      <c r="M185" s="242">
        <v>2624</v>
      </c>
      <c r="N185" s="155">
        <f t="shared" si="32"/>
        <v>23.96457699492321</v>
      </c>
      <c r="O185" s="154">
        <f t="shared" si="26"/>
        <v>54.109375383936559</v>
      </c>
      <c r="P185" s="154">
        <f t="shared" si="27"/>
        <v>41.123125291791787</v>
      </c>
      <c r="Q185" s="154">
        <f t="shared" si="28"/>
        <v>49.780625353221637</v>
      </c>
      <c r="R185" s="154">
        <f t="shared" si="29"/>
        <v>61.68468793768767</v>
      </c>
      <c r="S185" s="154">
        <f t="shared" si="30"/>
        <v>70.342187999117527</v>
      </c>
      <c r="T185" s="29" t="str">
        <f t="shared" si="31"/>
        <v>A</v>
      </c>
      <c r="U185">
        <f>((SUM($J$30:J185)*L185/(M185*SUM($G$30:G185))))*10^6</f>
        <v>36.799551484126887</v>
      </c>
    </row>
    <row r="186" spans="2:21" ht="16.5" thickBot="1" x14ac:dyDescent="0.3">
      <c r="B186" s="13">
        <v>37</v>
      </c>
      <c r="C186" s="456"/>
      <c r="D186" s="456"/>
      <c r="E186" s="457"/>
      <c r="F186" s="54">
        <v>0.91875000000000295</v>
      </c>
      <c r="G186" s="15">
        <f>'Testing DK9 (3)'!N192</f>
        <v>0.6021692135390182</v>
      </c>
      <c r="H186" s="153">
        <f>'Testing DK9 (3)'!BW192</f>
        <v>2.1023393016151238E-2</v>
      </c>
      <c r="I186" s="247">
        <v>2.5000000000000001E-3</v>
      </c>
      <c r="J186" s="153">
        <f t="shared" si="24"/>
        <v>2.3523393016151237E-2</v>
      </c>
      <c r="K186" s="31" t="s">
        <v>257</v>
      </c>
      <c r="L186" s="31">
        <v>3.206</v>
      </c>
      <c r="M186" s="242">
        <v>2624</v>
      </c>
      <c r="N186" s="155">
        <f t="shared" si="32"/>
        <v>47.728864667716245</v>
      </c>
      <c r="O186" s="154">
        <f t="shared" si="26"/>
        <v>54.109375383936559</v>
      </c>
      <c r="P186" s="154">
        <f t="shared" si="27"/>
        <v>41.123125291791787</v>
      </c>
      <c r="Q186" s="154">
        <f t="shared" si="28"/>
        <v>49.780625353221637</v>
      </c>
      <c r="R186" s="154">
        <f t="shared" si="29"/>
        <v>61.68468793768767</v>
      </c>
      <c r="S186" s="154">
        <f t="shared" si="30"/>
        <v>70.342187999117527</v>
      </c>
      <c r="T186" s="29" t="str">
        <f t="shared" si="31"/>
        <v>B</v>
      </c>
      <c r="U186">
        <f>((SUM($J$30:J186)*L186/(M186*SUM($G$30:G186))))*10^6</f>
        <v>36.92541782264211</v>
      </c>
    </row>
    <row r="187" spans="2:21" ht="16.5" thickBot="1" x14ac:dyDescent="0.3">
      <c r="B187" s="13">
        <v>38</v>
      </c>
      <c r="C187" s="456"/>
      <c r="D187" s="456"/>
      <c r="E187" s="457"/>
      <c r="F187" s="54">
        <v>0.92083333333333695</v>
      </c>
      <c r="G187" s="15">
        <f>'Testing DK9 (3)'!N193</f>
        <v>0.40032437432724083</v>
      </c>
      <c r="H187" s="153">
        <f>'Testing DK9 (3)'!BW193</f>
        <v>5.0747631910722209E-3</v>
      </c>
      <c r="I187" s="247">
        <v>2.5000000000000001E-3</v>
      </c>
      <c r="J187" s="153">
        <f t="shared" si="24"/>
        <v>7.5747631910722205E-3</v>
      </c>
      <c r="K187" s="31" t="s">
        <v>257</v>
      </c>
      <c r="L187" s="31">
        <v>3.206</v>
      </c>
      <c r="M187" s="242">
        <v>2624</v>
      </c>
      <c r="N187" s="155">
        <f t="shared" si="32"/>
        <v>23.118343580475283</v>
      </c>
      <c r="O187" s="154">
        <f t="shared" si="26"/>
        <v>54.109375383936559</v>
      </c>
      <c r="P187" s="154">
        <f t="shared" si="27"/>
        <v>41.123125291791787</v>
      </c>
      <c r="Q187" s="154">
        <f t="shared" si="28"/>
        <v>49.780625353221637</v>
      </c>
      <c r="R187" s="154">
        <f t="shared" si="29"/>
        <v>61.68468793768767</v>
      </c>
      <c r="S187" s="154">
        <f t="shared" si="30"/>
        <v>70.342187999117527</v>
      </c>
      <c r="T187" s="29" t="str">
        <f t="shared" si="31"/>
        <v>A</v>
      </c>
      <c r="U187">
        <f>((SUM($J$30:J187)*L187/(M187*SUM($G$30:G187))))*10^6</f>
        <v>36.820512018999835</v>
      </c>
    </row>
    <row r="188" spans="2:21" ht="16.5" thickBot="1" x14ac:dyDescent="0.3">
      <c r="B188" s="13">
        <v>39</v>
      </c>
      <c r="C188" s="456"/>
      <c r="D188" s="456"/>
      <c r="E188" s="457"/>
      <c r="F188" s="54">
        <v>0.92291666666667005</v>
      </c>
      <c r="G188" s="15">
        <f>'Testing DK9 (3)'!N194</f>
        <v>0.44610872189625467</v>
      </c>
      <c r="H188" s="153">
        <f>'Testing DK9 (3)'!BW194</f>
        <v>9.0192824858315902E-3</v>
      </c>
      <c r="I188" s="247">
        <v>2.5000000000000001E-3</v>
      </c>
      <c r="J188" s="153">
        <f t="shared" si="24"/>
        <v>1.1519282485831591E-2</v>
      </c>
      <c r="K188" s="31" t="s">
        <v>257</v>
      </c>
      <c r="L188" s="31">
        <v>3.206</v>
      </c>
      <c r="M188" s="242">
        <v>2624</v>
      </c>
      <c r="N188" s="155">
        <f t="shared" si="32"/>
        <v>31.548913084368291</v>
      </c>
      <c r="O188" s="154">
        <f t="shared" si="26"/>
        <v>54.109375383936559</v>
      </c>
      <c r="P188" s="154">
        <f t="shared" si="27"/>
        <v>41.123125291791787</v>
      </c>
      <c r="Q188" s="154">
        <f t="shared" si="28"/>
        <v>49.780625353221637</v>
      </c>
      <c r="R188" s="154">
        <f t="shared" si="29"/>
        <v>61.68468793768767</v>
      </c>
      <c r="S188" s="154">
        <f t="shared" si="30"/>
        <v>70.342187999117527</v>
      </c>
      <c r="T188" s="29" t="str">
        <f t="shared" si="31"/>
        <v>A</v>
      </c>
      <c r="U188">
        <f>((SUM($J$30:J188)*L188/(M188*SUM($G$30:G188))))*10^6</f>
        <v>36.776252444828046</v>
      </c>
    </row>
    <row r="189" spans="2:21" ht="16.5" thickBot="1" x14ac:dyDescent="0.3">
      <c r="B189" s="13">
        <v>40</v>
      </c>
      <c r="C189" s="456"/>
      <c r="D189" s="456"/>
      <c r="E189" s="457"/>
      <c r="F189" s="54">
        <v>0.92500000000000304</v>
      </c>
      <c r="G189" s="15">
        <f>'Testing DK9 (3)'!N195</f>
        <v>0.41786689326995125</v>
      </c>
      <c r="H189" s="153">
        <f>'Testing DK9 (3)'!BW195</f>
        <v>7.3759498578398076E-3</v>
      </c>
      <c r="I189" s="247">
        <v>2.5000000000000001E-3</v>
      </c>
      <c r="J189" s="153">
        <f t="shared" si="24"/>
        <v>9.8759498578398081E-3</v>
      </c>
      <c r="K189" s="31" t="s">
        <v>257</v>
      </c>
      <c r="L189" s="31">
        <v>3.206</v>
      </c>
      <c r="M189" s="242">
        <v>2624</v>
      </c>
      <c r="N189" s="155">
        <f t="shared" si="32"/>
        <v>28.876237114750825</v>
      </c>
      <c r="O189" s="154">
        <f t="shared" si="26"/>
        <v>54.109375383936559</v>
      </c>
      <c r="P189" s="154">
        <f t="shared" si="27"/>
        <v>41.123125291791787</v>
      </c>
      <c r="Q189" s="154">
        <f t="shared" si="28"/>
        <v>49.780625353221637</v>
      </c>
      <c r="R189" s="154">
        <f t="shared" si="29"/>
        <v>61.68468793768767</v>
      </c>
      <c r="S189" s="154">
        <f t="shared" si="30"/>
        <v>70.342187999117527</v>
      </c>
      <c r="T189" s="29" t="str">
        <f t="shared" si="31"/>
        <v>A</v>
      </c>
      <c r="U189">
        <f>((SUM($J$30:J189)*L189/(M189*SUM($G$30:G189))))*10^6</f>
        <v>36.714608847395425</v>
      </c>
    </row>
    <row r="190" spans="2:21" ht="16.5" thickBot="1" x14ac:dyDescent="0.3">
      <c r="B190" s="13">
        <v>41</v>
      </c>
      <c r="C190" s="456"/>
      <c r="D190" s="456"/>
      <c r="E190" s="457">
        <v>0.92708333333333404</v>
      </c>
      <c r="F190" s="54">
        <v>0.92708333333333703</v>
      </c>
      <c r="G190" s="15">
        <f>'Testing DK9 (3)'!N196</f>
        <v>0.40139395889354862</v>
      </c>
      <c r="H190" s="153">
        <f>'Testing DK9 (3)'!BW196</f>
        <v>6.5368311529786652E-3</v>
      </c>
      <c r="I190" s="247">
        <v>2.5000000000000001E-3</v>
      </c>
      <c r="J190" s="153">
        <f t="shared" si="24"/>
        <v>9.0368311529786648E-3</v>
      </c>
      <c r="K190" s="31" t="s">
        <v>257</v>
      </c>
      <c r="L190" s="31">
        <v>3.206</v>
      </c>
      <c r="M190" s="242">
        <v>2624</v>
      </c>
      <c r="N190" s="155">
        <f t="shared" si="32"/>
        <v>27.507113740871489</v>
      </c>
      <c r="O190" s="154">
        <f t="shared" si="26"/>
        <v>54.109375383936559</v>
      </c>
      <c r="P190" s="154">
        <f t="shared" si="27"/>
        <v>41.123125291791787</v>
      </c>
      <c r="Q190" s="154">
        <f t="shared" si="28"/>
        <v>49.780625353221637</v>
      </c>
      <c r="R190" s="154">
        <f t="shared" si="29"/>
        <v>61.68468793768767</v>
      </c>
      <c r="S190" s="154">
        <f t="shared" si="30"/>
        <v>70.342187999117527</v>
      </c>
      <c r="T190" s="29" t="str">
        <f t="shared" si="31"/>
        <v>A</v>
      </c>
      <c r="U190">
        <f>((SUM($J$30:J190)*L190/(M190*SUM($G$30:G190))))*10^6</f>
        <v>36.646108724889231</v>
      </c>
    </row>
    <row r="191" spans="2:21" ht="16.5" thickBot="1" x14ac:dyDescent="0.3">
      <c r="B191" s="13">
        <v>42</v>
      </c>
      <c r="C191" s="456"/>
      <c r="D191" s="456"/>
      <c r="E191" s="457"/>
      <c r="F191" s="54">
        <v>0.92916666666667003</v>
      </c>
      <c r="G191" s="15">
        <f>'Testing DK9 (3)'!N197</f>
        <v>0.4592015983379012</v>
      </c>
      <c r="H191" s="153">
        <f>'Testing DK9 (3)'!BW197</f>
        <v>9.8836844041729991E-3</v>
      </c>
      <c r="I191" s="247">
        <v>2.5000000000000001E-3</v>
      </c>
      <c r="J191" s="153">
        <f t="shared" si="24"/>
        <v>1.2383684404173E-2</v>
      </c>
      <c r="K191" s="31" t="s">
        <v>257</v>
      </c>
      <c r="L191" s="31">
        <v>3.206</v>
      </c>
      <c r="M191" s="242">
        <v>2624</v>
      </c>
      <c r="N191" s="155">
        <f t="shared" si="32"/>
        <v>32.949298429555583</v>
      </c>
      <c r="O191" s="154">
        <f t="shared" si="26"/>
        <v>54.109375383936559</v>
      </c>
      <c r="P191" s="154">
        <f t="shared" si="27"/>
        <v>41.123125291791787</v>
      </c>
      <c r="Q191" s="154">
        <f t="shared" si="28"/>
        <v>49.780625353221637</v>
      </c>
      <c r="R191" s="154">
        <f t="shared" si="29"/>
        <v>61.68468793768767</v>
      </c>
      <c r="S191" s="154">
        <f t="shared" si="30"/>
        <v>70.342187999117527</v>
      </c>
      <c r="T191" s="29" t="str">
        <f t="shared" si="31"/>
        <v>A</v>
      </c>
      <c r="U191">
        <f>((SUM($J$30:J191)*L191/(M191*SUM($G$30:G191))))*10^6</f>
        <v>36.61491056922187</v>
      </c>
    </row>
    <row r="192" spans="2:21" ht="16.5" thickBot="1" x14ac:dyDescent="0.3">
      <c r="B192" s="13">
        <v>43</v>
      </c>
      <c r="C192" s="456"/>
      <c r="D192" s="456"/>
      <c r="E192" s="457"/>
      <c r="F192" s="54">
        <v>0.93125000000000402</v>
      </c>
      <c r="G192" s="15">
        <f>'Testing DK9 (3)'!N198</f>
        <v>0.38028434661077615</v>
      </c>
      <c r="H192" s="153">
        <f>'Testing DK9 (3)'!BW198</f>
        <v>5.571029293260552E-3</v>
      </c>
      <c r="I192" s="247">
        <v>2.5000000000000001E-3</v>
      </c>
      <c r="J192" s="153">
        <f t="shared" si="24"/>
        <v>8.0710292932605517E-3</v>
      </c>
      <c r="K192" s="31" t="s">
        <v>257</v>
      </c>
      <c r="L192" s="31">
        <v>3.206</v>
      </c>
      <c r="M192" s="242">
        <v>2624</v>
      </c>
      <c r="N192" s="155">
        <f t="shared" si="32"/>
        <v>25.931053527901522</v>
      </c>
      <c r="O192" s="154">
        <f t="shared" si="26"/>
        <v>54.109375383936559</v>
      </c>
      <c r="P192" s="154">
        <f t="shared" si="27"/>
        <v>41.123125291791787</v>
      </c>
      <c r="Q192" s="154">
        <f t="shared" si="28"/>
        <v>49.780625353221637</v>
      </c>
      <c r="R192" s="154">
        <f t="shared" si="29"/>
        <v>61.68468793768767</v>
      </c>
      <c r="S192" s="154">
        <f t="shared" si="30"/>
        <v>70.342187999117527</v>
      </c>
      <c r="T192" s="29" t="str">
        <f t="shared" si="31"/>
        <v>A</v>
      </c>
      <c r="U192">
        <f>((SUM($J$30:J192)*L192/(M192*SUM($G$30:G192))))*10^6</f>
        <v>36.540760730174455</v>
      </c>
    </row>
    <row r="193" spans="2:21" ht="16.5" thickBot="1" x14ac:dyDescent="0.3">
      <c r="B193" s="13">
        <v>44</v>
      </c>
      <c r="C193" s="456"/>
      <c r="D193" s="456"/>
      <c r="E193" s="457"/>
      <c r="F193" s="54">
        <v>0.93333333333333701</v>
      </c>
      <c r="G193" s="15">
        <f>'Testing DK9 (3)'!N199</f>
        <v>0.53709677996371863</v>
      </c>
      <c r="H193" s="153">
        <f>'Testing DK9 (3)'!BW199</f>
        <v>1.6947467066599352E-2</v>
      </c>
      <c r="I193" s="247">
        <v>2.5000000000000001E-3</v>
      </c>
      <c r="J193" s="153">
        <f t="shared" si="24"/>
        <v>1.9447467066599351E-2</v>
      </c>
      <c r="K193" s="31" t="s">
        <v>257</v>
      </c>
      <c r="L193" s="31">
        <v>3.206</v>
      </c>
      <c r="M193" s="242">
        <v>2624</v>
      </c>
      <c r="N193" s="155">
        <f t="shared" si="32"/>
        <v>44.239497297215046</v>
      </c>
      <c r="O193" s="154">
        <f t="shared" si="26"/>
        <v>54.109375383936559</v>
      </c>
      <c r="P193" s="154">
        <f t="shared" si="27"/>
        <v>41.123125291791787</v>
      </c>
      <c r="Q193" s="154">
        <f t="shared" si="28"/>
        <v>49.780625353221637</v>
      </c>
      <c r="R193" s="154">
        <f t="shared" si="29"/>
        <v>61.68468793768767</v>
      </c>
      <c r="S193" s="154">
        <f t="shared" si="30"/>
        <v>70.342187999117527</v>
      </c>
      <c r="T193" s="29" t="str">
        <f t="shared" si="31"/>
        <v>B</v>
      </c>
      <c r="U193">
        <f>((SUM($J$30:J193)*L193/(M193*SUM($G$30:G193))))*10^6</f>
        <v>36.615493205033481</v>
      </c>
    </row>
    <row r="194" spans="2:21" ht="16.5" thickBot="1" x14ac:dyDescent="0.3">
      <c r="B194" s="13">
        <v>45</v>
      </c>
      <c r="C194" s="456"/>
      <c r="D194" s="456"/>
      <c r="E194" s="457"/>
      <c r="F194" s="54">
        <v>0.935416666666671</v>
      </c>
      <c r="G194" s="15">
        <f>'Testing DK9 (3)'!N200</f>
        <v>0.44042714625546686</v>
      </c>
      <c r="H194" s="153">
        <f>'Testing DK9 (3)'!BW200</f>
        <v>8.6656753212604465E-3</v>
      </c>
      <c r="I194" s="247">
        <v>2.5000000000000001E-3</v>
      </c>
      <c r="J194" s="153">
        <f t="shared" si="24"/>
        <v>1.1165675321260447E-2</v>
      </c>
      <c r="K194" s="31" t="s">
        <v>257</v>
      </c>
      <c r="L194" s="31">
        <v>3.206</v>
      </c>
      <c r="M194" s="242">
        <v>2624</v>
      </c>
      <c r="N194" s="155">
        <f t="shared" si="32"/>
        <v>30.974949221058505</v>
      </c>
      <c r="O194" s="154">
        <f t="shared" si="26"/>
        <v>54.109375383936559</v>
      </c>
      <c r="P194" s="154">
        <f t="shared" si="27"/>
        <v>41.123125291791787</v>
      </c>
      <c r="Q194" s="154">
        <f t="shared" si="28"/>
        <v>49.780625353221637</v>
      </c>
      <c r="R194" s="154">
        <f t="shared" si="29"/>
        <v>61.68468793768767</v>
      </c>
      <c r="S194" s="154">
        <f t="shared" si="30"/>
        <v>70.342187999117527</v>
      </c>
      <c r="T194" s="29" t="str">
        <f t="shared" si="31"/>
        <v>A</v>
      </c>
      <c r="U194">
        <f>((SUM($J$30:J194)*L194/(M194*SUM($G$30:G194))))*10^6</f>
        <v>36.570949212455531</v>
      </c>
    </row>
    <row r="195" spans="2:21" ht="16.5" thickBot="1" x14ac:dyDescent="0.3">
      <c r="B195" s="13">
        <v>46</v>
      </c>
      <c r="C195" s="456"/>
      <c r="D195" s="456"/>
      <c r="E195" s="457">
        <v>0.937500000000001</v>
      </c>
      <c r="F195" s="54">
        <v>0.937500000000004</v>
      </c>
      <c r="G195" s="15">
        <f>'Testing DK9 (3)'!N201</f>
        <v>0.4054276093011811</v>
      </c>
      <c r="H195" s="153">
        <f>'Testing DK9 (3)'!BW201</f>
        <v>6.7349783984652226E-3</v>
      </c>
      <c r="I195" s="247">
        <v>2.5000000000000001E-3</v>
      </c>
      <c r="J195" s="153">
        <f t="shared" si="24"/>
        <v>9.2349783984652222E-3</v>
      </c>
      <c r="K195" s="31" t="s">
        <v>257</v>
      </c>
      <c r="L195" s="31">
        <v>3.206</v>
      </c>
      <c r="M195" s="242">
        <v>2624</v>
      </c>
      <c r="N195" s="155">
        <f t="shared" si="32"/>
        <v>27.830579581209484</v>
      </c>
      <c r="O195" s="154">
        <f t="shared" si="26"/>
        <v>54.109375383936559</v>
      </c>
      <c r="P195" s="154">
        <f t="shared" si="27"/>
        <v>41.123125291791787</v>
      </c>
      <c r="Q195" s="154">
        <f t="shared" si="28"/>
        <v>49.780625353221637</v>
      </c>
      <c r="R195" s="154">
        <f t="shared" si="29"/>
        <v>61.68468793768767</v>
      </c>
      <c r="S195" s="154">
        <f t="shared" si="30"/>
        <v>70.342187999117527</v>
      </c>
      <c r="T195" s="29" t="str">
        <f t="shared" si="31"/>
        <v>A</v>
      </c>
      <c r="U195">
        <f>((SUM($J$30:J195)*L195/(M195*SUM($G$30:G195))))*10^6</f>
        <v>36.507869241129875</v>
      </c>
    </row>
    <row r="196" spans="2:21" ht="16.5" thickBot="1" x14ac:dyDescent="0.3">
      <c r="B196" s="13">
        <v>47</v>
      </c>
      <c r="C196" s="456"/>
      <c r="D196" s="456"/>
      <c r="E196" s="457"/>
      <c r="F196" s="54">
        <v>0.93958333333333799</v>
      </c>
      <c r="G196" s="15">
        <f>'Testing DK9 (3)'!N202</f>
        <v>0.38327862255082273</v>
      </c>
      <c r="H196" s="153">
        <f>'Testing DK9 (3)'!BW202</f>
        <v>5.7010838743661299E-3</v>
      </c>
      <c r="I196" s="247">
        <v>2.5000000000000001E-3</v>
      </c>
      <c r="J196" s="153">
        <f t="shared" si="24"/>
        <v>8.2010838743661295E-3</v>
      </c>
      <c r="K196" s="31" t="s">
        <v>257</v>
      </c>
      <c r="L196" s="31">
        <v>3.206</v>
      </c>
      <c r="M196" s="242">
        <v>2624</v>
      </c>
      <c r="N196" s="155">
        <f t="shared" si="32"/>
        <v>26.143055434953396</v>
      </c>
      <c r="O196" s="154">
        <f t="shared" si="26"/>
        <v>54.109375383936559</v>
      </c>
      <c r="P196" s="154">
        <f t="shared" si="27"/>
        <v>41.123125291791787</v>
      </c>
      <c r="Q196" s="154">
        <f t="shared" si="28"/>
        <v>49.780625353221637</v>
      </c>
      <c r="R196" s="154">
        <f t="shared" si="29"/>
        <v>61.68468793768767</v>
      </c>
      <c r="S196" s="154">
        <f t="shared" si="30"/>
        <v>70.342187999117527</v>
      </c>
      <c r="T196" s="29" t="str">
        <f t="shared" si="31"/>
        <v>A</v>
      </c>
      <c r="U196">
        <f>((SUM($J$30:J196)*L196/(M196*SUM($G$30:G196))))*10^6</f>
        <v>36.437631356190792</v>
      </c>
    </row>
    <row r="197" spans="2:21" ht="16.5" thickBot="1" x14ac:dyDescent="0.3">
      <c r="B197" s="13">
        <v>48</v>
      </c>
      <c r="C197" s="456"/>
      <c r="D197" s="456"/>
      <c r="E197" s="457"/>
      <c r="F197" s="54">
        <v>0.94166666666667098</v>
      </c>
      <c r="G197" s="15">
        <f>'Testing DK9 (3)'!N203</f>
        <v>0.55505336693739615</v>
      </c>
      <c r="H197" s="153">
        <f>'Testing DK9 (3)'!BW203</f>
        <v>1.9206435583955444E-2</v>
      </c>
      <c r="I197" s="247">
        <v>2.5000000000000001E-3</v>
      </c>
      <c r="J197" s="153">
        <f t="shared" si="24"/>
        <v>2.1706435583955443E-2</v>
      </c>
      <c r="K197" s="31" t="s">
        <v>257</v>
      </c>
      <c r="L197" s="31">
        <v>3.206</v>
      </c>
      <c r="M197" s="242">
        <v>2624</v>
      </c>
      <c r="N197" s="155">
        <f t="shared" si="32"/>
        <v>47.780804702703691</v>
      </c>
      <c r="O197" s="154">
        <f t="shared" si="26"/>
        <v>54.109375383936559</v>
      </c>
      <c r="P197" s="154">
        <f t="shared" si="27"/>
        <v>41.123125291791787</v>
      </c>
      <c r="Q197" s="154">
        <f t="shared" si="28"/>
        <v>49.780625353221637</v>
      </c>
      <c r="R197" s="154">
        <f t="shared" si="29"/>
        <v>61.68468793768767</v>
      </c>
      <c r="S197" s="154">
        <f t="shared" si="30"/>
        <v>70.342187999117527</v>
      </c>
      <c r="T197" s="29" t="str">
        <f t="shared" si="31"/>
        <v>B</v>
      </c>
      <c r="U197">
        <f>((SUM($J$30:J197)*L197/(M197*SUM($G$30:G197))))*10^6</f>
        <v>36.547867344931937</v>
      </c>
    </row>
    <row r="198" spans="2:21" ht="16.5" thickBot="1" x14ac:dyDescent="0.3">
      <c r="B198" s="13">
        <v>49</v>
      </c>
      <c r="C198" s="456"/>
      <c r="D198" s="456"/>
      <c r="E198" s="457"/>
      <c r="F198" s="54">
        <v>0.94375000000000397</v>
      </c>
      <c r="G198" s="15">
        <f>'Testing DK9 (3)'!N204</f>
        <v>0.45169882263643885</v>
      </c>
      <c r="H198" s="153">
        <f>'Testing DK9 (3)'!BW204</f>
        <v>9.379616644369277E-3</v>
      </c>
      <c r="I198" s="247">
        <v>2.5000000000000001E-3</v>
      </c>
      <c r="J198" s="153">
        <f t="shared" si="24"/>
        <v>1.1879616644369278E-2</v>
      </c>
      <c r="K198" s="31" t="s">
        <v>257</v>
      </c>
      <c r="L198" s="31">
        <v>3.206</v>
      </c>
      <c r="M198" s="242">
        <v>2624</v>
      </c>
      <c r="N198" s="155">
        <f t="shared" si="32"/>
        <v>32.133139165685563</v>
      </c>
      <c r="O198" s="154">
        <f t="shared" si="26"/>
        <v>54.109375383936559</v>
      </c>
      <c r="P198" s="154">
        <f t="shared" si="27"/>
        <v>41.123125291791787</v>
      </c>
      <c r="Q198" s="154">
        <f t="shared" si="28"/>
        <v>49.780625353221637</v>
      </c>
      <c r="R198" s="154">
        <f t="shared" si="29"/>
        <v>61.68468793768767</v>
      </c>
      <c r="S198" s="154">
        <f t="shared" si="30"/>
        <v>70.342187999117527</v>
      </c>
      <c r="T198" s="29" t="str">
        <f t="shared" si="31"/>
        <v>A</v>
      </c>
      <c r="U198">
        <f>((SUM($J$30:J198)*L198/(M198*SUM($G$30:G198))))*10^6</f>
        <v>36.513226710234584</v>
      </c>
    </row>
    <row r="199" spans="2:21" ht="16.5" thickBot="1" x14ac:dyDescent="0.3">
      <c r="B199" s="13">
        <v>50</v>
      </c>
      <c r="C199" s="456"/>
      <c r="D199" s="456"/>
      <c r="E199" s="457"/>
      <c r="F199" s="54">
        <v>0.94583333333333797</v>
      </c>
      <c r="G199" s="15">
        <f>'Testing DK9 (3)'!N205</f>
        <v>0.40364733316371648</v>
      </c>
      <c r="H199" s="153">
        <f>'Testing DK9 (3)'!BW205</f>
        <v>6.6469588441125885E-3</v>
      </c>
      <c r="I199" s="247">
        <v>2.5000000000000001E-3</v>
      </c>
      <c r="J199" s="153">
        <f t="shared" si="24"/>
        <v>9.146958844112589E-3</v>
      </c>
      <c r="K199" s="31" t="s">
        <v>257</v>
      </c>
      <c r="L199" s="31">
        <v>3.206</v>
      </c>
      <c r="M199" s="242">
        <v>2624</v>
      </c>
      <c r="N199" s="155">
        <f t="shared" si="32"/>
        <v>27.686899535085246</v>
      </c>
      <c r="O199" s="154">
        <f t="shared" si="26"/>
        <v>54.109375383936559</v>
      </c>
      <c r="P199" s="154">
        <f t="shared" si="27"/>
        <v>41.123125291791787</v>
      </c>
      <c r="Q199" s="154">
        <f t="shared" si="28"/>
        <v>49.780625353221637</v>
      </c>
      <c r="R199" s="154">
        <f t="shared" si="29"/>
        <v>61.68468793768767</v>
      </c>
      <c r="S199" s="154">
        <f t="shared" si="30"/>
        <v>70.342187999117527</v>
      </c>
      <c r="T199" s="29" t="str">
        <f t="shared" si="31"/>
        <v>A</v>
      </c>
      <c r="U199">
        <f>((SUM($J$30:J199)*L199/(M199*SUM($G$30:G199))))*10^6</f>
        <v>36.451768426918804</v>
      </c>
    </row>
    <row r="200" spans="2:21" ht="16.5" thickBot="1" x14ac:dyDescent="0.3">
      <c r="B200" s="13">
        <v>51</v>
      </c>
      <c r="C200" s="456"/>
      <c r="D200" s="456"/>
      <c r="E200" s="457">
        <v>0.94791666666666696</v>
      </c>
      <c r="F200" s="54">
        <v>0.94791666666667096</v>
      </c>
      <c r="G200" s="15">
        <f>'Testing DK9 (3)'!N206</f>
        <v>0.34992729782138149</v>
      </c>
      <c r="H200" s="153">
        <f>'Testing DK9 (3)'!BW206</f>
        <v>4.369941630690646E-3</v>
      </c>
      <c r="I200" s="247">
        <v>2.5000000000000001E-3</v>
      </c>
      <c r="J200" s="153">
        <f t="shared" si="24"/>
        <v>6.8699416306906465E-3</v>
      </c>
      <c r="K200" s="31" t="s">
        <v>257</v>
      </c>
      <c r="L200" s="31">
        <v>3.206</v>
      </c>
      <c r="M200" s="242">
        <v>2624</v>
      </c>
      <c r="N200" s="155">
        <f t="shared" si="32"/>
        <v>23.986943455565289</v>
      </c>
      <c r="O200" s="154">
        <f t="shared" si="26"/>
        <v>54.109375383936559</v>
      </c>
      <c r="P200" s="154">
        <f t="shared" si="27"/>
        <v>41.123125291791787</v>
      </c>
      <c r="Q200" s="154">
        <f t="shared" si="28"/>
        <v>49.780625353221637</v>
      </c>
      <c r="R200" s="154">
        <f t="shared" si="29"/>
        <v>61.68468793768767</v>
      </c>
      <c r="S200" s="154">
        <f t="shared" si="30"/>
        <v>70.342187999117527</v>
      </c>
      <c r="T200" s="29" t="str">
        <f t="shared" si="31"/>
        <v>A</v>
      </c>
      <c r="U200">
        <f>((SUM($J$30:J200)*L200/(M200*SUM($G$30:G200))))*10^6</f>
        <v>36.376977547433533</v>
      </c>
    </row>
    <row r="201" spans="2:21" ht="16.5" thickBot="1" x14ac:dyDescent="0.3">
      <c r="B201" s="13">
        <v>52</v>
      </c>
      <c r="C201" s="456"/>
      <c r="D201" s="456"/>
      <c r="E201" s="457"/>
      <c r="F201" s="54">
        <v>0.95000000000000495</v>
      </c>
      <c r="G201" s="15">
        <f>'Testing DK9 (3)'!N207</f>
        <v>0.48461091671472228</v>
      </c>
      <c r="H201" s="153">
        <f>'Testing DK9 (3)'!BW207</f>
        <v>1.1786001657911303E-2</v>
      </c>
      <c r="I201" s="247">
        <v>2.5000000000000001E-3</v>
      </c>
      <c r="J201" s="153">
        <f t="shared" si="24"/>
        <v>1.4286001657911303E-2</v>
      </c>
      <c r="K201" s="31" t="s">
        <v>257</v>
      </c>
      <c r="L201" s="31">
        <v>3.206</v>
      </c>
      <c r="M201" s="242">
        <v>2624</v>
      </c>
      <c r="N201" s="155">
        <f t="shared" si="32"/>
        <v>36.017800676079005</v>
      </c>
      <c r="O201" s="154">
        <f t="shared" si="26"/>
        <v>54.109375383936559</v>
      </c>
      <c r="P201" s="154">
        <f t="shared" si="27"/>
        <v>41.123125291791787</v>
      </c>
      <c r="Q201" s="154">
        <f t="shared" si="28"/>
        <v>49.780625353221637</v>
      </c>
      <c r="R201" s="154">
        <f t="shared" si="29"/>
        <v>61.68468793768767</v>
      </c>
      <c r="S201" s="154">
        <f t="shared" si="30"/>
        <v>70.342187999117527</v>
      </c>
      <c r="T201" s="29" t="str">
        <f t="shared" si="31"/>
        <v>A</v>
      </c>
      <c r="U201">
        <f>((SUM($J$30:J201)*L201/(M201*SUM($G$30:G201))))*10^6</f>
        <v>36.374017543380887</v>
      </c>
    </row>
    <row r="202" spans="2:21" ht="16.5" thickBot="1" x14ac:dyDescent="0.3">
      <c r="B202" s="13">
        <v>53</v>
      </c>
      <c r="C202" s="456"/>
      <c r="D202" s="456"/>
      <c r="E202" s="457"/>
      <c r="F202" s="54">
        <v>0.95208333333333806</v>
      </c>
      <c r="G202" s="15">
        <f>'Testing DK9 (3)'!N208</f>
        <v>0.51181706760467938</v>
      </c>
      <c r="H202" s="153">
        <f>'Testing DK9 (3)'!BW208</f>
        <v>1.4222428905807036E-2</v>
      </c>
      <c r="I202" s="247">
        <v>2.5000000000000001E-3</v>
      </c>
      <c r="J202" s="153">
        <f t="shared" si="24"/>
        <v>1.6722428905807035E-2</v>
      </c>
      <c r="K202" s="31" t="s">
        <v>257</v>
      </c>
      <c r="L202" s="31">
        <v>3.206</v>
      </c>
      <c r="M202" s="242">
        <v>2624</v>
      </c>
      <c r="N202" s="155">
        <f t="shared" si="32"/>
        <v>39.919425390655441</v>
      </c>
      <c r="O202" s="154">
        <f t="shared" si="26"/>
        <v>54.109375383936559</v>
      </c>
      <c r="P202" s="154">
        <f t="shared" si="27"/>
        <v>41.123125291791787</v>
      </c>
      <c r="Q202" s="154">
        <f t="shared" si="28"/>
        <v>49.780625353221637</v>
      </c>
      <c r="R202" s="154">
        <f t="shared" si="29"/>
        <v>61.68468793768767</v>
      </c>
      <c r="S202" s="154">
        <f t="shared" si="30"/>
        <v>70.342187999117527</v>
      </c>
      <c r="T202" s="29" t="str">
        <f t="shared" si="31"/>
        <v>A</v>
      </c>
      <c r="U202">
        <f>((SUM($J$30:J202)*L202/(M202*SUM($G$30:G202))))*10^6</f>
        <v>36.404609558662514</v>
      </c>
    </row>
    <row r="203" spans="2:21" ht="16.5" thickBot="1" x14ac:dyDescent="0.3">
      <c r="B203" s="13">
        <v>54</v>
      </c>
      <c r="C203" s="456"/>
      <c r="D203" s="456"/>
      <c r="E203" s="457"/>
      <c r="F203" s="54">
        <v>0.95416666666667205</v>
      </c>
      <c r="G203" s="15">
        <f>'Testing DK9 (3)'!N209</f>
        <v>0.55612155117172657</v>
      </c>
      <c r="H203" s="153">
        <f>'Testing DK9 (3)'!BW209</f>
        <v>1.9350201957483958E-2</v>
      </c>
      <c r="I203" s="247">
        <v>2.5000000000000001E-3</v>
      </c>
      <c r="J203" s="153">
        <f t="shared" si="24"/>
        <v>2.1850201957483956E-2</v>
      </c>
      <c r="K203" s="31" t="s">
        <v>257</v>
      </c>
      <c r="L203" s="31">
        <v>3.206</v>
      </c>
      <c r="M203" s="242">
        <v>2624</v>
      </c>
      <c r="N203" s="155">
        <f t="shared" si="32"/>
        <v>48.004883192923465</v>
      </c>
      <c r="O203" s="154">
        <f t="shared" si="26"/>
        <v>54.109375383936559</v>
      </c>
      <c r="P203" s="154">
        <f t="shared" si="27"/>
        <v>41.123125291791787</v>
      </c>
      <c r="Q203" s="154">
        <f t="shared" si="28"/>
        <v>49.780625353221637</v>
      </c>
      <c r="R203" s="154">
        <f t="shared" si="29"/>
        <v>61.68468793768767</v>
      </c>
      <c r="S203" s="154">
        <f t="shared" si="30"/>
        <v>70.342187999117527</v>
      </c>
      <c r="T203" s="29" t="str">
        <f t="shared" si="31"/>
        <v>B</v>
      </c>
      <c r="U203">
        <f>((SUM($J$30:J203)*L203/(M203*SUM($G$30:G203))))*10^6</f>
        <v>36.512358323245934</v>
      </c>
    </row>
    <row r="204" spans="2:21" ht="16.5" thickBot="1" x14ac:dyDescent="0.3">
      <c r="B204" s="13">
        <v>55</v>
      </c>
      <c r="C204" s="456"/>
      <c r="D204" s="456"/>
      <c r="E204" s="457"/>
      <c r="F204" s="54">
        <v>0.95625000000000504</v>
      </c>
      <c r="G204" s="15">
        <f>'Testing DK9 (3)'!N210</f>
        <v>0.58082246264214099</v>
      </c>
      <c r="H204" s="153">
        <f>'Testing DK9 (3)'!BW210</f>
        <v>2.2997783098117529E-2</v>
      </c>
      <c r="I204" s="247">
        <v>2.5000000000000001E-3</v>
      </c>
      <c r="J204" s="153">
        <f t="shared" si="24"/>
        <v>2.5497783098117528E-2</v>
      </c>
      <c r="K204" s="31" t="s">
        <v>257</v>
      </c>
      <c r="L204" s="31">
        <v>3.206</v>
      </c>
      <c r="M204" s="242">
        <v>2624</v>
      </c>
      <c r="N204" s="155">
        <f t="shared" si="32"/>
        <v>53.636286986401878</v>
      </c>
      <c r="O204" s="154">
        <f t="shared" si="26"/>
        <v>54.109375383936559</v>
      </c>
      <c r="P204" s="154">
        <f t="shared" si="27"/>
        <v>41.123125291791787</v>
      </c>
      <c r="Q204" s="154">
        <f t="shared" si="28"/>
        <v>49.780625353221637</v>
      </c>
      <c r="R204" s="154">
        <f t="shared" si="29"/>
        <v>61.68468793768767</v>
      </c>
      <c r="S204" s="154">
        <f t="shared" si="30"/>
        <v>70.342187999117527</v>
      </c>
      <c r="T204" s="29" t="str">
        <f t="shared" si="31"/>
        <v>C</v>
      </c>
      <c r="U204">
        <f>((SUM($J$30:J204)*L204/(M204*SUM($G$30:G204))))*10^6</f>
        <v>36.676881980739154</v>
      </c>
    </row>
    <row r="205" spans="2:21" ht="16.5" thickBot="1" x14ac:dyDescent="0.3">
      <c r="B205" s="13">
        <v>56</v>
      </c>
      <c r="C205" s="456"/>
      <c r="D205" s="456"/>
      <c r="E205" s="457">
        <v>0.95833333333333404</v>
      </c>
      <c r="F205" s="54">
        <v>0.95833333333333903</v>
      </c>
      <c r="G205" s="15">
        <f>'Testing DK9 (3)'!N211</f>
        <v>0.46649309895304508</v>
      </c>
      <c r="H205" s="153">
        <f>'Testing DK9 (3)'!BW211</f>
        <v>1.0397389254262347E-2</v>
      </c>
      <c r="I205" s="247">
        <v>2.5000000000000001E-3</v>
      </c>
      <c r="J205" s="153">
        <f t="shared" si="24"/>
        <v>1.2897389254262348E-2</v>
      </c>
      <c r="K205" s="31" t="s">
        <v>257</v>
      </c>
      <c r="L205" s="31">
        <v>3.206</v>
      </c>
      <c r="M205" s="242">
        <v>2624</v>
      </c>
      <c r="N205" s="155">
        <f t="shared" si="32"/>
        <v>33.77973757318194</v>
      </c>
      <c r="O205" s="154">
        <f t="shared" si="26"/>
        <v>54.109375383936559</v>
      </c>
      <c r="P205" s="154">
        <f t="shared" si="27"/>
        <v>41.123125291791787</v>
      </c>
      <c r="Q205" s="154">
        <f t="shared" si="28"/>
        <v>49.780625353221637</v>
      </c>
      <c r="R205" s="154">
        <f t="shared" si="29"/>
        <v>61.68468793768767</v>
      </c>
      <c r="S205" s="154">
        <f t="shared" si="30"/>
        <v>70.342187999117527</v>
      </c>
      <c r="T205" s="29" t="str">
        <f t="shared" si="31"/>
        <v>A</v>
      </c>
      <c r="U205">
        <f>((SUM($J$30:J205)*L205/(M205*SUM($G$30:G205))))*10^6</f>
        <v>36.654697028928609</v>
      </c>
    </row>
    <row r="206" spans="2:21" ht="16.5" thickBot="1" x14ac:dyDescent="0.3">
      <c r="B206" s="13">
        <v>57</v>
      </c>
      <c r="C206" s="456"/>
      <c r="D206" s="456"/>
      <c r="E206" s="457"/>
      <c r="F206" s="54">
        <v>0.96041666666667203</v>
      </c>
      <c r="G206" s="15">
        <f>'Testing DK9 (3)'!N212</f>
        <v>0.34111517147773057</v>
      </c>
      <c r="H206" s="153">
        <f>'Testing DK9 (3)'!BW212</f>
        <v>4.0585602131554873E-3</v>
      </c>
      <c r="I206" s="247">
        <v>2.5000000000000001E-3</v>
      </c>
      <c r="J206" s="153">
        <f t="shared" si="24"/>
        <v>6.5585602131554878E-3</v>
      </c>
      <c r="K206" s="31" t="s">
        <v>257</v>
      </c>
      <c r="L206" s="31">
        <v>3.206</v>
      </c>
      <c r="M206" s="242">
        <v>2624</v>
      </c>
      <c r="N206" s="155">
        <f t="shared" si="32"/>
        <v>23.491305987580063</v>
      </c>
      <c r="O206" s="154">
        <f t="shared" si="26"/>
        <v>54.109375383936559</v>
      </c>
      <c r="P206" s="154">
        <f t="shared" si="27"/>
        <v>41.123125291791787</v>
      </c>
      <c r="Q206" s="154">
        <f t="shared" si="28"/>
        <v>49.780625353221637</v>
      </c>
      <c r="R206" s="154">
        <f t="shared" si="29"/>
        <v>61.68468793768767</v>
      </c>
      <c r="S206" s="154">
        <f t="shared" si="30"/>
        <v>70.342187999117527</v>
      </c>
      <c r="T206" s="29" t="str">
        <f t="shared" si="31"/>
        <v>A</v>
      </c>
      <c r="U206">
        <f>((SUM($J$30:J206)*L206/(M206*SUM($G$30:G206))))*10^6</f>
        <v>36.581399907117707</v>
      </c>
    </row>
    <row r="207" spans="2:21" ht="16.5" thickBot="1" x14ac:dyDescent="0.3">
      <c r="B207" s="13">
        <v>58</v>
      </c>
      <c r="C207" s="456"/>
      <c r="D207" s="456"/>
      <c r="E207" s="457"/>
      <c r="F207" s="54">
        <v>0.96250000000000602</v>
      </c>
      <c r="G207" s="15">
        <f>'Testing DK9 (3)'!N213</f>
        <v>0.36331012799368079</v>
      </c>
      <c r="H207" s="153">
        <f>'Testing DK9 (3)'!BW213</f>
        <v>4.8740075507122983E-3</v>
      </c>
      <c r="I207" s="247">
        <v>2.5000000000000001E-3</v>
      </c>
      <c r="J207" s="153">
        <f t="shared" si="24"/>
        <v>7.3740075507122988E-3</v>
      </c>
      <c r="K207" s="31" t="s">
        <v>257</v>
      </c>
      <c r="L207" s="31">
        <v>3.206</v>
      </c>
      <c r="M207" s="242">
        <v>2624</v>
      </c>
      <c r="N207" s="155">
        <f t="shared" si="32"/>
        <v>24.798519883059406</v>
      </c>
      <c r="O207" s="154">
        <f t="shared" si="26"/>
        <v>54.109375383936559</v>
      </c>
      <c r="P207" s="154">
        <f t="shared" si="27"/>
        <v>41.123125291791787</v>
      </c>
      <c r="Q207" s="154">
        <f t="shared" si="28"/>
        <v>49.780625353221637</v>
      </c>
      <c r="R207" s="154">
        <f t="shared" si="29"/>
        <v>61.68468793768767</v>
      </c>
      <c r="S207" s="154">
        <f t="shared" si="30"/>
        <v>70.342187999117527</v>
      </c>
      <c r="T207" s="29" t="str">
        <f t="shared" si="31"/>
        <v>A</v>
      </c>
      <c r="U207">
        <f>((SUM($J$30:J207)*L207/(M207*SUM($G$30:G207))))*10^6</f>
        <v>36.51193282428153</v>
      </c>
    </row>
    <row r="208" spans="2:21" ht="16.5" thickBot="1" x14ac:dyDescent="0.3">
      <c r="B208" s="13">
        <v>59</v>
      </c>
      <c r="C208" s="456"/>
      <c r="D208" s="456"/>
      <c r="E208" s="457"/>
      <c r="F208" s="54">
        <v>0.96458333333333901</v>
      </c>
      <c r="G208" s="15">
        <f>'Testing DK9 (3)'!N214</f>
        <v>0.52207282645526376</v>
      </c>
      <c r="H208" s="153">
        <f>'Testing DK9 (3)'!BW214</f>
        <v>1.5268909376185778E-2</v>
      </c>
      <c r="I208" s="247">
        <v>2.5000000000000001E-3</v>
      </c>
      <c r="J208" s="153">
        <f t="shared" si="24"/>
        <v>1.7768909376185776E-2</v>
      </c>
      <c r="K208" s="31" t="s">
        <v>257</v>
      </c>
      <c r="L208" s="31">
        <v>3.206</v>
      </c>
      <c r="M208" s="242">
        <v>2624</v>
      </c>
      <c r="N208" s="155">
        <f t="shared" si="32"/>
        <v>41.584297642586513</v>
      </c>
      <c r="O208" s="154">
        <f t="shared" si="26"/>
        <v>54.109375383936559</v>
      </c>
      <c r="P208" s="154">
        <f t="shared" si="27"/>
        <v>41.123125291791787</v>
      </c>
      <c r="Q208" s="154">
        <f t="shared" si="28"/>
        <v>49.780625353221637</v>
      </c>
      <c r="R208" s="154">
        <f t="shared" si="29"/>
        <v>61.68468793768767</v>
      </c>
      <c r="S208" s="154">
        <f t="shared" si="30"/>
        <v>70.342187999117527</v>
      </c>
      <c r="T208" s="29" t="str">
        <f t="shared" si="31"/>
        <v>B</v>
      </c>
      <c r="U208">
        <f>((SUM($J$30:J208)*L208/(M208*SUM($G$30:G208))))*10^6</f>
        <v>36.554544426801883</v>
      </c>
    </row>
    <row r="209" spans="2:21" ht="16.5" thickBot="1" x14ac:dyDescent="0.3">
      <c r="B209" s="13">
        <v>60</v>
      </c>
      <c r="C209" s="456"/>
      <c r="D209" s="456"/>
      <c r="E209" s="457"/>
      <c r="F209" s="54">
        <v>0.966666666666673</v>
      </c>
      <c r="G209" s="15">
        <f>'Testing DK9 (3)'!N215</f>
        <v>0.53317165327255756</v>
      </c>
      <c r="H209" s="153">
        <f>'Testing DK9 (3)'!BW215</f>
        <v>1.295337919867106E-2</v>
      </c>
      <c r="I209" s="247">
        <v>2.5000000000000001E-3</v>
      </c>
      <c r="J209" s="153">
        <f t="shared" si="24"/>
        <v>1.545337919867106E-2</v>
      </c>
      <c r="K209" s="31" t="s">
        <v>257</v>
      </c>
      <c r="L209" s="31">
        <v>3.206</v>
      </c>
      <c r="M209" s="242">
        <v>2624</v>
      </c>
      <c r="N209" s="155">
        <f t="shared" si="32"/>
        <v>35.412460027577609</v>
      </c>
      <c r="O209" s="154">
        <f t="shared" si="26"/>
        <v>54.109375383936559</v>
      </c>
      <c r="P209" s="154">
        <f t="shared" si="27"/>
        <v>41.123125291791787</v>
      </c>
      <c r="Q209" s="154">
        <f t="shared" si="28"/>
        <v>49.780625353221637</v>
      </c>
      <c r="R209" s="154">
        <f t="shared" si="29"/>
        <v>61.68468793768767</v>
      </c>
      <c r="S209" s="154">
        <f t="shared" si="30"/>
        <v>70.342187999117527</v>
      </c>
      <c r="T209" s="29" t="str">
        <f t="shared" si="31"/>
        <v>A</v>
      </c>
      <c r="U209">
        <f>((SUM($J$30:J209)*L209/(M209*SUM($G$30:G209))))*10^6</f>
        <v>36.544829456348594</v>
      </c>
    </row>
    <row r="210" spans="2:21" ht="16.5" thickBot="1" x14ac:dyDescent="0.3">
      <c r="B210" s="13">
        <v>61</v>
      </c>
      <c r="C210" s="456"/>
      <c r="D210" s="456"/>
      <c r="E210" s="457">
        <v>0.968750000000001</v>
      </c>
      <c r="F210" s="54">
        <v>0.968750000000006</v>
      </c>
      <c r="G210" s="15">
        <f>'Testing DK9 (3)'!N216</f>
        <v>0.49934822888928421</v>
      </c>
      <c r="H210" s="153">
        <f>'Testing DK9 (3)'!BW216</f>
        <v>1.0282906367414194E-2</v>
      </c>
      <c r="I210" s="247">
        <v>2.5000000000000001E-3</v>
      </c>
      <c r="J210" s="153">
        <f t="shared" si="24"/>
        <v>1.2782906367414195E-2</v>
      </c>
      <c r="K210" s="31" t="s">
        <v>257</v>
      </c>
      <c r="L210" s="31">
        <v>3.206</v>
      </c>
      <c r="M210" s="242">
        <v>2624</v>
      </c>
      <c r="N210" s="155">
        <f t="shared" si="32"/>
        <v>31.277049776538455</v>
      </c>
      <c r="O210" s="154">
        <f t="shared" si="26"/>
        <v>54.109375383936559</v>
      </c>
      <c r="P210" s="154">
        <f t="shared" si="27"/>
        <v>41.123125291791787</v>
      </c>
      <c r="Q210" s="154">
        <f t="shared" si="28"/>
        <v>49.780625353221637</v>
      </c>
      <c r="R210" s="154">
        <f t="shared" si="29"/>
        <v>61.68468793768767</v>
      </c>
      <c r="S210" s="154">
        <f t="shared" si="30"/>
        <v>70.342187999117527</v>
      </c>
      <c r="T210" s="29" t="str">
        <f t="shared" si="31"/>
        <v>A</v>
      </c>
      <c r="U210">
        <f>((SUM($J$30:J210)*L210/(M210*SUM($G$30:G210))))*10^6</f>
        <v>36.50319420842014</v>
      </c>
    </row>
    <row r="211" spans="2:21" ht="16.5" thickBot="1" x14ac:dyDescent="0.3">
      <c r="B211" s="13">
        <v>62</v>
      </c>
      <c r="C211" s="456"/>
      <c r="D211" s="456"/>
      <c r="E211" s="457"/>
      <c r="F211" s="54">
        <v>0.97083333333333899</v>
      </c>
      <c r="G211" s="15">
        <f>'Testing DK9 (3)'!N217</f>
        <v>0.26381965133246504</v>
      </c>
      <c r="H211" s="153">
        <f>'Testing DK9 (3)'!BW217</f>
        <v>1.4530533077090862E-3</v>
      </c>
      <c r="I211" s="247">
        <v>2.5000000000000001E-3</v>
      </c>
      <c r="J211" s="153">
        <f t="shared" si="24"/>
        <v>3.9530533077090863E-3</v>
      </c>
      <c r="K211" s="31" t="s">
        <v>257</v>
      </c>
      <c r="L211" s="31">
        <v>3.206</v>
      </c>
      <c r="M211" s="242">
        <v>2624</v>
      </c>
      <c r="N211" s="155">
        <f t="shared" si="32"/>
        <v>18.307338692051012</v>
      </c>
      <c r="O211" s="154">
        <f t="shared" si="26"/>
        <v>54.109375383936559</v>
      </c>
      <c r="P211" s="154">
        <f t="shared" si="27"/>
        <v>41.123125291791787</v>
      </c>
      <c r="Q211" s="154">
        <f t="shared" si="28"/>
        <v>49.780625353221637</v>
      </c>
      <c r="R211" s="154">
        <f t="shared" si="29"/>
        <v>61.68468793768767</v>
      </c>
      <c r="S211" s="154">
        <f t="shared" si="30"/>
        <v>70.342187999117527</v>
      </c>
      <c r="T211" s="29" t="str">
        <f t="shared" si="31"/>
        <v>A</v>
      </c>
      <c r="U211">
        <f>((SUM($J$30:J211)*L211/(M211*SUM($G$30:G211))))*10^6</f>
        <v>36.427528357607486</v>
      </c>
    </row>
    <row r="212" spans="2:21" ht="16.5" thickBot="1" x14ac:dyDescent="0.3">
      <c r="B212" s="13">
        <v>63</v>
      </c>
      <c r="C212" s="456"/>
      <c r="D212" s="456"/>
      <c r="E212" s="457"/>
      <c r="F212" s="54">
        <v>0.97291666666667298</v>
      </c>
      <c r="G212" s="15">
        <f>'Testing DK9 (3)'!N218</f>
        <v>0.36414857873775841</v>
      </c>
      <c r="H212" s="153">
        <f>'Testing DK9 (3)'!BW218</f>
        <v>3.8036503835710686E-3</v>
      </c>
      <c r="I212" s="247">
        <v>2.5000000000000001E-3</v>
      </c>
      <c r="J212" s="153">
        <f t="shared" si="24"/>
        <v>6.3036503835710682E-3</v>
      </c>
      <c r="K212" s="31" t="s">
        <v>257</v>
      </c>
      <c r="L212" s="31">
        <v>3.206</v>
      </c>
      <c r="M212" s="242">
        <v>2624</v>
      </c>
      <c r="N212" s="155">
        <f t="shared" si="32"/>
        <v>21.150137062089318</v>
      </c>
      <c r="O212" s="154">
        <f t="shared" si="26"/>
        <v>54.109375383936559</v>
      </c>
      <c r="P212" s="154">
        <f t="shared" si="27"/>
        <v>41.123125291791787</v>
      </c>
      <c r="Q212" s="154">
        <f t="shared" si="28"/>
        <v>49.780625353221637</v>
      </c>
      <c r="R212" s="154">
        <f t="shared" si="29"/>
        <v>61.68468793768767</v>
      </c>
      <c r="S212" s="154">
        <f t="shared" si="30"/>
        <v>70.342187999117527</v>
      </c>
      <c r="T212" s="29" t="str">
        <f t="shared" si="31"/>
        <v>A</v>
      </c>
      <c r="U212">
        <f>((SUM($J$30:J212)*L212/(M212*SUM($G$30:G212))))*10^6</f>
        <v>36.340339202239811</v>
      </c>
    </row>
    <row r="213" spans="2:21" ht="16.5" thickBot="1" x14ac:dyDescent="0.3">
      <c r="B213" s="13">
        <v>64</v>
      </c>
      <c r="C213" s="456"/>
      <c r="D213" s="456"/>
      <c r="E213" s="457"/>
      <c r="F213" s="54">
        <v>0.97500000000000597</v>
      </c>
      <c r="G213" s="15">
        <f>'Testing DK9 (3)'!N219</f>
        <v>0.28423201590613723</v>
      </c>
      <c r="H213" s="153">
        <f>'Testing DK9 (3)'!BW219</f>
        <v>1.8122547596029256E-3</v>
      </c>
      <c r="I213" s="247">
        <v>2.5000000000000001E-3</v>
      </c>
      <c r="J213" s="153">
        <f t="shared" si="24"/>
        <v>4.3122547596029254E-3</v>
      </c>
      <c r="K213" s="31" t="s">
        <v>257</v>
      </c>
      <c r="L213" s="31">
        <v>3.206</v>
      </c>
      <c r="M213" s="242">
        <v>2624</v>
      </c>
      <c r="N213" s="155">
        <f t="shared" si="32"/>
        <v>18.536643698067731</v>
      </c>
      <c r="O213" s="154">
        <f t="shared" si="26"/>
        <v>54.109375383936559</v>
      </c>
      <c r="P213" s="154">
        <f t="shared" si="27"/>
        <v>41.123125291791787</v>
      </c>
      <c r="Q213" s="154">
        <f t="shared" si="28"/>
        <v>49.780625353221637</v>
      </c>
      <c r="R213" s="154">
        <f t="shared" si="29"/>
        <v>61.68468793768767</v>
      </c>
      <c r="S213" s="154">
        <f t="shared" si="30"/>
        <v>70.342187999117527</v>
      </c>
      <c r="T213" s="29" t="str">
        <f t="shared" si="31"/>
        <v>A</v>
      </c>
      <c r="U213">
        <f>((SUM($J$30:J213)*L213/(M213*SUM($G$30:G213))))*10^6</f>
        <v>36.261382773792661</v>
      </c>
    </row>
    <row r="214" spans="2:21" ht="16.5" thickBot="1" x14ac:dyDescent="0.3">
      <c r="B214" s="13">
        <v>65</v>
      </c>
      <c r="C214" s="456"/>
      <c r="D214" s="456"/>
      <c r="E214" s="457"/>
      <c r="F214" s="54">
        <v>0.97708333333333997</v>
      </c>
      <c r="G214" s="15">
        <f>'Testing DK9 (3)'!N220</f>
        <v>5.9146743008212085E-2</v>
      </c>
      <c r="H214" s="153">
        <f>'Testing DK9 (3)'!BW220</f>
        <v>2.669572336245609E-5</v>
      </c>
      <c r="I214" s="247">
        <v>2.5000000000000001E-3</v>
      </c>
      <c r="J214" s="153">
        <f t="shared" si="24"/>
        <v>2.5266957233624561E-3</v>
      </c>
      <c r="K214" s="31" t="s">
        <v>257</v>
      </c>
      <c r="L214" s="31">
        <v>3.206</v>
      </c>
      <c r="M214" s="242">
        <v>2624</v>
      </c>
      <c r="N214" s="155">
        <f t="shared" si="32"/>
        <v>52.194146227787691</v>
      </c>
      <c r="O214" s="154">
        <f t="shared" si="26"/>
        <v>54.109375383936559</v>
      </c>
      <c r="P214" s="154">
        <f t="shared" si="27"/>
        <v>41.123125291791787</v>
      </c>
      <c r="Q214" s="154">
        <f t="shared" si="28"/>
        <v>49.780625353221637</v>
      </c>
      <c r="R214" s="154">
        <f t="shared" si="29"/>
        <v>61.68468793768767</v>
      </c>
      <c r="S214" s="154">
        <f t="shared" si="30"/>
        <v>70.342187999117527</v>
      </c>
      <c r="T214" s="29" t="str">
        <f t="shared" si="31"/>
        <v>C</v>
      </c>
      <c r="U214">
        <f>((SUM($J$30:J214)*L214/(M214*SUM($G$30:G214))))*10^6</f>
        <v>36.276072905083502</v>
      </c>
    </row>
    <row r="215" spans="2:21" ht="16.5" thickBot="1" x14ac:dyDescent="0.3">
      <c r="B215" s="13">
        <v>66</v>
      </c>
      <c r="C215" s="456"/>
      <c r="D215" s="456"/>
      <c r="E215" s="457">
        <v>0.97916666666666796</v>
      </c>
      <c r="F215" s="54">
        <v>0.97916666666667296</v>
      </c>
      <c r="G215" s="15">
        <f>'Testing DK9 (3)'!N221</f>
        <v>2.2577606909665645E-2</v>
      </c>
      <c r="H215" s="153">
        <f>'Testing DK9 (3)'!BW221</f>
        <v>1.7113605932336144E-6</v>
      </c>
      <c r="I215" s="247">
        <v>2.5000000000000001E-3</v>
      </c>
      <c r="J215" s="153">
        <f t="shared" ref="J215:J245" si="34">H215+I215</f>
        <v>2.5017113605932339E-3</v>
      </c>
      <c r="K215" s="31" t="s">
        <v>257</v>
      </c>
      <c r="L215" s="31">
        <v>3.206</v>
      </c>
      <c r="M215" s="242">
        <v>2624</v>
      </c>
      <c r="N215" s="155">
        <f t="shared" si="32"/>
        <v>135.38139368511867</v>
      </c>
      <c r="O215" s="154">
        <f t="shared" ref="O215:O245" si="35">2023*M215^(-0.46)</f>
        <v>54.109375383936559</v>
      </c>
      <c r="P215" s="154">
        <f t="shared" ref="P215:P245" si="36">0.76*O215</f>
        <v>41.123125291791787</v>
      </c>
      <c r="Q215" s="154">
        <f t="shared" ref="Q215:Q245" si="37">0.92*O215</f>
        <v>49.780625353221637</v>
      </c>
      <c r="R215" s="154">
        <f t="shared" ref="R215:R245" si="38">1.14*O215</f>
        <v>61.68468793768767</v>
      </c>
      <c r="S215" s="154">
        <f t="shared" ref="S215:S245" si="39">1.3*O215</f>
        <v>70.342187999117527</v>
      </c>
      <c r="T215" s="29" t="str">
        <f t="shared" ref="T215:T245" si="40">IF(N215&lt;=P215,"A",IF((AND(N215&lt;=Q215,N215&gt;P215)),"B",IF((AND(N215&lt;=O215,N215&gt;Q215)),"C",IF((AND(N215&lt;=R215,N215&gt;O215)),"D","E"))))</f>
        <v>E</v>
      </c>
      <c r="U215">
        <f>((SUM($J$30:J215)*L215/(M215*SUM($G$30:G215))))*10^6</f>
        <v>36.310940804933153</v>
      </c>
    </row>
    <row r="216" spans="2:21" ht="16.5" thickBot="1" x14ac:dyDescent="0.3">
      <c r="B216" s="13">
        <v>67</v>
      </c>
      <c r="C216" s="456"/>
      <c r="D216" s="456"/>
      <c r="E216" s="457"/>
      <c r="F216" s="54">
        <v>0.98125000000000695</v>
      </c>
      <c r="G216" s="15">
        <f>'Testing DK9 (3)'!N222</f>
        <v>0.76096773010866747</v>
      </c>
      <c r="H216" s="153">
        <f>'Testing DK9 (3)'!BW222</f>
        <v>6.7122779853902109E-2</v>
      </c>
      <c r="I216" s="247">
        <v>2.5000000000000001E-3</v>
      </c>
      <c r="J216" s="153">
        <f t="shared" si="34"/>
        <v>6.9622779853902111E-2</v>
      </c>
      <c r="K216" s="31" t="s">
        <v>257</v>
      </c>
      <c r="L216" s="31">
        <v>3.206</v>
      </c>
      <c r="M216" s="242">
        <v>2624</v>
      </c>
      <c r="N216" s="155">
        <f t="shared" si="32"/>
        <v>111.78532827866576</v>
      </c>
      <c r="O216" s="154">
        <f t="shared" si="35"/>
        <v>54.109375383936559</v>
      </c>
      <c r="P216" s="154">
        <f t="shared" si="36"/>
        <v>41.123125291791787</v>
      </c>
      <c r="Q216" s="154">
        <f t="shared" si="37"/>
        <v>49.780625353221637</v>
      </c>
      <c r="R216" s="154">
        <f t="shared" si="38"/>
        <v>61.68468793768767</v>
      </c>
      <c r="S216" s="154">
        <f t="shared" si="39"/>
        <v>70.342187999117527</v>
      </c>
      <c r="T216" s="29" t="str">
        <f t="shared" si="40"/>
        <v>E</v>
      </c>
      <c r="U216">
        <f>((SUM($J$30:J216)*L216/(M216*SUM($G$30:G216))))*10^6</f>
        <v>37.19543932742144</v>
      </c>
    </row>
    <row r="217" spans="2:21" ht="16.5" thickBot="1" x14ac:dyDescent="0.3">
      <c r="B217" s="13">
        <v>68</v>
      </c>
      <c r="C217" s="456"/>
      <c r="D217" s="456"/>
      <c r="E217" s="457"/>
      <c r="F217" s="54">
        <v>0.98333333333334005</v>
      </c>
      <c r="G217" s="15">
        <f>'Testing DK9 (3)'!N223</f>
        <v>0.50775905716714564</v>
      </c>
      <c r="H217" s="153">
        <f>'Testing DK9 (3)'!BW223</f>
        <v>1.0889918951072662E-2</v>
      </c>
      <c r="I217" s="247">
        <v>2.5000000000000001E-3</v>
      </c>
      <c r="J217" s="153">
        <f t="shared" si="34"/>
        <v>1.3389918951072662E-2</v>
      </c>
      <c r="K217" s="31" t="s">
        <v>257</v>
      </c>
      <c r="L217" s="31">
        <v>3.206</v>
      </c>
      <c r="M217" s="242">
        <v>2624</v>
      </c>
      <c r="N217" s="155">
        <f t="shared" ref="N217:N245" si="41">((J217*L217)/(M217*G217))*10^6</f>
        <v>32.219586070063471</v>
      </c>
      <c r="O217" s="154">
        <f t="shared" si="35"/>
        <v>54.109375383936559</v>
      </c>
      <c r="P217" s="154">
        <f t="shared" si="36"/>
        <v>41.123125291791787</v>
      </c>
      <c r="Q217" s="154">
        <f t="shared" si="37"/>
        <v>49.780625353221637</v>
      </c>
      <c r="R217" s="154">
        <f t="shared" si="38"/>
        <v>61.68468793768767</v>
      </c>
      <c r="S217" s="154">
        <f t="shared" si="39"/>
        <v>70.342187999117527</v>
      </c>
      <c r="T217" s="29" t="str">
        <f t="shared" si="40"/>
        <v>A</v>
      </c>
      <c r="U217">
        <f>((SUM($J$30:J217)*L217/(M217*SUM($G$30:G217))))*10^6</f>
        <v>37.156831649381481</v>
      </c>
    </row>
    <row r="218" spans="2:21" ht="16.5" thickBot="1" x14ac:dyDescent="0.3">
      <c r="B218" s="13">
        <v>69</v>
      </c>
      <c r="C218" s="456"/>
      <c r="D218" s="456"/>
      <c r="E218" s="457"/>
      <c r="F218" s="54">
        <v>0.98541666666667405</v>
      </c>
      <c r="G218" s="15">
        <f>'Testing DK9 (3)'!N224</f>
        <v>0.45888938328674883</v>
      </c>
      <c r="H218" s="153">
        <f>'Testing DK9 (3)'!BW224</f>
        <v>7.7803845388932751E-3</v>
      </c>
      <c r="I218" s="247">
        <v>2.5000000000000001E-3</v>
      </c>
      <c r="J218" s="153">
        <f t="shared" si="34"/>
        <v>1.0280384538893276E-2</v>
      </c>
      <c r="K218" s="31" t="s">
        <v>257</v>
      </c>
      <c r="L218" s="31">
        <v>3.206</v>
      </c>
      <c r="M218" s="242">
        <v>2624</v>
      </c>
      <c r="N218" s="155">
        <f t="shared" si="41"/>
        <v>27.371653714456713</v>
      </c>
      <c r="O218" s="154">
        <f t="shared" si="35"/>
        <v>54.109375383936559</v>
      </c>
      <c r="P218" s="154">
        <f t="shared" si="36"/>
        <v>41.123125291791787</v>
      </c>
      <c r="Q218" s="154">
        <f t="shared" si="37"/>
        <v>49.780625353221637</v>
      </c>
      <c r="R218" s="154">
        <f t="shared" si="38"/>
        <v>61.68468793768767</v>
      </c>
      <c r="S218" s="154">
        <f t="shared" si="39"/>
        <v>70.342187999117527</v>
      </c>
      <c r="T218" s="29" t="str">
        <f t="shared" si="40"/>
        <v>A</v>
      </c>
      <c r="U218">
        <f>((SUM($J$30:J218)*L218/(M218*SUM($G$30:G218))))*10^6</f>
        <v>37.088693484907978</v>
      </c>
    </row>
    <row r="219" spans="2:21" ht="16.5" thickBot="1" x14ac:dyDescent="0.3">
      <c r="B219" s="13">
        <v>70</v>
      </c>
      <c r="C219" s="456"/>
      <c r="D219" s="456"/>
      <c r="E219" s="457"/>
      <c r="F219" s="54">
        <v>0.98750000000000704</v>
      </c>
      <c r="G219" s="15">
        <f>'Testing DK9 (3)'!N225</f>
        <v>0.43143675052575658</v>
      </c>
      <c r="H219" s="153">
        <f>'Testing DK9 (3)'!BW225</f>
        <v>6.3988031393962808E-3</v>
      </c>
      <c r="I219" s="247">
        <v>2.5000000000000001E-3</v>
      </c>
      <c r="J219" s="153">
        <f t="shared" si="34"/>
        <v>8.8988031393962812E-3</v>
      </c>
      <c r="K219" s="31" t="s">
        <v>257</v>
      </c>
      <c r="L219" s="31">
        <v>3.206</v>
      </c>
      <c r="M219" s="242">
        <v>2624</v>
      </c>
      <c r="N219" s="155">
        <f t="shared" si="41"/>
        <v>25.200789710811478</v>
      </c>
      <c r="O219" s="154">
        <f t="shared" si="35"/>
        <v>54.109375383936559</v>
      </c>
      <c r="P219" s="154">
        <f t="shared" si="36"/>
        <v>41.123125291791787</v>
      </c>
      <c r="Q219" s="154">
        <f t="shared" si="37"/>
        <v>49.780625353221637</v>
      </c>
      <c r="R219" s="154">
        <f t="shared" si="38"/>
        <v>61.68468793768767</v>
      </c>
      <c r="S219" s="154">
        <f t="shared" si="39"/>
        <v>70.342187999117527</v>
      </c>
      <c r="T219" s="29" t="str">
        <f t="shared" si="40"/>
        <v>A</v>
      </c>
      <c r="U219">
        <f>((SUM($J$30:J219)*L219/(M219*SUM($G$30:G219))))*10^6</f>
        <v>37.01137165451938</v>
      </c>
    </row>
    <row r="220" spans="2:21" ht="16.5" thickBot="1" x14ac:dyDescent="0.3">
      <c r="B220" s="13">
        <v>71</v>
      </c>
      <c r="C220" s="456"/>
      <c r="D220" s="456"/>
      <c r="E220" s="457">
        <v>0.98958333333333504</v>
      </c>
      <c r="F220" s="54">
        <v>0.98958333333334003</v>
      </c>
      <c r="G220" s="15">
        <f>'Testing DK9 (3)'!N226</f>
        <v>0.37445428497731842</v>
      </c>
      <c r="H220" s="153">
        <f>'Testing DK9 (3)'!BW226</f>
        <v>4.1391363359017134E-3</v>
      </c>
      <c r="I220" s="247">
        <v>2.5000000000000001E-3</v>
      </c>
      <c r="J220" s="153">
        <f t="shared" si="34"/>
        <v>6.639136335901713E-3</v>
      </c>
      <c r="K220" s="31" t="s">
        <v>257</v>
      </c>
      <c r="L220" s="31">
        <v>3.206</v>
      </c>
      <c r="M220" s="242">
        <v>2624</v>
      </c>
      <c r="N220" s="155">
        <f t="shared" si="41"/>
        <v>21.662694230320611</v>
      </c>
      <c r="O220" s="154">
        <f t="shared" si="35"/>
        <v>54.109375383936559</v>
      </c>
      <c r="P220" s="154">
        <f t="shared" si="36"/>
        <v>41.123125291791787</v>
      </c>
      <c r="Q220" s="154">
        <f t="shared" si="37"/>
        <v>49.780625353221637</v>
      </c>
      <c r="R220" s="154">
        <f t="shared" si="38"/>
        <v>61.68468793768767</v>
      </c>
      <c r="S220" s="154">
        <f t="shared" si="39"/>
        <v>70.342187999117527</v>
      </c>
      <c r="T220" s="29" t="str">
        <f t="shared" si="40"/>
        <v>A</v>
      </c>
      <c r="U220">
        <f>((SUM($J$30:J220)*L220/(M220*SUM($G$30:G220))))*10^6</f>
        <v>36.925211852574932</v>
      </c>
    </row>
    <row r="221" spans="2:21" ht="16.5" thickBot="1" x14ac:dyDescent="0.3">
      <c r="B221" s="13">
        <v>72</v>
      </c>
      <c r="C221" s="456"/>
      <c r="D221" s="456"/>
      <c r="E221" s="457"/>
      <c r="F221" s="54">
        <v>0.99166666666667402</v>
      </c>
      <c r="G221" s="15">
        <f>'Testing DK9 (3)'!N227</f>
        <v>0.5226723851847126</v>
      </c>
      <c r="H221" s="153">
        <f>'Testing DK9 (3)'!BW227</f>
        <v>1.2055778542579597E-2</v>
      </c>
      <c r="I221" s="247">
        <v>2.5000000000000001E-3</v>
      </c>
      <c r="J221" s="153">
        <f t="shared" si="34"/>
        <v>1.4555778542579598E-2</v>
      </c>
      <c r="K221" s="31" t="s">
        <v>257</v>
      </c>
      <c r="L221" s="31">
        <v>3.206</v>
      </c>
      <c r="M221" s="242">
        <v>2624</v>
      </c>
      <c r="N221" s="155">
        <f t="shared" si="41"/>
        <v>34.02558271007441</v>
      </c>
      <c r="O221" s="154">
        <f t="shared" si="35"/>
        <v>54.109375383936559</v>
      </c>
      <c r="P221" s="154">
        <f t="shared" si="36"/>
        <v>41.123125291791787</v>
      </c>
      <c r="Q221" s="154">
        <f t="shared" si="37"/>
        <v>49.780625353221637</v>
      </c>
      <c r="R221" s="154">
        <f t="shared" si="38"/>
        <v>61.68468793768767</v>
      </c>
      <c r="S221" s="154">
        <f t="shared" si="39"/>
        <v>70.342187999117527</v>
      </c>
      <c r="T221" s="29" t="str">
        <f t="shared" si="40"/>
        <v>A</v>
      </c>
      <c r="U221">
        <f>((SUM($J$30:J221)*L221/(M221*SUM($G$30:G221))))*10^6</f>
        <v>36.902668562200581</v>
      </c>
    </row>
    <row r="222" spans="2:21" ht="16.5" thickBot="1" x14ac:dyDescent="0.3">
      <c r="B222" s="13">
        <v>73</v>
      </c>
      <c r="C222" s="456"/>
      <c r="D222" s="456"/>
      <c r="E222" s="457"/>
      <c r="F222" s="54">
        <v>0.99375000000000702</v>
      </c>
      <c r="G222" s="15">
        <f>'Testing DK9 (3)'!N228</f>
        <v>0.48465622695341265</v>
      </c>
      <c r="H222" s="153">
        <f>'Testing DK9 (3)'!BW228</f>
        <v>9.2998580879319215E-3</v>
      </c>
      <c r="I222" s="247">
        <v>2.5000000000000001E-3</v>
      </c>
      <c r="J222" s="153">
        <f t="shared" si="34"/>
        <v>1.1799858087931922E-2</v>
      </c>
      <c r="K222" s="31" t="s">
        <v>257</v>
      </c>
      <c r="L222" s="31">
        <v>3.206</v>
      </c>
      <c r="M222" s="242">
        <v>2624</v>
      </c>
      <c r="N222" s="155">
        <f t="shared" si="41"/>
        <v>29.746965828523678</v>
      </c>
      <c r="O222" s="154">
        <f t="shared" si="35"/>
        <v>54.109375383936559</v>
      </c>
      <c r="P222" s="154">
        <f t="shared" si="36"/>
        <v>41.123125291791787</v>
      </c>
      <c r="Q222" s="154">
        <f t="shared" si="37"/>
        <v>49.780625353221637</v>
      </c>
      <c r="R222" s="154">
        <f t="shared" si="38"/>
        <v>61.68468793768767</v>
      </c>
      <c r="S222" s="154">
        <f t="shared" si="39"/>
        <v>70.342187999117527</v>
      </c>
      <c r="T222" s="29" t="str">
        <f t="shared" si="40"/>
        <v>A</v>
      </c>
      <c r="U222">
        <f>((SUM($J$30:J222)*L222/(M222*SUM($G$30:G222))))*10^6</f>
        <v>36.851451843087176</v>
      </c>
    </row>
    <row r="223" spans="2:21" ht="16.5" thickBot="1" x14ac:dyDescent="0.3">
      <c r="B223" s="13">
        <v>74</v>
      </c>
      <c r="C223" s="456"/>
      <c r="D223" s="456"/>
      <c r="E223" s="457"/>
      <c r="F223" s="54">
        <v>0.99583333333334101</v>
      </c>
      <c r="G223" s="15">
        <f>'Testing DK9 (3)'!N229</f>
        <v>0.55587888924741413</v>
      </c>
      <c r="H223" s="153">
        <f>'Testing DK9 (3)'!BW229</f>
        <v>1.5149367963599322E-2</v>
      </c>
      <c r="I223" s="247">
        <v>2.5000000000000001E-3</v>
      </c>
      <c r="J223" s="153">
        <f t="shared" si="34"/>
        <v>1.7649367963599321E-2</v>
      </c>
      <c r="K223" s="31" t="s">
        <v>257</v>
      </c>
      <c r="L223" s="31">
        <v>3.206</v>
      </c>
      <c r="M223" s="242">
        <v>2624</v>
      </c>
      <c r="N223" s="155">
        <f t="shared" si="41"/>
        <v>38.792579951184919</v>
      </c>
      <c r="O223" s="154">
        <f t="shared" si="35"/>
        <v>54.109375383936559</v>
      </c>
      <c r="P223" s="154">
        <f t="shared" si="36"/>
        <v>41.123125291791787</v>
      </c>
      <c r="Q223" s="154">
        <f t="shared" si="37"/>
        <v>49.780625353221637</v>
      </c>
      <c r="R223" s="154">
        <f t="shared" si="38"/>
        <v>61.68468793768767</v>
      </c>
      <c r="S223" s="154">
        <f t="shared" si="39"/>
        <v>70.342187999117527</v>
      </c>
      <c r="T223" s="29" t="str">
        <f t="shared" si="40"/>
        <v>A</v>
      </c>
      <c r="U223">
        <f>((SUM($J$30:J223)*L223/(M223*SUM($G$30:G223))))*10^6</f>
        <v>36.867257383499016</v>
      </c>
    </row>
    <row r="224" spans="2:21" ht="16.5" thickBot="1" x14ac:dyDescent="0.3">
      <c r="B224" s="13">
        <v>75</v>
      </c>
      <c r="C224" s="456"/>
      <c r="D224" s="456"/>
      <c r="E224" s="457"/>
      <c r="F224" s="54">
        <v>0.997916666666674</v>
      </c>
      <c r="G224" s="15">
        <f>'Testing DK9 (3)'!N230</f>
        <v>0.46245904803953974</v>
      </c>
      <c r="H224" s="153">
        <f>'Testing DK9 (3)'!BW230</f>
        <v>7.9769494944566532E-3</v>
      </c>
      <c r="I224" s="247">
        <v>2.5000000000000001E-3</v>
      </c>
      <c r="J224" s="153">
        <f t="shared" si="34"/>
        <v>1.0476949494456654E-2</v>
      </c>
      <c r="K224" s="31" t="s">
        <v>257</v>
      </c>
      <c r="L224" s="31">
        <v>3.206</v>
      </c>
      <c r="M224" s="242">
        <v>2624</v>
      </c>
      <c r="N224" s="155">
        <f t="shared" si="41"/>
        <v>27.679692223180407</v>
      </c>
      <c r="O224" s="154">
        <f t="shared" si="35"/>
        <v>54.109375383936559</v>
      </c>
      <c r="P224" s="154">
        <f t="shared" si="36"/>
        <v>41.123125291791787</v>
      </c>
      <c r="Q224" s="154">
        <f t="shared" si="37"/>
        <v>49.780625353221637</v>
      </c>
      <c r="R224" s="154">
        <f t="shared" si="38"/>
        <v>61.68468793768767</v>
      </c>
      <c r="S224" s="154">
        <f t="shared" si="39"/>
        <v>70.342187999117527</v>
      </c>
      <c r="T224" s="29" t="str">
        <f t="shared" si="40"/>
        <v>A</v>
      </c>
      <c r="U224">
        <f>((SUM($J$30:J224)*L224/(M224*SUM($G$30:G224))))*10^6</f>
        <v>36.805439138517414</v>
      </c>
    </row>
    <row r="225" spans="2:21" ht="16.5" thickBot="1" x14ac:dyDescent="0.3">
      <c r="B225" s="13">
        <v>76</v>
      </c>
      <c r="C225" s="456"/>
      <c r="D225" s="456"/>
      <c r="E225" s="457">
        <v>1</v>
      </c>
      <c r="F225" s="54">
        <v>1.00000000000001</v>
      </c>
      <c r="G225" s="15">
        <f>'Testing DK9 (3)'!N231</f>
        <v>0.46501299257744377</v>
      </c>
      <c r="H225" s="153">
        <f>'Testing DK9 (3)'!BW231</f>
        <v>8.1201847080513492E-3</v>
      </c>
      <c r="I225" s="247">
        <v>2.5000000000000001E-3</v>
      </c>
      <c r="J225" s="153">
        <f t="shared" si="34"/>
        <v>1.062018470805135E-2</v>
      </c>
      <c r="K225" s="31" t="s">
        <v>257</v>
      </c>
      <c r="L225" s="31">
        <v>3.206</v>
      </c>
      <c r="M225" s="242">
        <v>2624</v>
      </c>
      <c r="N225" s="155">
        <f t="shared" si="41"/>
        <v>27.904013289889704</v>
      </c>
      <c r="O225" s="154">
        <f t="shared" si="35"/>
        <v>54.109375383936559</v>
      </c>
      <c r="P225" s="154">
        <f t="shared" si="36"/>
        <v>41.123125291791787</v>
      </c>
      <c r="Q225" s="154">
        <f t="shared" si="37"/>
        <v>49.780625353221637</v>
      </c>
      <c r="R225" s="154">
        <f t="shared" si="38"/>
        <v>61.68468793768767</v>
      </c>
      <c r="S225" s="154">
        <f t="shared" si="39"/>
        <v>70.342187999117527</v>
      </c>
      <c r="T225" s="29" t="str">
        <f t="shared" si="40"/>
        <v>A</v>
      </c>
      <c r="U225">
        <f>((SUM($J$30:J225)*L225/(M225*SUM($G$30:G225))))*10^6</f>
        <v>36.745620125302899</v>
      </c>
    </row>
    <row r="226" spans="2:21" ht="16.5" thickBot="1" x14ac:dyDescent="0.3">
      <c r="B226" s="13">
        <v>77</v>
      </c>
      <c r="C226" s="456"/>
      <c r="D226" s="456"/>
      <c r="E226" s="457"/>
      <c r="F226" s="54">
        <v>1.0020833333333401</v>
      </c>
      <c r="G226" s="15">
        <f>'Testing DK9 (3)'!N232</f>
        <v>0.30598170733728641</v>
      </c>
      <c r="H226" s="153">
        <f>'Testing DK9 (3)'!BW232</f>
        <v>2.2567530623842087E-3</v>
      </c>
      <c r="I226" s="247">
        <v>2.5000000000000001E-3</v>
      </c>
      <c r="J226" s="153">
        <f t="shared" si="34"/>
        <v>4.7567530623842088E-3</v>
      </c>
      <c r="K226" s="31" t="s">
        <v>257</v>
      </c>
      <c r="L226" s="31">
        <v>3.206</v>
      </c>
      <c r="M226" s="242">
        <v>2624</v>
      </c>
      <c r="N226" s="155">
        <f t="shared" si="41"/>
        <v>18.993929870115611</v>
      </c>
      <c r="O226" s="154">
        <f t="shared" si="35"/>
        <v>54.109375383936559</v>
      </c>
      <c r="P226" s="154">
        <f t="shared" si="36"/>
        <v>41.123125291791787</v>
      </c>
      <c r="Q226" s="154">
        <f t="shared" si="37"/>
        <v>49.780625353221637</v>
      </c>
      <c r="R226" s="154">
        <f t="shared" si="38"/>
        <v>61.68468793768767</v>
      </c>
      <c r="S226" s="154">
        <f t="shared" si="39"/>
        <v>70.342187999117527</v>
      </c>
      <c r="T226" s="29" t="str">
        <f t="shared" si="40"/>
        <v>A</v>
      </c>
      <c r="U226">
        <f>((SUM($J$30:J226)*L226/(M226*SUM($G$30:G226))))*10^6</f>
        <v>36.667469298771294</v>
      </c>
    </row>
    <row r="227" spans="2:21" ht="16.5" thickBot="1" x14ac:dyDescent="0.3">
      <c r="B227" s="13">
        <v>78</v>
      </c>
      <c r="C227" s="456"/>
      <c r="D227" s="456"/>
      <c r="E227" s="457"/>
      <c r="F227" s="54">
        <v>1.00416666666667</v>
      </c>
      <c r="G227" s="15">
        <f>'Testing DK9 (3)'!N233</f>
        <v>0.35902717640629633</v>
      </c>
      <c r="H227" s="153">
        <f>'Testing DK9 (3)'!BW233</f>
        <v>3.6443292982288144E-3</v>
      </c>
      <c r="I227" s="247">
        <v>2.5000000000000001E-3</v>
      </c>
      <c r="J227" s="153">
        <f t="shared" si="34"/>
        <v>6.1443292982288145E-3</v>
      </c>
      <c r="K227" s="31" t="s">
        <v>257</v>
      </c>
      <c r="L227" s="31">
        <v>3.206</v>
      </c>
      <c r="M227" s="242">
        <v>2624</v>
      </c>
      <c r="N227" s="155">
        <f t="shared" si="41"/>
        <v>20.909654022947667</v>
      </c>
      <c r="O227" s="154">
        <f t="shared" si="35"/>
        <v>54.109375383936559</v>
      </c>
      <c r="P227" s="154">
        <f t="shared" si="36"/>
        <v>41.123125291791787</v>
      </c>
      <c r="Q227" s="154">
        <f t="shared" si="37"/>
        <v>49.780625353221637</v>
      </c>
      <c r="R227" s="154">
        <f t="shared" si="38"/>
        <v>61.68468793768767</v>
      </c>
      <c r="S227" s="154">
        <f t="shared" si="39"/>
        <v>70.342187999117527</v>
      </c>
      <c r="T227" s="29" t="str">
        <f t="shared" si="40"/>
        <v>A</v>
      </c>
      <c r="U227">
        <f>((SUM($J$30:J227)*L227/(M227*SUM($G$30:G227))))*10^6</f>
        <v>36.586488121423322</v>
      </c>
    </row>
    <row r="228" spans="2:21" ht="16.5" thickBot="1" x14ac:dyDescent="0.3">
      <c r="B228" s="13">
        <v>79</v>
      </c>
      <c r="C228" s="456"/>
      <c r="D228" s="456"/>
      <c r="E228" s="457"/>
      <c r="F228" s="54">
        <v>1.0062500000000101</v>
      </c>
      <c r="G228" s="15">
        <f>'Testing DK9 (3)'!N234</f>
        <v>0.31890414594921113</v>
      </c>
      <c r="H228" s="153">
        <f>'Testing DK9 (3)'!BW234</f>
        <v>2.5533013195380067E-3</v>
      </c>
      <c r="I228" s="247">
        <v>2.5000000000000001E-3</v>
      </c>
      <c r="J228" s="153">
        <f t="shared" si="34"/>
        <v>5.0533013195380068E-3</v>
      </c>
      <c r="K228" s="31" t="s">
        <v>257</v>
      </c>
      <c r="L228" s="31">
        <v>3.206</v>
      </c>
      <c r="M228" s="242">
        <v>2624</v>
      </c>
      <c r="N228" s="155">
        <f t="shared" si="41"/>
        <v>19.3604174422751</v>
      </c>
      <c r="O228" s="154">
        <f t="shared" si="35"/>
        <v>54.109375383936559</v>
      </c>
      <c r="P228" s="154">
        <f t="shared" si="36"/>
        <v>41.123125291791787</v>
      </c>
      <c r="Q228" s="154">
        <f t="shared" si="37"/>
        <v>49.780625353221637</v>
      </c>
      <c r="R228" s="154">
        <f t="shared" si="38"/>
        <v>61.68468793768767</v>
      </c>
      <c r="S228" s="154">
        <f t="shared" si="39"/>
        <v>70.342187999117527</v>
      </c>
      <c r="T228" s="29" t="str">
        <f t="shared" si="40"/>
        <v>A</v>
      </c>
      <c r="U228">
        <f>((SUM($J$30:J228)*L228/(M228*SUM($G$30:G228))))*10^6</f>
        <v>36.508212018532888</v>
      </c>
    </row>
    <row r="229" spans="2:21" ht="16.5" thickBot="1" x14ac:dyDescent="0.3">
      <c r="B229" s="13">
        <v>80</v>
      </c>
      <c r="C229" s="456"/>
      <c r="D229" s="456"/>
      <c r="E229" s="457"/>
      <c r="F229" s="54">
        <v>1.00833333333334</v>
      </c>
      <c r="G229" s="15">
        <f>'Testing DK9 (3)'!N235</f>
        <v>0.35939659448436301</v>
      </c>
      <c r="H229" s="153">
        <f>'Testing DK9 (3)'!BW235</f>
        <v>3.6556607366603397E-3</v>
      </c>
      <c r="I229" s="247">
        <v>2.5000000000000001E-3</v>
      </c>
      <c r="J229" s="153">
        <f t="shared" si="34"/>
        <v>6.1556607366603398E-3</v>
      </c>
      <c r="K229" s="31" t="s">
        <v>257</v>
      </c>
      <c r="L229" s="31">
        <v>3.206</v>
      </c>
      <c r="M229" s="242">
        <v>2624</v>
      </c>
      <c r="N229" s="155">
        <f t="shared" si="41"/>
        <v>20.926683492754954</v>
      </c>
      <c r="O229" s="154">
        <f t="shared" si="35"/>
        <v>54.109375383936559</v>
      </c>
      <c r="P229" s="154">
        <f t="shared" si="36"/>
        <v>41.123125291791787</v>
      </c>
      <c r="Q229" s="154">
        <f t="shared" si="37"/>
        <v>49.780625353221637</v>
      </c>
      <c r="R229" s="154">
        <f t="shared" si="38"/>
        <v>61.68468793768767</v>
      </c>
      <c r="S229" s="154">
        <f t="shared" si="39"/>
        <v>70.342187999117527</v>
      </c>
      <c r="T229" s="29" t="str">
        <f t="shared" si="40"/>
        <v>A</v>
      </c>
      <c r="U229">
        <f>((SUM($J$30:J229)*L229/(M229*SUM($G$30:G229))))*10^6</f>
        <v>36.428825187703097</v>
      </c>
    </row>
    <row r="230" spans="2:21" ht="16.5" thickBot="1" x14ac:dyDescent="0.3">
      <c r="B230" s="13">
        <v>81</v>
      </c>
      <c r="C230" s="456"/>
      <c r="D230" s="456"/>
      <c r="E230" s="457">
        <v>1.0104166666666701</v>
      </c>
      <c r="F230" s="54">
        <v>1.0104166666666701</v>
      </c>
      <c r="G230" s="15">
        <f>'Testing DK9 (3)'!N236</f>
        <v>0.37038506970091301</v>
      </c>
      <c r="H230" s="153">
        <f>'Testing DK9 (3)'!BW236</f>
        <v>4.0042526583243167E-3</v>
      </c>
      <c r="I230" s="247">
        <v>2.5000000000000001E-3</v>
      </c>
      <c r="J230" s="153">
        <f t="shared" si="34"/>
        <v>6.5042526583243172E-3</v>
      </c>
      <c r="K230" s="31" t="s">
        <v>257</v>
      </c>
      <c r="L230" s="31">
        <v>3.206</v>
      </c>
      <c r="M230" s="242">
        <v>2624</v>
      </c>
      <c r="N230" s="155">
        <f t="shared" si="41"/>
        <v>21.455745968222608</v>
      </c>
      <c r="O230" s="154">
        <f t="shared" si="35"/>
        <v>54.109375383936559</v>
      </c>
      <c r="P230" s="154">
        <f t="shared" si="36"/>
        <v>41.123125291791787</v>
      </c>
      <c r="Q230" s="154">
        <f t="shared" si="37"/>
        <v>49.780625353221637</v>
      </c>
      <c r="R230" s="154">
        <f t="shared" si="38"/>
        <v>61.68468793768767</v>
      </c>
      <c r="S230" s="154">
        <f t="shared" si="39"/>
        <v>70.342187999117527</v>
      </c>
      <c r="T230" s="29" t="str">
        <f t="shared" si="40"/>
        <v>A</v>
      </c>
      <c r="U230">
        <f>((SUM($J$30:J230)*L230/(M230*SUM($G$30:G230))))*10^6</f>
        <v>36.350616561970234</v>
      </c>
    </row>
    <row r="231" spans="2:21" ht="16.5" thickBot="1" x14ac:dyDescent="0.3">
      <c r="B231" s="13">
        <v>82</v>
      </c>
      <c r="C231" s="456"/>
      <c r="D231" s="456"/>
      <c r="E231" s="457"/>
      <c r="F231" s="54">
        <v>1.0125000000000099</v>
      </c>
      <c r="G231" s="15">
        <f>'Testing DK9 (3)'!N237</f>
        <v>0.44488665074620054</v>
      </c>
      <c r="H231" s="153">
        <f>'Testing DK9 (3)'!BW237</f>
        <v>7.0481523322727304E-3</v>
      </c>
      <c r="I231" s="247">
        <v>2.5000000000000001E-3</v>
      </c>
      <c r="J231" s="153">
        <f t="shared" si="34"/>
        <v>9.5481523322727309E-3</v>
      </c>
      <c r="K231" s="31" t="s">
        <v>257</v>
      </c>
      <c r="L231" s="31">
        <v>3.206</v>
      </c>
      <c r="M231" s="242">
        <v>2624</v>
      </c>
      <c r="N231" s="155">
        <f t="shared" si="41"/>
        <v>26.222231788514151</v>
      </c>
      <c r="O231" s="154">
        <f t="shared" si="35"/>
        <v>54.109375383936559</v>
      </c>
      <c r="P231" s="154">
        <f t="shared" si="36"/>
        <v>41.123125291791787</v>
      </c>
      <c r="Q231" s="154">
        <f t="shared" si="37"/>
        <v>49.780625353221637</v>
      </c>
      <c r="R231" s="154">
        <f t="shared" si="38"/>
        <v>61.68468793768767</v>
      </c>
      <c r="S231" s="154">
        <f t="shared" si="39"/>
        <v>70.342187999117527</v>
      </c>
      <c r="T231" s="29" t="str">
        <f t="shared" si="40"/>
        <v>A</v>
      </c>
      <c r="U231">
        <f>((SUM($J$30:J231)*L231/(M231*SUM($G$30:G231))))*10^6</f>
        <v>36.287468008506686</v>
      </c>
    </row>
    <row r="232" spans="2:21" ht="16.5" thickBot="1" x14ac:dyDescent="0.3">
      <c r="B232" s="13">
        <v>83</v>
      </c>
      <c r="C232" s="456"/>
      <c r="D232" s="456"/>
      <c r="E232" s="457"/>
      <c r="F232" s="54">
        <v>1.0145833333333401</v>
      </c>
      <c r="G232" s="15">
        <f>'Testing DK9 (3)'!N238</f>
        <v>0.34907880626771354</v>
      </c>
      <c r="H232" s="153">
        <f>'Testing DK9 (3)'!BW238</f>
        <v>3.3483728034690644E-3</v>
      </c>
      <c r="I232" s="247">
        <v>2.5000000000000001E-3</v>
      </c>
      <c r="J232" s="153">
        <f t="shared" si="34"/>
        <v>5.8483728034690648E-3</v>
      </c>
      <c r="K232" s="31" t="s">
        <v>257</v>
      </c>
      <c r="L232" s="31">
        <v>3.206</v>
      </c>
      <c r="M232" s="242">
        <v>2624</v>
      </c>
      <c r="N232" s="155">
        <f t="shared" si="41"/>
        <v>20.469689453551453</v>
      </c>
      <c r="O232" s="154">
        <f t="shared" si="35"/>
        <v>54.109375383936559</v>
      </c>
      <c r="P232" s="154">
        <f t="shared" si="36"/>
        <v>41.123125291791787</v>
      </c>
      <c r="Q232" s="154">
        <f t="shared" si="37"/>
        <v>49.780625353221637</v>
      </c>
      <c r="R232" s="154">
        <f t="shared" si="38"/>
        <v>61.68468793768767</v>
      </c>
      <c r="S232" s="154">
        <f t="shared" si="39"/>
        <v>70.342187999117527</v>
      </c>
      <c r="T232" s="29" t="str">
        <f t="shared" si="40"/>
        <v>A</v>
      </c>
      <c r="U232">
        <f>((SUM($J$30:J232)*L232/(M232*SUM($G$30:G232))))*10^6</f>
        <v>36.210462220012992</v>
      </c>
    </row>
    <row r="233" spans="2:21" ht="16.5" thickBot="1" x14ac:dyDescent="0.3">
      <c r="B233" s="13">
        <v>84</v>
      </c>
      <c r="C233" s="456"/>
      <c r="D233" s="456"/>
      <c r="E233" s="457"/>
      <c r="F233" s="54">
        <v>1.0166666666666699</v>
      </c>
      <c r="G233" s="15">
        <f>'Testing DK9 (3)'!N239</f>
        <v>0.47541816180386159</v>
      </c>
      <c r="H233" s="153">
        <f>'Testing DK9 (3)'!BW239</f>
        <v>8.7272263542859715E-3</v>
      </c>
      <c r="I233" s="247">
        <v>2.5000000000000001E-3</v>
      </c>
      <c r="J233" s="153">
        <f t="shared" si="34"/>
        <v>1.1227226354285972E-2</v>
      </c>
      <c r="K233" s="31" t="s">
        <v>257</v>
      </c>
      <c r="L233" s="31">
        <v>3.206</v>
      </c>
      <c r="M233" s="242">
        <v>2624</v>
      </c>
      <c r="N233" s="155">
        <f t="shared" si="41"/>
        <v>28.853360199533977</v>
      </c>
      <c r="O233" s="154">
        <f t="shared" si="35"/>
        <v>54.109375383936559</v>
      </c>
      <c r="P233" s="154">
        <f t="shared" si="36"/>
        <v>41.123125291791787</v>
      </c>
      <c r="Q233" s="154">
        <f t="shared" si="37"/>
        <v>49.780625353221637</v>
      </c>
      <c r="R233" s="154">
        <f t="shared" si="38"/>
        <v>61.68468793768767</v>
      </c>
      <c r="S233" s="154">
        <f t="shared" si="39"/>
        <v>70.342187999117527</v>
      </c>
      <c r="T233" s="29" t="str">
        <f t="shared" si="40"/>
        <v>A</v>
      </c>
      <c r="U233">
        <f>((SUM($J$30:J233)*L233/(M233*SUM($G$30:G233))))*10^6</f>
        <v>36.16200405473996</v>
      </c>
    </row>
    <row r="234" spans="2:21" ht="16.5" thickBot="1" x14ac:dyDescent="0.3">
      <c r="B234" s="13">
        <v>85</v>
      </c>
      <c r="C234" s="456"/>
      <c r="D234" s="456"/>
      <c r="E234" s="457"/>
      <c r="F234" s="54">
        <v>1.01875000000001</v>
      </c>
      <c r="G234" s="15">
        <f>'Testing DK9 (3)'!N240</f>
        <v>0.49922218076655855</v>
      </c>
      <c r="H234" s="153">
        <f>'Testing DK9 (3)'!BW240</f>
        <v>1.0274065850445943E-2</v>
      </c>
      <c r="I234" s="247">
        <v>2.5000000000000001E-3</v>
      </c>
      <c r="J234" s="153">
        <f t="shared" si="34"/>
        <v>1.2774065850445944E-2</v>
      </c>
      <c r="K234" s="31" t="s">
        <v>257</v>
      </c>
      <c r="L234" s="31">
        <v>3.206</v>
      </c>
      <c r="M234" s="242">
        <v>2624</v>
      </c>
      <c r="N234" s="155">
        <f t="shared" si="41"/>
        <v>31.263310564407636</v>
      </c>
      <c r="O234" s="154">
        <f t="shared" si="35"/>
        <v>54.109375383936559</v>
      </c>
      <c r="P234" s="154">
        <f t="shared" si="36"/>
        <v>41.123125291791787</v>
      </c>
      <c r="Q234" s="154">
        <f t="shared" si="37"/>
        <v>49.780625353221637</v>
      </c>
      <c r="R234" s="154">
        <f t="shared" si="38"/>
        <v>61.68468793768767</v>
      </c>
      <c r="S234" s="154">
        <f t="shared" si="39"/>
        <v>70.342187999117527</v>
      </c>
      <c r="T234" s="29" t="str">
        <f t="shared" si="40"/>
        <v>A</v>
      </c>
      <c r="U234">
        <f>((SUM($J$30:J234)*L234/(M234*SUM($G$30:G234))))*10^6</f>
        <v>36.128355597443722</v>
      </c>
    </row>
    <row r="235" spans="2:21" ht="16.5" thickBot="1" x14ac:dyDescent="0.3">
      <c r="B235" s="13">
        <v>86</v>
      </c>
      <c r="C235" s="456"/>
      <c r="D235" s="456"/>
      <c r="E235" s="457">
        <v>1.0208333333333399</v>
      </c>
      <c r="F235" s="54">
        <v>1.0208333333333399</v>
      </c>
      <c r="G235" s="15">
        <f>'Testing DK9 (3)'!N241</f>
        <v>0.54205886099275835</v>
      </c>
      <c r="H235" s="153">
        <f>'Testing DK9 (3)'!BW241</f>
        <v>1.3768693950628193E-2</v>
      </c>
      <c r="I235" s="246">
        <v>5.0000000000000001E-3</v>
      </c>
      <c r="J235" s="153">
        <f t="shared" si="34"/>
        <v>1.8768693950628194E-2</v>
      </c>
      <c r="K235" s="31" t="s">
        <v>257</v>
      </c>
      <c r="L235" s="31">
        <v>3.206</v>
      </c>
      <c r="M235" s="242">
        <v>2624</v>
      </c>
      <c r="N235" s="155">
        <f t="shared" si="41"/>
        <v>42.304570647970138</v>
      </c>
      <c r="O235" s="154">
        <f t="shared" si="35"/>
        <v>54.109375383936559</v>
      </c>
      <c r="P235" s="154">
        <f t="shared" si="36"/>
        <v>41.123125291791787</v>
      </c>
      <c r="Q235" s="154">
        <f t="shared" si="37"/>
        <v>49.780625353221637</v>
      </c>
      <c r="R235" s="154">
        <f t="shared" si="38"/>
        <v>61.68468793768767</v>
      </c>
      <c r="S235" s="154">
        <f t="shared" si="39"/>
        <v>70.342187999117527</v>
      </c>
      <c r="T235" s="29" t="str">
        <f t="shared" si="40"/>
        <v>B</v>
      </c>
      <c r="U235">
        <f>((SUM($J$30:J235)*L235/(M235*SUM($G$30:G235))))*10^6</f>
        <v>36.174078396998894</v>
      </c>
    </row>
    <row r="236" spans="2:21" ht="16.5" thickBot="1" x14ac:dyDescent="0.3">
      <c r="B236" s="13">
        <v>87</v>
      </c>
      <c r="C236" s="456"/>
      <c r="D236" s="456"/>
      <c r="E236" s="457"/>
      <c r="F236" s="54">
        <v>1.02291666666667</v>
      </c>
      <c r="G236" s="15">
        <f>'Testing DK9 (3)'!N242</f>
        <v>0.35691999636914318</v>
      </c>
      <c r="H236" s="153">
        <f>'Testing DK9 (3)'!BW242</f>
        <v>3.5801670440099615E-3</v>
      </c>
      <c r="I236" s="246">
        <v>5.0000000000000001E-3</v>
      </c>
      <c r="J236" s="153">
        <f t="shared" si="34"/>
        <v>8.580167044009962E-3</v>
      </c>
      <c r="K236" s="31" t="s">
        <v>257</v>
      </c>
      <c r="L236" s="31">
        <v>3.206</v>
      </c>
      <c r="M236" s="242">
        <v>2624</v>
      </c>
      <c r="N236" s="155">
        <f t="shared" si="41"/>
        <v>29.371393414200238</v>
      </c>
      <c r="O236" s="154">
        <f t="shared" si="35"/>
        <v>54.109375383936559</v>
      </c>
      <c r="P236" s="154">
        <f t="shared" si="36"/>
        <v>41.123125291791787</v>
      </c>
      <c r="Q236" s="154">
        <f t="shared" si="37"/>
        <v>49.780625353221637</v>
      </c>
      <c r="R236" s="154">
        <f t="shared" si="38"/>
        <v>61.68468793768767</v>
      </c>
      <c r="S236" s="154">
        <f t="shared" si="39"/>
        <v>70.342187999117527</v>
      </c>
      <c r="T236" s="29" t="str">
        <f t="shared" si="40"/>
        <v>A</v>
      </c>
      <c r="U236">
        <f>((SUM($J$30:J236)*L236/(M236*SUM($G$30:G236))))*10^6</f>
        <v>36.141079201832319</v>
      </c>
    </row>
    <row r="237" spans="2:21" ht="16.5" thickBot="1" x14ac:dyDescent="0.3">
      <c r="B237" s="13">
        <v>88</v>
      </c>
      <c r="C237" s="456"/>
      <c r="D237" s="456"/>
      <c r="E237" s="457"/>
      <c r="F237" s="54">
        <v>1.0250000000000099</v>
      </c>
      <c r="G237" s="15">
        <f>'Testing DK9 (3)'!N243</f>
        <v>0.39958812988650855</v>
      </c>
      <c r="H237" s="153">
        <f>'Testing DK9 (3)'!BW243</f>
        <v>5.0461786449528491E-3</v>
      </c>
      <c r="I237" s="246">
        <v>5.0000000000000001E-3</v>
      </c>
      <c r="J237" s="153">
        <f t="shared" si="34"/>
        <v>1.0046178644952849E-2</v>
      </c>
      <c r="K237" s="31" t="s">
        <v>257</v>
      </c>
      <c r="L237" s="31">
        <v>3.206</v>
      </c>
      <c r="M237" s="242">
        <v>2624</v>
      </c>
      <c r="N237" s="155">
        <f t="shared" si="41"/>
        <v>30.71765124868001</v>
      </c>
      <c r="O237" s="154">
        <f t="shared" si="35"/>
        <v>54.109375383936559</v>
      </c>
      <c r="P237" s="154">
        <f t="shared" si="36"/>
        <v>41.123125291791787</v>
      </c>
      <c r="Q237" s="154">
        <f t="shared" si="37"/>
        <v>49.780625353221637</v>
      </c>
      <c r="R237" s="154">
        <f t="shared" si="38"/>
        <v>61.68468793768767</v>
      </c>
      <c r="S237" s="154">
        <f t="shared" si="39"/>
        <v>70.342187999117527</v>
      </c>
      <c r="T237" s="29" t="str">
        <f t="shared" si="40"/>
        <v>A</v>
      </c>
      <c r="U237">
        <f>((SUM($J$30:J237)*L237/(M237*SUM($G$30:G237))))*10^6</f>
        <v>36.111784682822133</v>
      </c>
    </row>
    <row r="238" spans="2:21" ht="16.5" thickBot="1" x14ac:dyDescent="0.3">
      <c r="B238" s="13">
        <v>89</v>
      </c>
      <c r="C238" s="456"/>
      <c r="D238" s="456"/>
      <c r="E238" s="457"/>
      <c r="F238" s="54">
        <v>1.02708333333334</v>
      </c>
      <c r="G238" s="15">
        <f>'Testing DK9 (3)'!N244</f>
        <v>0.39536189828635065</v>
      </c>
      <c r="H238" s="153">
        <f>'Testing DK9 (3)'!BW244</f>
        <v>4.8843932610956615E-3</v>
      </c>
      <c r="I238" s="246">
        <v>5.0000000000000001E-3</v>
      </c>
      <c r="J238" s="153">
        <f t="shared" si="34"/>
        <v>9.8843932610956607E-3</v>
      </c>
      <c r="K238" s="31" t="s">
        <v>257</v>
      </c>
      <c r="L238" s="31">
        <v>3.206</v>
      </c>
      <c r="M238" s="242">
        <v>2624</v>
      </c>
      <c r="N238" s="155">
        <f t="shared" si="41"/>
        <v>30.546038160515096</v>
      </c>
      <c r="O238" s="154">
        <f t="shared" si="35"/>
        <v>54.109375383936559</v>
      </c>
      <c r="P238" s="154">
        <f t="shared" si="36"/>
        <v>41.123125291791787</v>
      </c>
      <c r="Q238" s="154">
        <f t="shared" si="37"/>
        <v>49.780625353221637</v>
      </c>
      <c r="R238" s="154">
        <f t="shared" si="38"/>
        <v>61.68468793768767</v>
      </c>
      <c r="S238" s="154">
        <f t="shared" si="39"/>
        <v>70.342187999117527</v>
      </c>
      <c r="T238" s="29" t="str">
        <f t="shared" si="40"/>
        <v>A</v>
      </c>
      <c r="U238">
        <f>((SUM($J$30:J238)*L238/(M238*SUM($G$30:G238))))*10^6</f>
        <v>36.082197520523046</v>
      </c>
    </row>
    <row r="239" spans="2:21" ht="16.5" thickBot="1" x14ac:dyDescent="0.3">
      <c r="B239" s="13">
        <v>90</v>
      </c>
      <c r="C239" s="456"/>
      <c r="D239" s="456"/>
      <c r="E239" s="457"/>
      <c r="F239" s="54">
        <v>1.0291666666666801</v>
      </c>
      <c r="G239" s="15">
        <f>'Testing DK9 (3)'!N245</f>
        <v>0.23421498388501233</v>
      </c>
      <c r="H239" s="153">
        <f>'Testing DK9 (3)'!BW245</f>
        <v>1.0225310768866209E-3</v>
      </c>
      <c r="I239" s="246">
        <v>5.0000000000000001E-3</v>
      </c>
      <c r="J239" s="153">
        <f t="shared" si="34"/>
        <v>6.0225310768866214E-3</v>
      </c>
      <c r="K239" s="31" t="s">
        <v>257</v>
      </c>
      <c r="L239" s="31">
        <v>3.206</v>
      </c>
      <c r="M239" s="242">
        <v>2624</v>
      </c>
      <c r="N239" s="155">
        <f t="shared" si="41"/>
        <v>31.416952934157891</v>
      </c>
      <c r="O239" s="154">
        <f t="shared" si="35"/>
        <v>54.109375383936559</v>
      </c>
      <c r="P239" s="154">
        <f t="shared" si="36"/>
        <v>41.123125291791787</v>
      </c>
      <c r="Q239" s="154">
        <f t="shared" si="37"/>
        <v>49.780625353221637</v>
      </c>
      <c r="R239" s="154">
        <f t="shared" si="38"/>
        <v>61.68468793768767</v>
      </c>
      <c r="S239" s="154">
        <f t="shared" si="39"/>
        <v>70.342187999117527</v>
      </c>
      <c r="T239" s="29" t="str">
        <f t="shared" si="40"/>
        <v>A</v>
      </c>
      <c r="U239">
        <f>((SUM($J$30:J239)*L239/(M239*SUM($G$30:G239))))*10^6</f>
        <v>36.067551870877637</v>
      </c>
    </row>
    <row r="240" spans="2:21" ht="16.5" thickBot="1" x14ac:dyDescent="0.3">
      <c r="B240" s="13">
        <v>91</v>
      </c>
      <c r="C240" s="456"/>
      <c r="D240" s="456"/>
      <c r="E240" s="457">
        <v>1.03125000000001</v>
      </c>
      <c r="F240" s="54">
        <v>1.03125000000002</v>
      </c>
      <c r="G240" s="15">
        <f>'Testing DK9 (3)'!N246</f>
        <v>0.20612071386788489</v>
      </c>
      <c r="H240" s="153">
        <f>'Testing DK9 (3)'!BW246</f>
        <v>7.0238999769818306E-4</v>
      </c>
      <c r="I240" s="246">
        <v>5.0000000000000001E-3</v>
      </c>
      <c r="J240" s="153">
        <f t="shared" si="34"/>
        <v>5.7023899976981832E-3</v>
      </c>
      <c r="K240" s="31" t="s">
        <v>257</v>
      </c>
      <c r="L240" s="31">
        <v>3.206</v>
      </c>
      <c r="M240" s="242">
        <v>2624</v>
      </c>
      <c r="N240" s="155">
        <f t="shared" si="41"/>
        <v>33.801421576286486</v>
      </c>
      <c r="O240" s="154">
        <f t="shared" si="35"/>
        <v>54.109375383936559</v>
      </c>
      <c r="P240" s="154">
        <f t="shared" si="36"/>
        <v>41.123125291791787</v>
      </c>
      <c r="Q240" s="154">
        <f t="shared" si="37"/>
        <v>49.780625353221637</v>
      </c>
      <c r="R240" s="154">
        <f t="shared" si="38"/>
        <v>61.68468793768767</v>
      </c>
      <c r="S240" s="154">
        <f t="shared" si="39"/>
        <v>70.342187999117527</v>
      </c>
      <c r="T240" s="29" t="str">
        <f t="shared" si="40"/>
        <v>A</v>
      </c>
      <c r="U240">
        <f>((SUM($J$30:J240)*L240/(M240*SUM($G$30:G240))))*10^6</f>
        <v>36.061308374407503</v>
      </c>
    </row>
    <row r="241" spans="2:21" ht="16.5" thickBot="1" x14ac:dyDescent="0.3">
      <c r="B241" s="13">
        <v>92</v>
      </c>
      <c r="C241" s="456"/>
      <c r="D241" s="456"/>
      <c r="E241" s="457"/>
      <c r="F241" s="54">
        <v>1.0333333333333601</v>
      </c>
      <c r="G241" s="15">
        <f>'Testing DK9 (3)'!N247</f>
        <v>0.34555477773315535</v>
      </c>
      <c r="H241" s="153">
        <f>'Testing DK9 (3)'!BW247</f>
        <v>3.2477071383293496E-3</v>
      </c>
      <c r="I241" s="246">
        <v>5.0000000000000001E-3</v>
      </c>
      <c r="J241" s="153">
        <f t="shared" si="34"/>
        <v>8.2477071383293497E-3</v>
      </c>
      <c r="K241" s="31" t="s">
        <v>257</v>
      </c>
      <c r="L241" s="31">
        <v>3.206</v>
      </c>
      <c r="M241" s="242">
        <v>2624</v>
      </c>
      <c r="N241" s="155">
        <f t="shared" si="41"/>
        <v>29.161913458517024</v>
      </c>
      <c r="O241" s="154">
        <f t="shared" si="35"/>
        <v>54.109375383936559</v>
      </c>
      <c r="P241" s="154">
        <f t="shared" si="36"/>
        <v>41.123125291791787</v>
      </c>
      <c r="Q241" s="154">
        <f t="shared" si="37"/>
        <v>49.780625353221637</v>
      </c>
      <c r="R241" s="154">
        <f t="shared" si="38"/>
        <v>61.68468793768767</v>
      </c>
      <c r="S241" s="154">
        <f t="shared" si="39"/>
        <v>70.342187999117527</v>
      </c>
      <c r="T241" s="29" t="str">
        <f t="shared" si="40"/>
        <v>A</v>
      </c>
      <c r="U241">
        <f>((SUM($J$30:J241)*L241/(M241*SUM($G$30:G241))))*10^6</f>
        <v>36.029587297757175</v>
      </c>
    </row>
    <row r="242" spans="2:21" ht="16.5" thickBot="1" x14ac:dyDescent="0.3">
      <c r="B242" s="13">
        <v>93</v>
      </c>
      <c r="C242" s="456"/>
      <c r="D242" s="456"/>
      <c r="E242" s="457"/>
      <c r="F242" s="54">
        <v>1.0354166666667</v>
      </c>
      <c r="G242" s="15">
        <f>'Testing DK9 (3)'!N248</f>
        <v>0.30673069200088948</v>
      </c>
      <c r="H242" s="153">
        <f>'Testing DK9 (3)'!BW248</f>
        <v>2.2732610438089135E-3</v>
      </c>
      <c r="I242" s="246">
        <v>5.0000000000000001E-3</v>
      </c>
      <c r="J242" s="153">
        <f t="shared" si="34"/>
        <v>7.2732610438089136E-3</v>
      </c>
      <c r="K242" s="31" t="s">
        <v>257</v>
      </c>
      <c r="L242" s="31">
        <v>3.206</v>
      </c>
      <c r="M242" s="242">
        <v>2624</v>
      </c>
      <c r="N242" s="155">
        <f t="shared" si="41"/>
        <v>28.971543132923326</v>
      </c>
      <c r="O242" s="154">
        <f t="shared" si="35"/>
        <v>54.109375383936559</v>
      </c>
      <c r="P242" s="154">
        <f t="shared" si="36"/>
        <v>41.123125291791787</v>
      </c>
      <c r="Q242" s="154">
        <f t="shared" si="37"/>
        <v>49.780625353221637</v>
      </c>
      <c r="R242" s="154">
        <f t="shared" si="38"/>
        <v>61.68468793768767</v>
      </c>
      <c r="S242" s="154">
        <f t="shared" si="39"/>
        <v>70.342187999117527</v>
      </c>
      <c r="T242" s="29" t="str">
        <f t="shared" si="40"/>
        <v>A</v>
      </c>
      <c r="U242">
        <f>((SUM($J$30:J242)*L242/(M242*SUM($G$30:G242))))*10^6</f>
        <v>36.000899789584906</v>
      </c>
    </row>
    <row r="243" spans="2:21" ht="16.5" thickBot="1" x14ac:dyDescent="0.3">
      <c r="B243" s="13">
        <v>94</v>
      </c>
      <c r="C243" s="456"/>
      <c r="D243" s="456"/>
      <c r="E243" s="457"/>
      <c r="F243" s="54">
        <v>1.0375000000000401</v>
      </c>
      <c r="G243" s="15">
        <f>'Testing DK9 (3)'!N249</f>
        <v>0.30056039498887266</v>
      </c>
      <c r="H243" s="153">
        <f>'Testing DK9 (3)'!BW249</f>
        <v>2.1397000193726303E-3</v>
      </c>
      <c r="I243" s="246">
        <v>5.0000000000000001E-3</v>
      </c>
      <c r="J243" s="153">
        <f t="shared" si="34"/>
        <v>7.1397000193726308E-3</v>
      </c>
      <c r="K243" s="31" t="s">
        <v>257</v>
      </c>
      <c r="L243" s="31">
        <v>3.206</v>
      </c>
      <c r="M243" s="242">
        <v>2624</v>
      </c>
      <c r="N243" s="155">
        <f t="shared" si="41"/>
        <v>29.023374077749633</v>
      </c>
      <c r="O243" s="154">
        <f t="shared" si="35"/>
        <v>54.109375383936559</v>
      </c>
      <c r="P243" s="154">
        <f t="shared" si="36"/>
        <v>41.123125291791787</v>
      </c>
      <c r="Q243" s="154">
        <f t="shared" si="37"/>
        <v>49.780625353221637</v>
      </c>
      <c r="R243" s="154">
        <f t="shared" si="38"/>
        <v>61.68468793768767</v>
      </c>
      <c r="S243" s="154">
        <f t="shared" si="39"/>
        <v>70.342187999117527</v>
      </c>
      <c r="T243" s="29" t="str">
        <f t="shared" si="40"/>
        <v>A</v>
      </c>
      <c r="U243">
        <f>((SUM($J$30:J243)*L243/(M243*SUM($G$30:G243))))*10^6</f>
        <v>35.973220294211821</v>
      </c>
    </row>
    <row r="244" spans="2:21" ht="16.5" thickBot="1" x14ac:dyDescent="0.3">
      <c r="B244" s="13">
        <v>95</v>
      </c>
      <c r="C244" s="456"/>
      <c r="D244" s="456"/>
      <c r="E244" s="457"/>
      <c r="F244" s="54">
        <v>1.0395833333333799</v>
      </c>
      <c r="G244" s="15">
        <f>'Testing DK9 (3)'!N250</f>
        <v>0.32337222789026543</v>
      </c>
      <c r="H244" s="153">
        <f>'Testing DK9 (3)'!BW250</f>
        <v>2.6617590198561025E-3</v>
      </c>
      <c r="I244" s="246">
        <v>5.0000000000000001E-3</v>
      </c>
      <c r="J244" s="153">
        <f t="shared" si="34"/>
        <v>7.6617590198561026E-3</v>
      </c>
      <c r="K244" s="31" t="s">
        <v>257</v>
      </c>
      <c r="L244" s="31">
        <v>3.206</v>
      </c>
      <c r="M244" s="242">
        <v>2624</v>
      </c>
      <c r="N244" s="155">
        <f t="shared" si="41"/>
        <v>28.948459451589862</v>
      </c>
      <c r="O244" s="154">
        <f t="shared" si="35"/>
        <v>54.109375383936559</v>
      </c>
      <c r="P244" s="154">
        <f t="shared" si="36"/>
        <v>41.123125291791787</v>
      </c>
      <c r="Q244" s="154">
        <f t="shared" si="37"/>
        <v>49.780625353221637</v>
      </c>
      <c r="R244" s="154">
        <f t="shared" si="38"/>
        <v>61.68468793768767</v>
      </c>
      <c r="S244" s="154">
        <f t="shared" si="39"/>
        <v>70.342187999117527</v>
      </c>
      <c r="T244" s="29" t="str">
        <f t="shared" si="40"/>
        <v>A</v>
      </c>
      <c r="U244">
        <f>((SUM($J$30:J244)*L244/(M244*SUM($G$30:G244))))*10^6</f>
        <v>35.943365808551</v>
      </c>
    </row>
    <row r="245" spans="2:21" ht="16.5" thickBot="1" x14ac:dyDescent="0.3">
      <c r="B245" s="13">
        <v>96</v>
      </c>
      <c r="C245" s="456"/>
      <c r="D245" s="456"/>
      <c r="E245" s="54">
        <v>1.04166666666672</v>
      </c>
      <c r="F245" s="54">
        <v>1.04166666666672</v>
      </c>
      <c r="G245" s="15">
        <f>'Testing DK9 (3)'!N251</f>
        <v>0.2665515885996691</v>
      </c>
      <c r="H245" s="153">
        <f>'Testing DK9 (3)'!BW251</f>
        <v>1.4980439635291379E-3</v>
      </c>
      <c r="I245" s="246">
        <v>5.0000000000000001E-3</v>
      </c>
      <c r="J245" s="153">
        <f t="shared" si="34"/>
        <v>6.4980439635291378E-3</v>
      </c>
      <c r="K245" s="31" t="s">
        <v>257</v>
      </c>
      <c r="L245" s="31">
        <v>3.206</v>
      </c>
      <c r="M245" s="242">
        <v>2624</v>
      </c>
      <c r="N245" s="155">
        <f t="shared" si="41"/>
        <v>29.785236816277216</v>
      </c>
      <c r="O245" s="154">
        <f t="shared" si="35"/>
        <v>54.109375383936559</v>
      </c>
      <c r="P245" s="154">
        <f t="shared" si="36"/>
        <v>41.123125291791787</v>
      </c>
      <c r="Q245" s="154">
        <f t="shared" si="37"/>
        <v>49.780625353221637</v>
      </c>
      <c r="R245" s="154">
        <f t="shared" si="38"/>
        <v>61.68468793768767</v>
      </c>
      <c r="S245" s="154">
        <f t="shared" si="39"/>
        <v>70.342187999117527</v>
      </c>
      <c r="T245" s="29" t="str">
        <f t="shared" si="40"/>
        <v>A</v>
      </c>
      <c r="U245">
        <f>((SUM($J$30:J245)*L245/(M245*SUM($G$30:G245))))*10^6</f>
        <v>35.921868372999434</v>
      </c>
    </row>
  </sheetData>
  <mergeCells count="57">
    <mergeCell ref="O28:O29"/>
    <mergeCell ref="B28:B29"/>
    <mergeCell ref="C28:C29"/>
    <mergeCell ref="D28:D29"/>
    <mergeCell ref="E28:F28"/>
    <mergeCell ref="H28:H29"/>
    <mergeCell ref="I28:I29"/>
    <mergeCell ref="J28:J29"/>
    <mergeCell ref="K28:K29"/>
    <mergeCell ref="L28:L29"/>
    <mergeCell ref="M28:M29"/>
    <mergeCell ref="N28:N29"/>
    <mergeCell ref="P28:P29"/>
    <mergeCell ref="Q28:Q29"/>
    <mergeCell ref="R28:R29"/>
    <mergeCell ref="S28:S29"/>
    <mergeCell ref="T28:T29"/>
    <mergeCell ref="C30:C149"/>
    <mergeCell ref="D30:D149"/>
    <mergeCell ref="E115:E121"/>
    <mergeCell ref="E31:E37"/>
    <mergeCell ref="E38:E44"/>
    <mergeCell ref="E45:E51"/>
    <mergeCell ref="E52:E58"/>
    <mergeCell ref="E59:E65"/>
    <mergeCell ref="E122:E128"/>
    <mergeCell ref="E129:E135"/>
    <mergeCell ref="E136:E142"/>
    <mergeCell ref="E143:E149"/>
    <mergeCell ref="E66:E72"/>
    <mergeCell ref="E73:E79"/>
    <mergeCell ref="E80:E86"/>
    <mergeCell ref="E87:E93"/>
    <mergeCell ref="E225:E229"/>
    <mergeCell ref="E230:E234"/>
    <mergeCell ref="E235:E239"/>
    <mergeCell ref="C150:C245"/>
    <mergeCell ref="D150:D245"/>
    <mergeCell ref="E150:E154"/>
    <mergeCell ref="E155:E159"/>
    <mergeCell ref="E160:E164"/>
    <mergeCell ref="E165:E169"/>
    <mergeCell ref="E170:E174"/>
    <mergeCell ref="E175:E179"/>
    <mergeCell ref="E180:E184"/>
    <mergeCell ref="E240:E244"/>
    <mergeCell ref="E185:E189"/>
    <mergeCell ref="E190:E194"/>
    <mergeCell ref="E195:E199"/>
    <mergeCell ref="E94:E100"/>
    <mergeCell ref="E215:E219"/>
    <mergeCell ref="E220:E224"/>
    <mergeCell ref="E200:E204"/>
    <mergeCell ref="E205:E209"/>
    <mergeCell ref="E210:E214"/>
    <mergeCell ref="E101:E107"/>
    <mergeCell ref="E108:E11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30D4-ED99-446E-9BD2-EB4837709F34}">
  <dimension ref="C2:X20"/>
  <sheetViews>
    <sheetView zoomScale="55" zoomScaleNormal="70" workbookViewId="0">
      <selection activeCell="Q18" sqref="Q18"/>
    </sheetView>
  </sheetViews>
  <sheetFormatPr defaultRowHeight="15" x14ac:dyDescent="0.25"/>
  <cols>
    <col min="3" max="3" width="17.7109375" customWidth="1"/>
    <col min="4" max="4" width="11.28515625" customWidth="1"/>
    <col min="7" max="7" width="12.28515625" customWidth="1"/>
    <col min="11" max="12" width="13.7109375" customWidth="1"/>
    <col min="13" max="13" width="6.5703125" customWidth="1"/>
    <col min="14" max="15" width="13.7109375" customWidth="1"/>
    <col min="16" max="16" width="7.140625" customWidth="1"/>
    <col min="17" max="17" width="17.140625" customWidth="1"/>
    <col min="18" max="18" width="13.7109375" customWidth="1"/>
    <col min="19" max="19" width="7.42578125" customWidth="1"/>
    <col min="20" max="24" width="13.7109375" customWidth="1"/>
  </cols>
  <sheetData>
    <row r="2" spans="3:24" ht="15.75" thickBot="1" x14ac:dyDescent="0.3"/>
    <row r="3" spans="3:24" ht="15.75" x14ac:dyDescent="0.3">
      <c r="C3" s="252" t="s">
        <v>0</v>
      </c>
      <c r="D3" s="253"/>
      <c r="E3" s="253"/>
      <c r="F3" s="253"/>
      <c r="G3" s="253"/>
      <c r="H3" s="254"/>
      <c r="K3" s="14" t="s">
        <v>15</v>
      </c>
      <c r="L3" s="13" t="e">
        <f>0.5*(B4+E5)</f>
        <v>#VALUE!</v>
      </c>
      <c r="M3" s="13" t="s">
        <v>2</v>
      </c>
      <c r="N3" s="13" t="s">
        <v>16</v>
      </c>
      <c r="O3" s="13" t="e">
        <f>(B7*L3)/B4</f>
        <v>#VALUE!</v>
      </c>
      <c r="P3" s="16"/>
      <c r="Q3" s="14" t="s">
        <v>17</v>
      </c>
      <c r="R3" s="13" t="e">
        <f>0.006*((B4+100)^(-0.16))-0.00205+0.003*(((B4/7.5)^0.5)*(B7^4)*1*(0.04-X3))</f>
        <v>#DIV/0!</v>
      </c>
      <c r="S3" s="16"/>
      <c r="T3" s="14" t="s">
        <v>18</v>
      </c>
      <c r="U3" s="17" t="s">
        <v>19</v>
      </c>
      <c r="V3" s="13"/>
      <c r="W3" s="14" t="s">
        <v>20</v>
      </c>
      <c r="X3" s="13" t="e">
        <f>IF(X9&lt;=0.04,X9,IF(X9&gt;0.04,0.04,0))</f>
        <v>#DIV/0!</v>
      </c>
    </row>
    <row r="4" spans="3:24" ht="15.75" x14ac:dyDescent="0.3">
      <c r="C4" s="1" t="s">
        <v>1</v>
      </c>
      <c r="D4" s="2">
        <f>1.05*G5</f>
        <v>0</v>
      </c>
      <c r="E4" s="3" t="s">
        <v>2</v>
      </c>
      <c r="F4" s="4" t="s">
        <v>3</v>
      </c>
      <c r="G4" s="2"/>
      <c r="H4" s="5" t="s">
        <v>2</v>
      </c>
      <c r="K4" s="14" t="s">
        <v>21</v>
      </c>
      <c r="L4" s="13">
        <f>1.118*(10^-6)</f>
        <v>1.1180000000000001E-6</v>
      </c>
      <c r="M4" s="13"/>
      <c r="N4" s="14" t="s">
        <v>22</v>
      </c>
      <c r="O4" s="13" t="e">
        <f>IF(L5&gt;=0.05,L5^0.2228446,IF(AND(L5&gt;0.02,L5&lt;0.05),48.2*((L5-0.02)^2.078)+0.479948,IF(L5&lt;=0.02,0.479948,0)))</f>
        <v>#DIV/0!</v>
      </c>
      <c r="P4" s="13"/>
      <c r="Q4" s="14" t="s">
        <v>23</v>
      </c>
      <c r="R4" s="13">
        <v>1.5</v>
      </c>
      <c r="S4" s="13"/>
      <c r="T4" s="14" t="s">
        <v>24</v>
      </c>
      <c r="U4" s="13"/>
      <c r="V4" s="13" t="e">
        <f>1+89*EXP(-((B4/B5)^0.80856)*((1-B9)^0.30484)*((1-E7-(0.0225*E9))^0.6367)*((L6/B5)^0.34574)*((100*B7*B4*B5*B6)/B4^3)^0.16302)</f>
        <v>#DIV/0!</v>
      </c>
      <c r="W4" s="14" t="s">
        <v>18</v>
      </c>
      <c r="X4" s="15" t="e">
        <f>IF(L8&lt;=512,-1.69385,IF(L8&gt;=1727,L8,IF(AND(L8&gt;512,L8&lt;1727),U3+((R9-8)/2.36),0)))</f>
        <v>#DIV/0!</v>
      </c>
    </row>
    <row r="5" spans="3:24" ht="18" x14ac:dyDescent="0.3">
      <c r="C5" s="1" t="s">
        <v>4</v>
      </c>
      <c r="D5" s="2">
        <v>17.8</v>
      </c>
      <c r="E5" s="3" t="s">
        <v>2</v>
      </c>
      <c r="F5" s="4" t="s">
        <v>5</v>
      </c>
      <c r="G5" s="2"/>
      <c r="H5" s="5" t="s">
        <v>2</v>
      </c>
      <c r="K5" s="14" t="s">
        <v>25</v>
      </c>
      <c r="L5" s="13" t="e">
        <f>B6/B4</f>
        <v>#DIV/0!</v>
      </c>
      <c r="M5" s="13" t="s">
        <v>26</v>
      </c>
      <c r="N5" s="14" t="s">
        <v>27</v>
      </c>
      <c r="O5" s="13">
        <v>-7</v>
      </c>
      <c r="P5" s="13"/>
      <c r="Q5" s="14" t="s">
        <v>28</v>
      </c>
      <c r="R5" s="13">
        <f>1*1*1*1.5*((1.75*B4*B6)/100)</f>
        <v>0</v>
      </c>
      <c r="S5" s="13" t="s">
        <v>29</v>
      </c>
      <c r="T5" s="14" t="s">
        <v>30</v>
      </c>
      <c r="U5" s="13"/>
      <c r="V5" s="13" t="e">
        <f>2223105*(V9^3.78613)*((B6/B5)^1.07961)*((90-V4)^-1.37565)</f>
        <v>#DIV/0!</v>
      </c>
      <c r="W5" s="14" t="s">
        <v>31</v>
      </c>
      <c r="X5" s="15">
        <f>IF(E7&lt;0.8,(8.07981*(E7))-(13.8673*(E7^2))+(6.984388*(E7^3)),IF(E7&gt;0.8,1.73014-(0.7067*E7),0))</f>
        <v>0</v>
      </c>
    </row>
    <row r="6" spans="3:24" ht="17.25" x14ac:dyDescent="0.3">
      <c r="C6" s="1" t="s">
        <v>6</v>
      </c>
      <c r="D6" s="2">
        <v>8.1999999999999993</v>
      </c>
      <c r="E6" s="3" t="s">
        <v>2</v>
      </c>
      <c r="F6" s="4" t="s">
        <v>7</v>
      </c>
      <c r="G6" s="2"/>
      <c r="H6" s="5" t="s">
        <v>8</v>
      </c>
      <c r="K6" s="14" t="s">
        <v>32</v>
      </c>
      <c r="L6" s="13" t="e">
        <f>E5*((1-E7)+(0.06*E7*(E9/((4*E7)-1))))</f>
        <v>#VALUE!</v>
      </c>
      <c r="M6" s="13"/>
      <c r="N6" s="14" t="s">
        <v>33</v>
      </c>
      <c r="O6" s="13">
        <f>1+(0.003*O5)</f>
        <v>0.97899999999999998</v>
      </c>
      <c r="P6" s="13"/>
      <c r="Q6" s="14" t="s">
        <v>34</v>
      </c>
      <c r="R6" s="13" t="e">
        <f>(R4*R5)/R5</f>
        <v>#DIV/0!</v>
      </c>
      <c r="S6" s="13"/>
      <c r="T6" s="14" t="s">
        <v>35</v>
      </c>
      <c r="U6" s="13"/>
      <c r="V6" s="13" t="e">
        <f>EXP(-1.89*((V7^0.5)))</f>
        <v>#DIV/0!</v>
      </c>
      <c r="W6" s="14" t="s">
        <v>36</v>
      </c>
      <c r="X6" s="15" t="e">
        <f>(0.0140407*(B4/B6))-(1.75254*(((B4*B5*B6*B7)^(1/3))/B4))-4.79323*(R7)-X5</f>
        <v>#DIV/0!</v>
      </c>
    </row>
    <row r="7" spans="3:24" ht="15.75" x14ac:dyDescent="0.3">
      <c r="C7" s="1" t="s">
        <v>9</v>
      </c>
      <c r="D7" s="6" t="e">
        <f>(G6*1.025)/(G4*D5*D6)</f>
        <v>#DIV/0!</v>
      </c>
      <c r="E7" s="3"/>
      <c r="F7" s="4" t="s">
        <v>10</v>
      </c>
      <c r="G7" s="6"/>
      <c r="H7" s="5"/>
      <c r="K7" s="14" t="s">
        <v>37</v>
      </c>
      <c r="L7" s="13" t="e">
        <f>B5/L6</f>
        <v>#VALUE!</v>
      </c>
      <c r="M7" s="13"/>
      <c r="N7" s="14" t="s">
        <v>38</v>
      </c>
      <c r="O7" s="13" t="e">
        <f>O6*(0.93+O4*(L7^0.92497))*(0.95-E7)^-0.521448*(1-E7+0.02255*E9)^0.6906</f>
        <v>#DIV/0!</v>
      </c>
      <c r="P7" s="13"/>
      <c r="Q7" s="14" t="s">
        <v>39</v>
      </c>
      <c r="R7" s="15" t="e">
        <f>B5/B4</f>
        <v>#DIV/0!</v>
      </c>
      <c r="S7" s="13"/>
      <c r="T7" s="14" t="s">
        <v>40</v>
      </c>
      <c r="U7" s="13"/>
      <c r="V7" s="13" t="e">
        <f>0.56*(0^1.5)/(B5*B6*((0.31*(0^0.5))+B6-0))</f>
        <v>#DIV/0!</v>
      </c>
      <c r="W7" s="14" t="s">
        <v>41</v>
      </c>
      <c r="X7" s="13" t="e">
        <f>B4/B5</f>
        <v>#DIV/0!</v>
      </c>
    </row>
    <row r="8" spans="3:24" ht="15.75" x14ac:dyDescent="0.3">
      <c r="C8" s="1" t="s">
        <v>11</v>
      </c>
      <c r="D8" s="2"/>
      <c r="E8" s="3" t="s">
        <v>8</v>
      </c>
      <c r="F8" s="4" t="s">
        <v>12</v>
      </c>
      <c r="G8" s="2"/>
      <c r="H8" s="5"/>
      <c r="K8" s="14" t="s">
        <v>42</v>
      </c>
      <c r="L8" s="13" t="e">
        <f>((B4^3)/(B4*B7*B5*B6))</f>
        <v>#DIV/0!</v>
      </c>
      <c r="M8" s="13"/>
      <c r="N8" s="14" t="s">
        <v>43</v>
      </c>
      <c r="O8" s="13" t="e">
        <f>B5/B6</f>
        <v>#DIV/0!</v>
      </c>
      <c r="P8" s="13"/>
      <c r="Q8" s="14" t="s">
        <v>43</v>
      </c>
      <c r="R8" s="15" t="e">
        <f>B5/B6</f>
        <v>#DIV/0!</v>
      </c>
      <c r="S8" s="13"/>
      <c r="T8" s="14" t="s">
        <v>44</v>
      </c>
      <c r="U8" s="13"/>
      <c r="V8" s="13" t="e">
        <f>1-((0.8*0)/(B5*B6*E8))</f>
        <v>#VALUE!</v>
      </c>
      <c r="W8" s="14" t="s">
        <v>45</v>
      </c>
      <c r="X8" s="13" t="e">
        <f>IF(X7&lt;=12,(1.446*E7)-(0.03*X7),IF(X7&gt;12,(1.446*E7)-0.36))</f>
        <v>#DIV/0!</v>
      </c>
    </row>
    <row r="9" spans="3:24" ht="18.75" thickBot="1" x14ac:dyDescent="0.35">
      <c r="C9" s="7" t="s">
        <v>13</v>
      </c>
      <c r="D9" s="8"/>
      <c r="E9" s="9"/>
      <c r="F9" s="10" t="s">
        <v>14</v>
      </c>
      <c r="G9" s="11"/>
      <c r="H9" s="12" t="s">
        <v>2</v>
      </c>
      <c r="K9" s="14" t="s">
        <v>46</v>
      </c>
      <c r="L9" s="13">
        <f>1-E7</f>
        <v>1</v>
      </c>
      <c r="M9" s="13"/>
      <c r="N9" s="14" t="s">
        <v>47</v>
      </c>
      <c r="O9" s="13" t="e">
        <f>B4*((2*B6)+B5)*(E8^0.5)*(0.453+(0.4425*B7)-(0.2862*E8)-(0.003467*O8)+(0.3696*B9))+(2.38*'[1]Perhitungan Bulbous Bow '!A14/B7)</f>
        <v>#VALUE!</v>
      </c>
      <c r="P9" s="13" t="s">
        <v>29</v>
      </c>
      <c r="Q9" s="14" t="s">
        <v>48</v>
      </c>
      <c r="R9" s="15" t="e">
        <f>B4/(B4*B5*B6*B7)^(1/3)</f>
        <v>#DIV/0!</v>
      </c>
      <c r="S9" s="13"/>
      <c r="T9" s="14" t="s">
        <v>49</v>
      </c>
      <c r="U9" s="13"/>
      <c r="V9" s="13" t="e">
        <f>IF(R7&lt;=0.11,0.229577*(R7^0.33333),IF(AND(R7&gt;0.11,R7&lt;0.25),R7,IF(R7&gt;=0.25,0.5-(0.0625*R8),0)))</f>
        <v>#DIV/0!</v>
      </c>
      <c r="W9" s="14" t="s">
        <v>50</v>
      </c>
      <c r="X9" s="15" t="e">
        <f>B6/B4</f>
        <v>#DIV/0!</v>
      </c>
    </row>
    <row r="20" ht="15" customHeight="1" x14ac:dyDescent="0.25"/>
  </sheetData>
  <mergeCells count="1">
    <mergeCell ref="C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A61C-6B03-4EDD-AC6D-84619B15F028}">
  <dimension ref="B5:AE141"/>
  <sheetViews>
    <sheetView topLeftCell="O30" zoomScale="55" zoomScaleNormal="55" workbookViewId="0">
      <selection activeCell="AE90" sqref="AE90"/>
    </sheetView>
  </sheetViews>
  <sheetFormatPr defaultRowHeight="15" x14ac:dyDescent="0.25"/>
  <cols>
    <col min="3" max="3" width="17.85546875" customWidth="1"/>
    <col min="4" max="8" width="18.140625" customWidth="1"/>
    <col min="9" max="9" width="17.7109375" customWidth="1"/>
    <col min="10" max="10" width="17.85546875" customWidth="1"/>
    <col min="11" max="11" width="14.85546875" customWidth="1"/>
    <col min="15" max="15" width="14.28515625" customWidth="1"/>
    <col min="16" max="16" width="12.5703125" customWidth="1"/>
    <col min="17" max="17" width="10.28515625" customWidth="1"/>
    <col min="19" max="19" width="9.5703125" customWidth="1"/>
    <col min="24" max="24" width="11.42578125" customWidth="1"/>
    <col min="25" max="25" width="11.7109375" customWidth="1"/>
  </cols>
  <sheetData>
    <row r="5" spans="2:25" ht="15.75" x14ac:dyDescent="0.25">
      <c r="B5" s="272" t="s">
        <v>52</v>
      </c>
      <c r="C5" s="273" t="s">
        <v>152</v>
      </c>
      <c r="D5" s="274"/>
      <c r="E5" s="112"/>
      <c r="F5" s="112"/>
      <c r="G5" s="112"/>
      <c r="H5" s="112"/>
      <c r="I5" s="271" t="s">
        <v>215</v>
      </c>
      <c r="J5" s="261"/>
    </row>
    <row r="6" spans="2:25" ht="15.75" x14ac:dyDescent="0.25">
      <c r="B6" s="272"/>
      <c r="C6" s="36" t="s">
        <v>162</v>
      </c>
      <c r="D6" s="36"/>
      <c r="E6" s="112"/>
      <c r="F6" s="112"/>
      <c r="G6" s="112"/>
      <c r="H6" s="112"/>
      <c r="I6" s="32" t="s">
        <v>216</v>
      </c>
      <c r="J6" s="32" t="s">
        <v>216</v>
      </c>
      <c r="K6" s="32" t="s">
        <v>217</v>
      </c>
      <c r="R6" t="s">
        <v>231</v>
      </c>
      <c r="S6" t="s">
        <v>232</v>
      </c>
    </row>
    <row r="7" spans="2:25" ht="15.75" x14ac:dyDescent="0.25">
      <c r="B7" s="100">
        <v>1</v>
      </c>
      <c r="C7" s="101">
        <v>0.82638888888888884</v>
      </c>
      <c r="D7" s="101">
        <v>0.82638888888888884</v>
      </c>
      <c r="E7" s="256" t="s">
        <v>218</v>
      </c>
      <c r="F7" s="111"/>
      <c r="G7" s="129">
        <v>0</v>
      </c>
      <c r="H7" s="111"/>
      <c r="I7" s="271"/>
      <c r="O7" s="119">
        <v>0.82638888888888884</v>
      </c>
      <c r="P7" s="270" t="s">
        <v>218</v>
      </c>
      <c r="Q7" s="118"/>
      <c r="T7">
        <v>0</v>
      </c>
      <c r="Y7">
        <f>65-24</f>
        <v>41</v>
      </c>
    </row>
    <row r="8" spans="2:25" ht="15.75" x14ac:dyDescent="0.25">
      <c r="B8" s="100">
        <v>2</v>
      </c>
      <c r="C8" s="101">
        <v>0.84027777777777779</v>
      </c>
      <c r="D8" s="101">
        <v>0.84027777777777779</v>
      </c>
      <c r="E8" s="256"/>
      <c r="F8" s="256" t="s">
        <v>219</v>
      </c>
      <c r="G8" s="129">
        <v>25</v>
      </c>
      <c r="H8" s="111"/>
      <c r="I8" s="271"/>
      <c r="J8" s="261"/>
      <c r="O8" s="119">
        <v>0.84027777777777779</v>
      </c>
      <c r="P8" s="270"/>
      <c r="Q8" s="270" t="s">
        <v>219</v>
      </c>
      <c r="R8">
        <v>0</v>
      </c>
      <c r="S8">
        <v>26</v>
      </c>
      <c r="T8">
        <v>0</v>
      </c>
    </row>
    <row r="9" spans="2:25" ht="15.75" x14ac:dyDescent="0.25">
      <c r="B9" s="100">
        <v>3</v>
      </c>
      <c r="C9" s="255">
        <v>0.84375</v>
      </c>
      <c r="D9" s="110">
        <v>0.84375</v>
      </c>
      <c r="E9" s="256" t="s">
        <v>220</v>
      </c>
      <c r="F9" s="256"/>
      <c r="G9" s="129">
        <v>5</v>
      </c>
      <c r="H9" s="111"/>
      <c r="I9" s="271"/>
      <c r="J9" s="261"/>
      <c r="O9" s="119">
        <v>0.84375</v>
      </c>
      <c r="P9" s="270" t="s">
        <v>220</v>
      </c>
      <c r="Q9" s="270"/>
      <c r="S9">
        <v>5</v>
      </c>
      <c r="T9">
        <f>5-S9</f>
        <v>0</v>
      </c>
    </row>
    <row r="10" spans="2:25" ht="15.75" x14ac:dyDescent="0.25">
      <c r="B10" s="13">
        <v>4</v>
      </c>
      <c r="C10" s="256"/>
      <c r="D10" s="55">
        <v>0.84583333333333333</v>
      </c>
      <c r="E10" s="256"/>
      <c r="F10" s="114"/>
      <c r="G10" s="129">
        <v>10</v>
      </c>
      <c r="H10" s="114"/>
      <c r="I10" s="271"/>
      <c r="J10" s="261"/>
      <c r="O10" s="119">
        <v>0.85416666666666663</v>
      </c>
      <c r="P10" s="270"/>
      <c r="Q10" s="270" t="s">
        <v>220</v>
      </c>
      <c r="S10">
        <v>24</v>
      </c>
      <c r="T10">
        <f>50-S10</f>
        <v>26</v>
      </c>
    </row>
    <row r="11" spans="2:25" ht="15.75" x14ac:dyDescent="0.25">
      <c r="B11" s="13">
        <v>5</v>
      </c>
      <c r="C11" s="256"/>
      <c r="D11" s="55">
        <v>0.84791666666666676</v>
      </c>
      <c r="E11" s="256"/>
      <c r="F11" s="114"/>
      <c r="G11" s="129">
        <v>10</v>
      </c>
      <c r="H11" s="114"/>
      <c r="I11" s="271"/>
      <c r="J11" s="261"/>
      <c r="O11" s="119">
        <v>0.86458333333333337</v>
      </c>
      <c r="P11" s="270" t="s">
        <v>220</v>
      </c>
      <c r="Q11" s="270"/>
      <c r="S11">
        <v>22</v>
      </c>
      <c r="T11">
        <f>50-S11</f>
        <v>28</v>
      </c>
    </row>
    <row r="12" spans="2:25" ht="15.75" x14ac:dyDescent="0.25">
      <c r="B12" s="13">
        <v>6</v>
      </c>
      <c r="C12" s="256"/>
      <c r="D12" s="55">
        <v>0.85</v>
      </c>
      <c r="E12" s="256"/>
      <c r="F12" s="114"/>
      <c r="G12" s="129">
        <v>10</v>
      </c>
      <c r="H12" s="114"/>
      <c r="I12" s="271"/>
      <c r="J12" s="261"/>
      <c r="O12" s="119">
        <v>0.875</v>
      </c>
      <c r="P12" s="270"/>
      <c r="Q12" s="270" t="s">
        <v>221</v>
      </c>
      <c r="S12">
        <v>14</v>
      </c>
      <c r="T12">
        <f>50-S12</f>
        <v>36</v>
      </c>
    </row>
    <row r="13" spans="2:25" ht="15.75" x14ac:dyDescent="0.25">
      <c r="B13" s="13">
        <v>7</v>
      </c>
      <c r="C13" s="257"/>
      <c r="D13" s="55">
        <v>0.8520833333333333</v>
      </c>
      <c r="E13" s="256"/>
      <c r="F13" s="114"/>
      <c r="G13" s="129">
        <v>10</v>
      </c>
      <c r="H13" s="114"/>
      <c r="I13" s="271"/>
      <c r="J13" s="261"/>
      <c r="O13" s="119">
        <v>0.875</v>
      </c>
      <c r="P13" s="270" t="s">
        <v>222</v>
      </c>
      <c r="Q13" s="270"/>
      <c r="S13">
        <v>14</v>
      </c>
      <c r="T13">
        <f>65-S13</f>
        <v>51</v>
      </c>
    </row>
    <row r="14" spans="2:25" ht="15.75" x14ac:dyDescent="0.25">
      <c r="B14" s="100">
        <v>8</v>
      </c>
      <c r="C14" s="255">
        <v>0.85416666666666663</v>
      </c>
      <c r="D14" s="110">
        <v>0.85416666666666663</v>
      </c>
      <c r="E14" s="256"/>
      <c r="F14" s="256" t="s">
        <v>220</v>
      </c>
      <c r="G14" s="129">
        <v>10</v>
      </c>
      <c r="H14" s="111"/>
      <c r="I14" s="271"/>
      <c r="J14" s="261"/>
      <c r="O14" s="119">
        <v>0.88888888888888884</v>
      </c>
      <c r="P14" s="270"/>
      <c r="Q14" s="270" t="s">
        <v>222</v>
      </c>
      <c r="S14">
        <v>14</v>
      </c>
      <c r="T14">
        <f>72-S14</f>
        <v>58</v>
      </c>
    </row>
    <row r="15" spans="2:25" ht="15.75" x14ac:dyDescent="0.25">
      <c r="B15" s="13">
        <v>9</v>
      </c>
      <c r="C15" s="256"/>
      <c r="D15" s="55">
        <v>0.85624999999999996</v>
      </c>
      <c r="E15" s="113"/>
      <c r="F15" s="256"/>
      <c r="G15" s="129">
        <v>10</v>
      </c>
      <c r="H15" s="111"/>
      <c r="I15" s="271"/>
      <c r="J15" s="261"/>
      <c r="O15" s="119">
        <v>0.89930555555555547</v>
      </c>
      <c r="P15" s="270" t="s">
        <v>223</v>
      </c>
      <c r="Q15" s="270"/>
      <c r="S15">
        <v>13</v>
      </c>
      <c r="T15">
        <f>72-S15</f>
        <v>59</v>
      </c>
    </row>
    <row r="16" spans="2:25" ht="15.75" x14ac:dyDescent="0.25">
      <c r="B16" s="13">
        <v>10</v>
      </c>
      <c r="C16" s="256"/>
      <c r="D16" s="55">
        <v>0.85833333333333295</v>
      </c>
      <c r="E16" s="113"/>
      <c r="F16" s="256"/>
      <c r="G16" s="129">
        <v>10</v>
      </c>
      <c r="H16" s="111"/>
      <c r="I16" s="271"/>
      <c r="J16" s="261"/>
      <c r="O16" s="119">
        <v>0.90972222222222221</v>
      </c>
      <c r="P16" s="270"/>
      <c r="Q16" s="270" t="s">
        <v>223</v>
      </c>
      <c r="S16">
        <v>13</v>
      </c>
      <c r="T16">
        <f>73-S16</f>
        <v>60</v>
      </c>
    </row>
    <row r="17" spans="2:20" ht="15.75" x14ac:dyDescent="0.25">
      <c r="B17" s="13">
        <v>11</v>
      </c>
      <c r="C17" s="256"/>
      <c r="D17" s="55">
        <v>0.86041666666666705</v>
      </c>
      <c r="E17" s="113"/>
      <c r="F17" s="256"/>
      <c r="G17" s="129">
        <v>10</v>
      </c>
      <c r="H17" s="111"/>
      <c r="I17" s="271"/>
      <c r="J17" s="261"/>
      <c r="O17" s="119">
        <v>0.92013888888888884</v>
      </c>
      <c r="P17" s="270" t="s">
        <v>223</v>
      </c>
      <c r="Q17" s="270"/>
      <c r="S17">
        <v>11</v>
      </c>
      <c r="T17">
        <f>73-S17</f>
        <v>62</v>
      </c>
    </row>
    <row r="18" spans="2:20" ht="15.75" x14ac:dyDescent="0.25">
      <c r="B18" s="13">
        <v>12</v>
      </c>
      <c r="C18" s="257"/>
      <c r="D18" s="55">
        <v>0.86250000000000004</v>
      </c>
      <c r="E18" s="113"/>
      <c r="F18" s="256"/>
      <c r="G18" s="129">
        <v>10</v>
      </c>
      <c r="H18" s="111"/>
      <c r="I18" s="271"/>
      <c r="J18" s="261"/>
      <c r="O18" s="119">
        <v>0.93055555555555547</v>
      </c>
      <c r="P18" s="270"/>
      <c r="Q18" s="270" t="s">
        <v>223</v>
      </c>
      <c r="S18">
        <v>11</v>
      </c>
      <c r="T18">
        <f>73-S18</f>
        <v>62</v>
      </c>
    </row>
    <row r="19" spans="2:20" ht="15.75" x14ac:dyDescent="0.25">
      <c r="B19" s="13">
        <v>13</v>
      </c>
      <c r="C19" s="255">
        <v>0.86458333333333337</v>
      </c>
      <c r="D19" s="55">
        <v>0.86458333333333504</v>
      </c>
      <c r="E19" s="256" t="s">
        <v>220</v>
      </c>
      <c r="F19" s="256"/>
      <c r="G19" s="129">
        <v>10</v>
      </c>
      <c r="H19" s="111"/>
      <c r="I19" s="271"/>
      <c r="J19" s="261"/>
      <c r="O19" s="119">
        <v>0.94097222222222221</v>
      </c>
      <c r="P19" s="270" t="s">
        <v>222</v>
      </c>
      <c r="Q19" s="270"/>
      <c r="S19">
        <v>11</v>
      </c>
      <c r="T19">
        <f>73-S19</f>
        <v>62</v>
      </c>
    </row>
    <row r="20" spans="2:20" ht="15.75" x14ac:dyDescent="0.25">
      <c r="B20" s="13">
        <v>14</v>
      </c>
      <c r="C20" s="256"/>
      <c r="D20" s="55">
        <v>0.86666666666666903</v>
      </c>
      <c r="E20" s="256"/>
      <c r="F20" s="114"/>
      <c r="G20" s="129">
        <v>10</v>
      </c>
      <c r="H20" s="114"/>
      <c r="I20" s="271"/>
      <c r="J20" s="261"/>
      <c r="O20" s="119">
        <v>0.95138888888888895</v>
      </c>
      <c r="P20" s="270"/>
      <c r="Q20" s="270" t="s">
        <v>222</v>
      </c>
      <c r="S20">
        <v>12</v>
      </c>
      <c r="T20">
        <f>72-S20</f>
        <v>60</v>
      </c>
    </row>
    <row r="21" spans="2:20" ht="15.75" x14ac:dyDescent="0.25">
      <c r="B21" s="13">
        <v>15</v>
      </c>
      <c r="C21" s="256"/>
      <c r="D21" s="55">
        <v>0.86875000000000302</v>
      </c>
      <c r="E21" s="256"/>
      <c r="F21" s="114"/>
      <c r="G21" s="129">
        <v>10</v>
      </c>
      <c r="H21" s="114"/>
      <c r="I21" s="271"/>
      <c r="J21" s="261"/>
      <c r="O21" s="119">
        <v>0.96180555555555602</v>
      </c>
      <c r="P21" s="270" t="s">
        <v>224</v>
      </c>
      <c r="Q21" s="270"/>
      <c r="S21">
        <v>12</v>
      </c>
      <c r="T21">
        <f>72-S21</f>
        <v>60</v>
      </c>
    </row>
    <row r="22" spans="2:20" ht="15.75" x14ac:dyDescent="0.25">
      <c r="B22" s="13">
        <v>16</v>
      </c>
      <c r="C22" s="256"/>
      <c r="D22" s="55">
        <v>0.87083333333333801</v>
      </c>
      <c r="E22" s="256"/>
      <c r="F22" s="114"/>
      <c r="G22" s="129">
        <v>10</v>
      </c>
      <c r="H22" s="114"/>
      <c r="I22" s="271"/>
      <c r="J22" s="261"/>
      <c r="O22" s="119">
        <v>0.97222222222222199</v>
      </c>
      <c r="P22" s="270"/>
      <c r="Q22" s="270" t="s">
        <v>227</v>
      </c>
      <c r="S22">
        <v>13</v>
      </c>
      <c r="T22">
        <f>68-S22</f>
        <v>55</v>
      </c>
    </row>
    <row r="23" spans="2:20" ht="15.75" x14ac:dyDescent="0.25">
      <c r="B23" s="13">
        <v>17</v>
      </c>
      <c r="C23" s="257"/>
      <c r="D23" s="55">
        <v>0.872916666666672</v>
      </c>
      <c r="E23" s="256"/>
      <c r="F23" s="114"/>
      <c r="G23" s="129">
        <v>10</v>
      </c>
      <c r="H23" s="114"/>
      <c r="I23" s="271"/>
      <c r="J23" s="261"/>
      <c r="O23" s="119">
        <v>0.98263888888888895</v>
      </c>
      <c r="P23" s="270" t="s">
        <v>225</v>
      </c>
      <c r="Q23" s="270"/>
      <c r="S23">
        <v>12</v>
      </c>
      <c r="T23">
        <f>60-S23</f>
        <v>48</v>
      </c>
    </row>
    <row r="24" spans="2:20" ht="15.75" x14ac:dyDescent="0.25">
      <c r="B24" s="13">
        <v>18</v>
      </c>
      <c r="C24" s="255">
        <v>0.875</v>
      </c>
      <c r="D24" s="55">
        <v>0.87500000000000799</v>
      </c>
      <c r="E24" s="256"/>
      <c r="F24" s="256" t="s">
        <v>221</v>
      </c>
      <c r="G24" s="129">
        <v>10</v>
      </c>
      <c r="H24" s="111"/>
      <c r="I24" s="271"/>
      <c r="J24" s="261"/>
      <c r="O24" s="119">
        <v>0.99305555555555602</v>
      </c>
      <c r="P24" s="270"/>
      <c r="Q24" s="270" t="s">
        <v>225</v>
      </c>
      <c r="S24">
        <v>13</v>
      </c>
      <c r="T24">
        <f>70-S24</f>
        <v>57</v>
      </c>
    </row>
    <row r="25" spans="2:20" ht="15.75" x14ac:dyDescent="0.25">
      <c r="B25" s="13">
        <v>19</v>
      </c>
      <c r="C25" s="256"/>
      <c r="D25" s="55">
        <v>0.87708333333334298</v>
      </c>
      <c r="E25" s="113"/>
      <c r="F25" s="256"/>
      <c r="G25" s="129">
        <v>9.2850000000000001</v>
      </c>
      <c r="H25" s="111"/>
      <c r="I25" s="271"/>
      <c r="J25" s="261"/>
      <c r="O25" s="119">
        <v>1.0034722222222201</v>
      </c>
      <c r="P25" s="270" t="s">
        <v>226</v>
      </c>
      <c r="Q25" s="270"/>
      <c r="S25">
        <v>12</v>
      </c>
      <c r="T25">
        <f>70-S25</f>
        <v>58</v>
      </c>
    </row>
    <row r="26" spans="2:20" ht="15.75" x14ac:dyDescent="0.25">
      <c r="B26" s="13">
        <v>20</v>
      </c>
      <c r="C26" s="256"/>
      <c r="D26" s="55">
        <v>0.87916666666667798</v>
      </c>
      <c r="E26" s="113"/>
      <c r="F26" s="256"/>
      <c r="G26" s="129">
        <v>9.2850000000000001</v>
      </c>
      <c r="H26" s="128"/>
      <c r="I26" s="271"/>
      <c r="J26" s="261"/>
      <c r="O26" s="119">
        <v>1.0138888888888899</v>
      </c>
      <c r="P26" s="270"/>
      <c r="Q26" s="270" t="s">
        <v>227</v>
      </c>
      <c r="S26">
        <v>13</v>
      </c>
      <c r="T26">
        <f>95-S26</f>
        <v>82</v>
      </c>
    </row>
    <row r="27" spans="2:20" ht="15.75" x14ac:dyDescent="0.25">
      <c r="B27" s="13">
        <v>21</v>
      </c>
      <c r="C27" s="256"/>
      <c r="D27" s="55">
        <v>0.88125000000001297</v>
      </c>
      <c r="E27" s="113"/>
      <c r="F27" s="256"/>
      <c r="G27" s="129">
        <v>9.2850000000000001</v>
      </c>
      <c r="H27" s="111"/>
      <c r="I27" s="271"/>
      <c r="J27" s="261"/>
      <c r="O27" s="119">
        <v>1.02430555555556</v>
      </c>
      <c r="P27" s="270" t="s">
        <v>227</v>
      </c>
      <c r="Q27" s="270"/>
      <c r="S27">
        <v>20</v>
      </c>
      <c r="T27">
        <f>60-S27</f>
        <v>40</v>
      </c>
    </row>
    <row r="28" spans="2:20" ht="15.75" x14ac:dyDescent="0.25">
      <c r="B28" s="13">
        <v>22</v>
      </c>
      <c r="C28" s="256"/>
      <c r="D28" s="55">
        <v>0.88333333333334796</v>
      </c>
      <c r="E28" s="113"/>
      <c r="F28" s="256"/>
      <c r="G28" s="129">
        <v>9.2850000000000001</v>
      </c>
      <c r="H28" s="111"/>
      <c r="I28" s="271"/>
      <c r="J28" s="261"/>
      <c r="O28" s="119">
        <v>1.0347222222222201</v>
      </c>
      <c r="P28" s="270"/>
      <c r="Q28" s="270" t="s">
        <v>228</v>
      </c>
      <c r="S28">
        <v>22</v>
      </c>
      <c r="T28">
        <f>60-S28</f>
        <v>38</v>
      </c>
    </row>
    <row r="29" spans="2:20" ht="15.75" x14ac:dyDescent="0.25">
      <c r="B29" s="13">
        <v>23</v>
      </c>
      <c r="C29" s="256"/>
      <c r="D29" s="55">
        <v>0.88541666666668295</v>
      </c>
      <c r="E29" s="113"/>
      <c r="F29" s="256"/>
      <c r="G29" s="129">
        <v>9.2850000000000001</v>
      </c>
      <c r="H29" s="111"/>
      <c r="I29" s="271"/>
      <c r="J29" s="261"/>
      <c r="O29" s="119">
        <v>1.0451388888888899</v>
      </c>
      <c r="P29" s="118"/>
      <c r="Q29" s="270"/>
      <c r="S29">
        <v>20</v>
      </c>
      <c r="T29">
        <f>55-S29</f>
        <v>35</v>
      </c>
    </row>
    <row r="30" spans="2:20" ht="15.75" x14ac:dyDescent="0.25">
      <c r="B30" s="13">
        <v>24</v>
      </c>
      <c r="C30" s="257"/>
      <c r="D30" s="55">
        <v>0.88750000000001805</v>
      </c>
      <c r="E30" s="113"/>
      <c r="F30" s="256"/>
      <c r="G30" s="129">
        <v>9.2850000000000001</v>
      </c>
      <c r="H30" s="111"/>
      <c r="I30" s="271"/>
      <c r="J30" s="261"/>
    </row>
    <row r="31" spans="2:20" ht="15.75" x14ac:dyDescent="0.25">
      <c r="B31" s="13">
        <v>25</v>
      </c>
      <c r="C31" s="255">
        <v>0.88888888888888884</v>
      </c>
      <c r="D31" s="54">
        <v>0.88888888888888884</v>
      </c>
      <c r="E31" s="256" t="s">
        <v>222</v>
      </c>
      <c r="F31" s="256"/>
      <c r="G31" s="129">
        <v>9.2850000000000001</v>
      </c>
      <c r="H31" s="111"/>
      <c r="I31" s="271"/>
      <c r="J31" s="261"/>
      <c r="S31">
        <f>SUM(S8:S28)</f>
        <v>307</v>
      </c>
      <c r="T31">
        <f>SUM(T8:T29)</f>
        <v>1037</v>
      </c>
    </row>
    <row r="32" spans="2:20" ht="15.75" x14ac:dyDescent="0.25">
      <c r="B32" s="13">
        <v>26</v>
      </c>
      <c r="C32" s="256"/>
      <c r="D32" s="54">
        <v>0.89097222222222217</v>
      </c>
      <c r="E32" s="256"/>
      <c r="F32" s="114"/>
      <c r="G32" s="129">
        <v>14.4</v>
      </c>
      <c r="H32" s="114"/>
      <c r="I32" s="271"/>
      <c r="J32" s="261"/>
    </row>
    <row r="33" spans="2:31" ht="15.75" x14ac:dyDescent="0.25">
      <c r="B33" s="13">
        <v>27</v>
      </c>
      <c r="C33" s="256"/>
      <c r="D33" s="54">
        <v>0.8930555555555556</v>
      </c>
      <c r="E33" s="256"/>
      <c r="F33" s="114"/>
      <c r="G33" s="129">
        <v>14.4</v>
      </c>
      <c r="H33" s="114"/>
      <c r="I33" s="271"/>
      <c r="J33" s="261"/>
    </row>
    <row r="34" spans="2:31" ht="15.75" x14ac:dyDescent="0.25">
      <c r="B34" s="13">
        <v>28</v>
      </c>
      <c r="C34" s="256"/>
      <c r="D34" s="54">
        <v>0.89513888888888893</v>
      </c>
      <c r="E34" s="256"/>
      <c r="F34" s="114"/>
      <c r="G34" s="129">
        <v>14.4</v>
      </c>
      <c r="H34" s="114"/>
      <c r="I34" s="271"/>
      <c r="J34" s="261"/>
    </row>
    <row r="35" spans="2:31" ht="15.75" x14ac:dyDescent="0.25">
      <c r="B35" s="13">
        <v>29</v>
      </c>
      <c r="C35" s="257"/>
      <c r="D35" s="54">
        <v>0.89722222222222225</v>
      </c>
      <c r="E35" s="256"/>
      <c r="F35" s="114"/>
      <c r="G35" s="129">
        <v>14.4</v>
      </c>
      <c r="H35" s="114"/>
      <c r="I35" s="271"/>
      <c r="J35" s="261"/>
    </row>
    <row r="36" spans="2:31" ht="14.45" customHeight="1" x14ac:dyDescent="0.25">
      <c r="B36" s="13">
        <v>30</v>
      </c>
      <c r="C36" s="255">
        <v>0.89930555555555547</v>
      </c>
      <c r="D36" s="54">
        <v>0.89930555555555602</v>
      </c>
      <c r="E36" s="256"/>
      <c r="F36" s="256" t="s">
        <v>222</v>
      </c>
      <c r="G36" s="129">
        <v>14.4</v>
      </c>
      <c r="H36" s="111"/>
      <c r="I36" s="271"/>
      <c r="J36" s="261"/>
      <c r="O36" s="262" t="s">
        <v>237</v>
      </c>
      <c r="P36" s="262"/>
      <c r="Q36" s="262"/>
      <c r="R36" s="262"/>
      <c r="S36" s="262"/>
      <c r="X36" s="262" t="s">
        <v>237</v>
      </c>
      <c r="Y36" s="262"/>
      <c r="Z36" s="262"/>
      <c r="AA36" s="262"/>
      <c r="AB36" s="262"/>
    </row>
    <row r="37" spans="2:31" ht="16.149999999999999" customHeight="1" x14ac:dyDescent="0.25">
      <c r="B37" s="13">
        <v>31</v>
      </c>
      <c r="C37" s="256"/>
      <c r="D37" s="54">
        <v>0.90138888888888902</v>
      </c>
      <c r="E37" s="113"/>
      <c r="F37" s="256"/>
      <c r="G37" s="129">
        <v>14.4</v>
      </c>
      <c r="H37" s="111"/>
      <c r="I37" s="271"/>
      <c r="J37" s="261"/>
      <c r="O37" s="263"/>
      <c r="P37" s="264"/>
      <c r="Q37" s="264"/>
      <c r="R37" s="264"/>
      <c r="S37" s="265"/>
      <c r="X37" s="263"/>
      <c r="Y37" s="264"/>
      <c r="Z37" s="264"/>
      <c r="AA37" s="264"/>
      <c r="AB37" s="265"/>
    </row>
    <row r="38" spans="2:31" ht="19.899999999999999" customHeight="1" x14ac:dyDescent="0.25">
      <c r="B38" s="13">
        <v>32</v>
      </c>
      <c r="C38" s="256"/>
      <c r="D38" s="54">
        <v>0.90347222222222201</v>
      </c>
      <c r="E38" s="113"/>
      <c r="F38" s="256"/>
      <c r="G38" s="129">
        <v>14.4</v>
      </c>
      <c r="H38" s="111"/>
      <c r="I38" s="271"/>
      <c r="J38" s="261"/>
      <c r="O38" s="16"/>
      <c r="P38" s="16"/>
      <c r="Q38" s="16"/>
      <c r="R38" s="16"/>
      <c r="S38" s="16"/>
      <c r="X38" s="16"/>
      <c r="Y38" s="16"/>
      <c r="Z38" s="16"/>
      <c r="AA38" s="16"/>
      <c r="AB38" s="16"/>
    </row>
    <row r="39" spans="2:31" ht="19.149999999999999" customHeight="1" x14ac:dyDescent="0.25">
      <c r="B39" s="13">
        <v>33</v>
      </c>
      <c r="C39" s="256"/>
      <c r="D39" s="54">
        <v>0.905555555555556</v>
      </c>
      <c r="E39" s="113"/>
      <c r="F39" s="256"/>
      <c r="G39" s="129">
        <v>14.4</v>
      </c>
      <c r="H39" s="111"/>
      <c r="I39" s="271"/>
      <c r="J39" s="261"/>
      <c r="O39" s="16"/>
      <c r="P39" s="16"/>
      <c r="Q39" s="16"/>
      <c r="R39" s="16"/>
      <c r="S39" s="16"/>
      <c r="X39" s="16"/>
      <c r="Y39" s="16"/>
      <c r="Z39" s="16"/>
      <c r="AA39" s="16"/>
      <c r="AB39" s="16"/>
    </row>
    <row r="40" spans="2:31" ht="13.9" customHeight="1" x14ac:dyDescent="0.25">
      <c r="B40" s="13">
        <v>34</v>
      </c>
      <c r="C40" s="257"/>
      <c r="D40" s="54">
        <v>0.90763888888888899</v>
      </c>
      <c r="E40" s="113"/>
      <c r="F40" s="256"/>
      <c r="G40" s="129">
        <v>14.4</v>
      </c>
      <c r="H40" s="111"/>
      <c r="I40" s="271"/>
      <c r="J40" s="261"/>
      <c r="K40" s="258">
        <v>9.0277777777777776E-2</v>
      </c>
      <c r="O40" s="121" t="s">
        <v>152</v>
      </c>
      <c r="P40" s="122" t="s">
        <v>233</v>
      </c>
      <c r="Q40" s="122" t="s">
        <v>234</v>
      </c>
      <c r="R40" s="122" t="s">
        <v>235</v>
      </c>
      <c r="S40" s="122" t="s">
        <v>236</v>
      </c>
      <c r="T40" s="126" t="s">
        <v>239</v>
      </c>
      <c r="U40" s="126" t="s">
        <v>239</v>
      </c>
      <c r="V40" s="126" t="s">
        <v>239</v>
      </c>
      <c r="X40" s="121" t="s">
        <v>152</v>
      </c>
      <c r="Y40" s="122" t="s">
        <v>233</v>
      </c>
      <c r="Z40" s="122" t="s">
        <v>234</v>
      </c>
      <c r="AA40" s="122" t="s">
        <v>235</v>
      </c>
      <c r="AB40" s="122" t="s">
        <v>236</v>
      </c>
    </row>
    <row r="41" spans="2:31" ht="15.75" x14ac:dyDescent="0.25">
      <c r="B41" s="100">
        <v>35</v>
      </c>
      <c r="C41" s="255">
        <v>0.90972222222222221</v>
      </c>
      <c r="D41" s="101">
        <v>0.90972222222222199</v>
      </c>
      <c r="E41" s="256" t="s">
        <v>223</v>
      </c>
      <c r="F41" s="256"/>
      <c r="G41" s="129">
        <v>14.4</v>
      </c>
      <c r="H41" s="111"/>
      <c r="I41" s="271"/>
      <c r="J41" s="261"/>
      <c r="K41" s="259"/>
      <c r="N41">
        <v>1</v>
      </c>
      <c r="O41" s="120">
        <v>0.82638888888888884</v>
      </c>
      <c r="P41" s="31">
        <v>0</v>
      </c>
      <c r="Q41" s="31">
        <v>0</v>
      </c>
      <c r="R41" s="31">
        <v>0</v>
      </c>
      <c r="S41" s="31">
        <f>SUM(Q41:R41)</f>
        <v>0</v>
      </c>
      <c r="T41" s="127">
        <f>SUM($Q$41:Q41)</f>
        <v>0</v>
      </c>
      <c r="U41" s="127">
        <f>SUM($R$41:R41)</f>
        <v>0</v>
      </c>
      <c r="V41" s="127">
        <f>SUM($S$41:S41)</f>
        <v>0</v>
      </c>
      <c r="W41" s="125"/>
      <c r="X41" s="120">
        <v>9.0277777777777776E-2</v>
      </c>
      <c r="Y41" s="31">
        <v>0</v>
      </c>
      <c r="Z41" s="31">
        <v>0</v>
      </c>
      <c r="AA41" s="31">
        <v>0</v>
      </c>
      <c r="AB41" s="31">
        <f>SUM(Z41:AA41)</f>
        <v>0</v>
      </c>
      <c r="AC41">
        <f>SUM($Z$41:Z41)</f>
        <v>0</v>
      </c>
      <c r="AD41">
        <f>SUM($AA$41:AA41)</f>
        <v>0</v>
      </c>
      <c r="AE41">
        <f>SUM($AB$41:AB41)</f>
        <v>0</v>
      </c>
    </row>
    <row r="42" spans="2:31" ht="15.75" x14ac:dyDescent="0.25">
      <c r="B42" s="13">
        <v>36</v>
      </c>
      <c r="C42" s="256"/>
      <c r="D42" s="54">
        <v>0.91180555555555498</v>
      </c>
      <c r="E42" s="256"/>
      <c r="F42" s="114"/>
      <c r="G42" s="129">
        <v>14.6</v>
      </c>
      <c r="H42" s="114"/>
      <c r="I42" s="271"/>
      <c r="J42" s="261"/>
      <c r="K42" s="259"/>
      <c r="N42">
        <v>2</v>
      </c>
      <c r="O42" s="120">
        <v>0.84027777777777779</v>
      </c>
      <c r="P42" s="120">
        <f>O42-O41</f>
        <v>1.3888888888888951E-2</v>
      </c>
      <c r="Q42" s="31">
        <v>0</v>
      </c>
      <c r="R42" s="31">
        <v>26</v>
      </c>
      <c r="S42" s="31">
        <f t="shared" ref="S42:S45" si="0">SUM(Q42:R42)</f>
        <v>26</v>
      </c>
      <c r="T42" s="127">
        <f>SUM($Q$41:Q42)</f>
        <v>0</v>
      </c>
      <c r="U42" s="127">
        <f>SUM($R$41:R42)</f>
        <v>26</v>
      </c>
      <c r="V42" s="127">
        <f>SUM($S$41:S42)</f>
        <v>26</v>
      </c>
      <c r="X42" s="120">
        <v>0.10069444444444443</v>
      </c>
      <c r="Y42" s="120">
        <f>X42-X41</f>
        <v>1.0416666666666657E-2</v>
      </c>
      <c r="Z42" s="31">
        <f>65-AA42</f>
        <v>41</v>
      </c>
      <c r="AA42" s="31">
        <v>24</v>
      </c>
      <c r="AB42" s="31">
        <f t="shared" ref="AB42:AB45" si="1">SUM(Z42:AA42)</f>
        <v>65</v>
      </c>
      <c r="AC42">
        <f>SUM($Z$41:Z42)</f>
        <v>41</v>
      </c>
      <c r="AD42">
        <f>SUM($AA$41:AA42)</f>
        <v>24</v>
      </c>
      <c r="AE42">
        <f>SUM($AB$41:AB42)</f>
        <v>65</v>
      </c>
    </row>
    <row r="43" spans="2:31" ht="15.75" x14ac:dyDescent="0.25">
      <c r="B43" s="13">
        <v>37</v>
      </c>
      <c r="C43" s="256"/>
      <c r="D43" s="54">
        <v>0.91388888888888797</v>
      </c>
      <c r="E43" s="256"/>
      <c r="F43" s="114"/>
      <c r="G43" s="129">
        <v>14.6</v>
      </c>
      <c r="H43" s="114"/>
      <c r="I43" s="271"/>
      <c r="J43" s="261"/>
      <c r="K43" s="259"/>
      <c r="N43">
        <v>3</v>
      </c>
      <c r="O43" s="120">
        <v>0.84375</v>
      </c>
      <c r="P43" s="120">
        <f t="shared" ref="P43:P45" si="2">O43-O42</f>
        <v>3.4722222222222099E-3</v>
      </c>
      <c r="Q43" s="31">
        <v>0</v>
      </c>
      <c r="R43" s="31">
        <v>5</v>
      </c>
      <c r="S43" s="31">
        <f t="shared" si="0"/>
        <v>5</v>
      </c>
      <c r="T43" s="127">
        <f>SUM($Q$41:Q43)</f>
        <v>0</v>
      </c>
      <c r="U43" s="127">
        <f>SUM($R$41:R43)</f>
        <v>31</v>
      </c>
      <c r="V43" s="127">
        <f>SUM($S$41:S43)</f>
        <v>31</v>
      </c>
      <c r="W43" s="125"/>
      <c r="X43" s="120">
        <v>0.11111111111111099</v>
      </c>
      <c r="Y43" s="120">
        <f t="shared" ref="Y43:Y45" si="3">X43-X42</f>
        <v>1.041666666666656E-2</v>
      </c>
      <c r="Z43" s="31">
        <f>65-AA43</f>
        <v>40</v>
      </c>
      <c r="AA43" s="31">
        <v>25</v>
      </c>
      <c r="AB43" s="31">
        <f t="shared" si="1"/>
        <v>65</v>
      </c>
      <c r="AC43">
        <f>SUM($Z$41:Z43)</f>
        <v>81</v>
      </c>
      <c r="AD43">
        <f>SUM($AA$41:AA43)</f>
        <v>49</v>
      </c>
      <c r="AE43">
        <f>SUM($AB$41:AB43)</f>
        <v>130</v>
      </c>
    </row>
    <row r="44" spans="2:31" ht="15.75" x14ac:dyDescent="0.25">
      <c r="B44" s="13">
        <v>38</v>
      </c>
      <c r="C44" s="256"/>
      <c r="D44" s="54">
        <v>0.91597222222222097</v>
      </c>
      <c r="E44" s="256"/>
      <c r="F44" s="114"/>
      <c r="G44" s="129">
        <v>14.6</v>
      </c>
      <c r="H44" s="114"/>
      <c r="I44" s="271"/>
      <c r="J44" s="261"/>
      <c r="K44" s="260"/>
      <c r="N44">
        <v>4</v>
      </c>
      <c r="O44" s="120">
        <v>0.85416666666666663</v>
      </c>
      <c r="P44" s="120">
        <f t="shared" si="2"/>
        <v>1.041666666666663E-2</v>
      </c>
      <c r="Q44" s="31">
        <v>26</v>
      </c>
      <c r="R44" s="31">
        <v>24</v>
      </c>
      <c r="S44" s="31">
        <f t="shared" si="0"/>
        <v>50</v>
      </c>
      <c r="T44" s="127">
        <f>SUM($Q$41:Q44)</f>
        <v>26</v>
      </c>
      <c r="U44" s="127">
        <f>SUM($R$41:R44)</f>
        <v>55</v>
      </c>
      <c r="V44" s="127">
        <f>SUM($S$41:S44)</f>
        <v>81</v>
      </c>
      <c r="X44" s="120">
        <v>0.121527777777778</v>
      </c>
      <c r="Y44" s="120">
        <f t="shared" si="3"/>
        <v>1.0416666666667004E-2</v>
      </c>
      <c r="Z44" s="31">
        <f>60-AA44</f>
        <v>38</v>
      </c>
      <c r="AA44" s="31">
        <v>22</v>
      </c>
      <c r="AB44" s="31">
        <f t="shared" si="1"/>
        <v>60</v>
      </c>
      <c r="AC44">
        <f>SUM($Z$41:Z44)</f>
        <v>119</v>
      </c>
      <c r="AD44">
        <f>SUM($AA$41:AA44)</f>
        <v>71</v>
      </c>
      <c r="AE44">
        <f>SUM($AB$41:AB44)</f>
        <v>190</v>
      </c>
    </row>
    <row r="45" spans="2:31" ht="15.75" x14ac:dyDescent="0.25">
      <c r="B45" s="13">
        <v>39</v>
      </c>
      <c r="C45" s="257"/>
      <c r="D45" s="54">
        <v>0.91805555555555396</v>
      </c>
      <c r="E45" s="256"/>
      <c r="F45" s="114"/>
      <c r="G45" s="129">
        <v>14.6</v>
      </c>
      <c r="H45" s="114"/>
      <c r="I45" s="124"/>
      <c r="J45" s="261"/>
      <c r="K45" s="255">
        <v>0.10069444444444443</v>
      </c>
      <c r="N45">
        <v>5</v>
      </c>
      <c r="O45" s="120">
        <v>0.86458333333333337</v>
      </c>
      <c r="P45" s="120">
        <f t="shared" si="2"/>
        <v>1.0416666666666741E-2</v>
      </c>
      <c r="Q45" s="31">
        <v>26</v>
      </c>
      <c r="R45" s="31">
        <v>22</v>
      </c>
      <c r="S45" s="31">
        <f t="shared" si="0"/>
        <v>48</v>
      </c>
      <c r="T45" s="127">
        <f>SUM($Q$41:Q45)</f>
        <v>52</v>
      </c>
      <c r="U45" s="127">
        <f>SUM($R$41:R45)</f>
        <v>77</v>
      </c>
      <c r="V45" s="127">
        <f>SUM($S$41:S45)</f>
        <v>129</v>
      </c>
      <c r="W45" s="125"/>
      <c r="X45" s="120">
        <v>0.131944444444444</v>
      </c>
      <c r="Y45" s="120">
        <f t="shared" si="3"/>
        <v>1.0416666666666005E-2</v>
      </c>
      <c r="Z45" s="31">
        <v>56</v>
      </c>
      <c r="AA45" s="31">
        <v>24</v>
      </c>
      <c r="AB45" s="31">
        <f t="shared" si="1"/>
        <v>80</v>
      </c>
      <c r="AC45">
        <f>SUM($Z$41:Z45)</f>
        <v>175</v>
      </c>
      <c r="AD45">
        <f>SUM($AA$41:AA45)</f>
        <v>95</v>
      </c>
      <c r="AE45">
        <f>SUM($AB$41:AB45)</f>
        <v>270</v>
      </c>
    </row>
    <row r="46" spans="2:31" ht="15.75" x14ac:dyDescent="0.25">
      <c r="B46" s="13">
        <v>40</v>
      </c>
      <c r="C46" s="255">
        <v>0.92013888888888895</v>
      </c>
      <c r="D46" s="54">
        <v>0.92013888888888695</v>
      </c>
      <c r="E46" s="256"/>
      <c r="F46" s="256" t="s">
        <v>223</v>
      </c>
      <c r="G46" s="129">
        <v>14.6</v>
      </c>
      <c r="H46" s="114"/>
      <c r="I46" s="124"/>
      <c r="J46" s="99"/>
      <c r="K46" s="256"/>
      <c r="N46">
        <v>6</v>
      </c>
      <c r="O46" s="120">
        <v>0.875</v>
      </c>
      <c r="P46" s="120">
        <f t="shared" ref="P46:P62" si="4">O46-O45</f>
        <v>1.041666666666663E-2</v>
      </c>
      <c r="Q46" s="31">
        <v>51</v>
      </c>
      <c r="R46" s="31">
        <v>14</v>
      </c>
      <c r="S46" s="31">
        <f t="shared" ref="S46:S62" si="5">SUM(Q46:R46)</f>
        <v>65</v>
      </c>
      <c r="T46" s="127">
        <f>SUM($Q$41:Q46)</f>
        <v>103</v>
      </c>
      <c r="U46" s="127">
        <f>SUM($R$41:R46)</f>
        <v>91</v>
      </c>
      <c r="V46" s="127">
        <f>SUM($S$41:S46)</f>
        <v>194</v>
      </c>
      <c r="W46" s="32"/>
      <c r="X46" s="120">
        <v>0.14236111111111099</v>
      </c>
      <c r="Y46" s="120">
        <f t="shared" ref="Y46:Y61" si="6">X46-X45</f>
        <v>1.041666666666699E-2</v>
      </c>
      <c r="Z46" s="31">
        <f>55-AA46</f>
        <v>42</v>
      </c>
      <c r="AA46" s="31">
        <v>13</v>
      </c>
      <c r="AB46" s="31">
        <f t="shared" ref="AB46:AB61" si="7">SUM(Z46:AA46)</f>
        <v>55</v>
      </c>
      <c r="AC46">
        <f>SUM($Z$41:Z46)</f>
        <v>217</v>
      </c>
      <c r="AD46">
        <f>SUM($AA$41:AA46)</f>
        <v>108</v>
      </c>
      <c r="AE46">
        <f>SUM($AB$41:AB46)</f>
        <v>325</v>
      </c>
    </row>
    <row r="47" spans="2:31" ht="15.75" x14ac:dyDescent="0.25">
      <c r="B47" s="13">
        <v>41</v>
      </c>
      <c r="C47" s="256"/>
      <c r="D47" s="54">
        <v>0.92222222222221995</v>
      </c>
      <c r="E47" s="113"/>
      <c r="F47" s="256"/>
      <c r="G47" s="129">
        <v>14.6</v>
      </c>
      <c r="H47" s="111"/>
      <c r="I47" s="271"/>
      <c r="J47" s="99"/>
      <c r="K47" s="256"/>
      <c r="N47">
        <v>7</v>
      </c>
      <c r="O47" s="120">
        <v>0.88888888888888884</v>
      </c>
      <c r="P47" s="120">
        <f t="shared" si="4"/>
        <v>1.388888888888884E-2</v>
      </c>
      <c r="Q47" s="31">
        <v>80</v>
      </c>
      <c r="R47" s="31">
        <v>14</v>
      </c>
      <c r="S47" s="31">
        <f t="shared" si="5"/>
        <v>94</v>
      </c>
      <c r="T47" s="127">
        <f>SUM($Q$41:Q47)</f>
        <v>183</v>
      </c>
      <c r="U47" s="127">
        <f>SUM($R$41:R47)</f>
        <v>105</v>
      </c>
      <c r="V47" s="127">
        <f>SUM($S$41:S47)</f>
        <v>288</v>
      </c>
      <c r="X47" s="120">
        <v>0.15277777777777801</v>
      </c>
      <c r="Y47" s="120">
        <f t="shared" si="6"/>
        <v>1.0416666666667018E-2</v>
      </c>
      <c r="Z47" s="31">
        <f>52-AA47</f>
        <v>38</v>
      </c>
      <c r="AA47" s="31">
        <v>14</v>
      </c>
      <c r="AB47" s="31">
        <f t="shared" si="7"/>
        <v>52</v>
      </c>
      <c r="AC47">
        <f>SUM($Z$41:Z47)</f>
        <v>255</v>
      </c>
      <c r="AD47">
        <f>SUM($AA$41:AA47)</f>
        <v>122</v>
      </c>
      <c r="AE47">
        <f>SUM($AB$41:AB47)</f>
        <v>377</v>
      </c>
    </row>
    <row r="48" spans="2:31" ht="15.75" x14ac:dyDescent="0.25">
      <c r="B48" s="13">
        <v>42</v>
      </c>
      <c r="C48" s="256"/>
      <c r="D48" s="54">
        <v>0.92430555555555305</v>
      </c>
      <c r="E48" s="113"/>
      <c r="F48" s="256"/>
      <c r="G48" s="129">
        <v>14.6</v>
      </c>
      <c r="H48" s="111"/>
      <c r="I48" s="271"/>
      <c r="J48" s="261"/>
      <c r="K48" s="256"/>
      <c r="N48">
        <v>8</v>
      </c>
      <c r="O48" s="120">
        <v>0.89930555555555547</v>
      </c>
      <c r="P48" s="120">
        <f t="shared" si="4"/>
        <v>1.041666666666663E-2</v>
      </c>
      <c r="Q48" s="31">
        <v>65</v>
      </c>
      <c r="R48" s="31">
        <v>13</v>
      </c>
      <c r="S48" s="31">
        <f t="shared" si="5"/>
        <v>78</v>
      </c>
      <c r="T48" s="127">
        <f>SUM($Q$41:Q48)</f>
        <v>248</v>
      </c>
      <c r="U48" s="127">
        <f>SUM($R$41:R48)</f>
        <v>118</v>
      </c>
      <c r="V48" s="127">
        <f>SUM($S$41:S48)</f>
        <v>366</v>
      </c>
      <c r="W48" s="125"/>
      <c r="X48" s="120">
        <v>0.163194444444444</v>
      </c>
      <c r="Y48" s="120">
        <f t="shared" si="6"/>
        <v>1.0416666666665991E-2</v>
      </c>
      <c r="Z48" s="31">
        <v>70</v>
      </c>
      <c r="AA48" s="31">
        <v>14</v>
      </c>
      <c r="AB48" s="31">
        <f t="shared" si="7"/>
        <v>84</v>
      </c>
      <c r="AC48">
        <f>SUM($Z$41:Z48)</f>
        <v>325</v>
      </c>
      <c r="AD48">
        <f>SUM($AA$41:AA48)</f>
        <v>136</v>
      </c>
      <c r="AE48">
        <f>SUM($AB$41:AB48)</f>
        <v>461</v>
      </c>
    </row>
    <row r="49" spans="2:31" ht="15.75" x14ac:dyDescent="0.25">
      <c r="B49" s="13">
        <v>43</v>
      </c>
      <c r="C49" s="256"/>
      <c r="D49" s="54">
        <v>0.92638888888888604</v>
      </c>
      <c r="E49" s="113"/>
      <c r="F49" s="256"/>
      <c r="G49" s="129">
        <v>14.6</v>
      </c>
      <c r="H49" s="111"/>
      <c r="I49" s="271"/>
      <c r="J49" s="261"/>
      <c r="K49" s="256"/>
      <c r="N49">
        <v>9</v>
      </c>
      <c r="O49" s="120">
        <v>0.90972222222222221</v>
      </c>
      <c r="P49" s="120">
        <f t="shared" si="4"/>
        <v>1.0416666666666741E-2</v>
      </c>
      <c r="Q49" s="31">
        <v>100</v>
      </c>
      <c r="R49" s="31">
        <v>13</v>
      </c>
      <c r="S49" s="31">
        <f t="shared" si="5"/>
        <v>113</v>
      </c>
      <c r="T49" s="127">
        <f>SUM($Q$41:Q49)</f>
        <v>348</v>
      </c>
      <c r="U49" s="127">
        <f>SUM($R$41:R49)</f>
        <v>131</v>
      </c>
      <c r="V49" s="127">
        <f>SUM($S$41:S49)</f>
        <v>479</v>
      </c>
      <c r="X49" s="120">
        <v>0.17361111111111099</v>
      </c>
      <c r="Y49" s="120">
        <f t="shared" si="6"/>
        <v>1.041666666666699E-2</v>
      </c>
      <c r="Z49" s="31">
        <f>57-AA49</f>
        <v>42</v>
      </c>
      <c r="AA49" s="31">
        <v>15</v>
      </c>
      <c r="AB49" s="31">
        <f t="shared" si="7"/>
        <v>57</v>
      </c>
      <c r="AC49">
        <f>SUM($Z$41:Z49)</f>
        <v>367</v>
      </c>
      <c r="AD49">
        <f>SUM($AA$41:AA49)</f>
        <v>151</v>
      </c>
      <c r="AE49">
        <f>SUM($AB$41:AB49)</f>
        <v>518</v>
      </c>
    </row>
    <row r="50" spans="2:31" ht="15.75" x14ac:dyDescent="0.25">
      <c r="B50" s="13">
        <v>44</v>
      </c>
      <c r="C50" s="257"/>
      <c r="D50" s="54">
        <v>0.92847222222221903</v>
      </c>
      <c r="E50" s="113"/>
      <c r="F50" s="256"/>
      <c r="G50" s="129">
        <v>14.6</v>
      </c>
      <c r="H50" s="111"/>
      <c r="I50" s="271"/>
      <c r="J50" s="261"/>
      <c r="K50" s="257"/>
      <c r="N50">
        <v>10</v>
      </c>
      <c r="O50" s="120">
        <v>0.92013888888888884</v>
      </c>
      <c r="P50" s="120">
        <f t="shared" si="4"/>
        <v>1.041666666666663E-2</v>
      </c>
      <c r="Q50" s="31">
        <v>62</v>
      </c>
      <c r="R50" s="31">
        <v>11</v>
      </c>
      <c r="S50" s="31">
        <f t="shared" si="5"/>
        <v>73</v>
      </c>
      <c r="T50" s="127">
        <f>SUM($Q$41:Q50)</f>
        <v>410</v>
      </c>
      <c r="U50" s="127">
        <f>SUM($R$41:R50)</f>
        <v>142</v>
      </c>
      <c r="V50" s="127">
        <f>SUM($S$41:S50)</f>
        <v>552</v>
      </c>
      <c r="W50" s="125"/>
      <c r="X50" s="120">
        <v>0.18402777777777801</v>
      </c>
      <c r="Y50" s="120">
        <f t="shared" si="6"/>
        <v>1.0416666666667018E-2</v>
      </c>
      <c r="Z50" s="31">
        <f>59-AA50</f>
        <v>45</v>
      </c>
      <c r="AA50" s="31">
        <v>14</v>
      </c>
      <c r="AB50" s="31">
        <f t="shared" si="7"/>
        <v>59</v>
      </c>
      <c r="AC50">
        <f>SUM($Z$41:Z50)</f>
        <v>412</v>
      </c>
      <c r="AD50">
        <f>SUM($AA$41:AA50)</f>
        <v>165</v>
      </c>
      <c r="AE50">
        <f>SUM($AB$41:AB50)</f>
        <v>577</v>
      </c>
    </row>
    <row r="51" spans="2:31" ht="15.75" x14ac:dyDescent="0.25">
      <c r="B51" s="13">
        <v>45</v>
      </c>
      <c r="C51" s="255">
        <v>0.93055555555555547</v>
      </c>
      <c r="D51" s="54">
        <v>0.93055555555555203</v>
      </c>
      <c r="E51" s="256" t="s">
        <v>223</v>
      </c>
      <c r="F51" s="256"/>
      <c r="G51" s="129">
        <v>14.6</v>
      </c>
      <c r="H51" s="111"/>
      <c r="I51" s="271"/>
      <c r="J51" s="261"/>
      <c r="K51" s="255">
        <v>0.1111111111111111</v>
      </c>
      <c r="N51">
        <v>11</v>
      </c>
      <c r="O51" s="120">
        <v>0.93055555555555547</v>
      </c>
      <c r="P51" s="120">
        <f t="shared" si="4"/>
        <v>1.041666666666663E-2</v>
      </c>
      <c r="Q51" s="31">
        <v>62</v>
      </c>
      <c r="R51" s="31">
        <v>11</v>
      </c>
      <c r="S51" s="31">
        <f t="shared" si="5"/>
        <v>73</v>
      </c>
      <c r="T51" s="127">
        <f>SUM($Q$41:Q51)</f>
        <v>472</v>
      </c>
      <c r="U51" s="127">
        <f>SUM($R$41:R51)</f>
        <v>153</v>
      </c>
      <c r="V51" s="127">
        <f>SUM($S$41:S51)</f>
        <v>625</v>
      </c>
      <c r="X51" s="120">
        <v>0.194444444444445</v>
      </c>
      <c r="Y51" s="120">
        <f t="shared" si="6"/>
        <v>1.041666666666699E-2</v>
      </c>
      <c r="Z51" s="31">
        <f>59-AA51</f>
        <v>45</v>
      </c>
      <c r="AA51" s="31">
        <v>14</v>
      </c>
      <c r="AB51" s="31">
        <f t="shared" si="7"/>
        <v>59</v>
      </c>
      <c r="AC51">
        <f>SUM($Z$41:Z51)</f>
        <v>457</v>
      </c>
      <c r="AD51">
        <f>SUM($AA$41:AA51)</f>
        <v>179</v>
      </c>
      <c r="AE51">
        <f>SUM($AB$41:AB51)</f>
        <v>636</v>
      </c>
    </row>
    <row r="52" spans="2:31" ht="15.75" x14ac:dyDescent="0.25">
      <c r="B52" s="13">
        <v>46</v>
      </c>
      <c r="C52" s="256"/>
      <c r="D52" s="54">
        <v>0.93263888888888502</v>
      </c>
      <c r="E52" s="256"/>
      <c r="F52" s="114"/>
      <c r="G52" s="129">
        <v>14.6</v>
      </c>
      <c r="H52" s="114"/>
      <c r="I52" s="271"/>
      <c r="J52" s="261"/>
      <c r="K52" s="256"/>
      <c r="N52">
        <v>12</v>
      </c>
      <c r="O52" s="120">
        <v>0.94097222222222221</v>
      </c>
      <c r="P52" s="120">
        <f t="shared" si="4"/>
        <v>1.0416666666666741E-2</v>
      </c>
      <c r="Q52" s="31">
        <v>62</v>
      </c>
      <c r="R52" s="31">
        <v>11</v>
      </c>
      <c r="S52" s="31">
        <f t="shared" si="5"/>
        <v>73</v>
      </c>
      <c r="T52" s="127">
        <f>SUM($Q$41:Q52)</f>
        <v>534</v>
      </c>
      <c r="U52" s="127">
        <f>SUM($R$41:R52)</f>
        <v>164</v>
      </c>
      <c r="V52" s="127">
        <f>SUM($S$41:S52)</f>
        <v>698</v>
      </c>
      <c r="W52" s="125"/>
      <c r="X52" s="120">
        <v>0.20486111111111099</v>
      </c>
      <c r="Y52" s="120">
        <f t="shared" si="6"/>
        <v>1.0416666666665991E-2</v>
      </c>
      <c r="Z52" s="31">
        <f>55-AA52</f>
        <v>40</v>
      </c>
      <c r="AA52" s="31">
        <v>15</v>
      </c>
      <c r="AB52" s="31">
        <f t="shared" si="7"/>
        <v>55</v>
      </c>
      <c r="AC52">
        <f>SUM($Z$41:Z52)</f>
        <v>497</v>
      </c>
      <c r="AD52">
        <f>SUM($AA$41:AA52)</f>
        <v>194</v>
      </c>
      <c r="AE52">
        <f>SUM($AB$41:AB52)</f>
        <v>691</v>
      </c>
    </row>
    <row r="53" spans="2:31" ht="15.75" x14ac:dyDescent="0.25">
      <c r="B53" s="13">
        <v>47</v>
      </c>
      <c r="C53" s="256"/>
      <c r="D53" s="54">
        <v>0.93472222222221801</v>
      </c>
      <c r="E53" s="256"/>
      <c r="F53" s="114"/>
      <c r="G53" s="129">
        <v>14.6</v>
      </c>
      <c r="H53" s="114"/>
      <c r="I53" s="271"/>
      <c r="J53" s="261"/>
      <c r="K53" s="256"/>
      <c r="N53">
        <v>13</v>
      </c>
      <c r="O53" s="120">
        <v>0.95138888888888895</v>
      </c>
      <c r="P53" s="120">
        <f t="shared" si="4"/>
        <v>1.0416666666666741E-2</v>
      </c>
      <c r="Q53" s="31">
        <v>60</v>
      </c>
      <c r="R53" s="31">
        <v>12</v>
      </c>
      <c r="S53" s="31">
        <f t="shared" si="5"/>
        <v>72</v>
      </c>
      <c r="T53" s="127">
        <f>SUM($Q$41:Q53)</f>
        <v>594</v>
      </c>
      <c r="U53" s="127">
        <f>SUM($R$41:R53)</f>
        <v>176</v>
      </c>
      <c r="V53" s="127">
        <f>SUM($S$41:S53)</f>
        <v>770</v>
      </c>
      <c r="X53" s="120">
        <v>0.21527777777777801</v>
      </c>
      <c r="Y53" s="120">
        <f t="shared" si="6"/>
        <v>1.0416666666667018E-2</v>
      </c>
      <c r="Z53" s="31">
        <f>55-AA53</f>
        <v>38</v>
      </c>
      <c r="AA53" s="31">
        <v>17</v>
      </c>
      <c r="AB53" s="31">
        <f t="shared" si="7"/>
        <v>55</v>
      </c>
      <c r="AC53">
        <f>SUM($Z$41:Z53)</f>
        <v>535</v>
      </c>
      <c r="AD53">
        <f>SUM($AA$41:AA53)</f>
        <v>211</v>
      </c>
      <c r="AE53">
        <f>SUM($AB$41:AB53)</f>
        <v>746</v>
      </c>
    </row>
    <row r="54" spans="2:31" ht="15.75" x14ac:dyDescent="0.25">
      <c r="B54" s="13">
        <v>48</v>
      </c>
      <c r="C54" s="256"/>
      <c r="D54" s="54">
        <v>0.93680555555555101</v>
      </c>
      <c r="E54" s="256"/>
      <c r="F54" s="114"/>
      <c r="G54" s="129">
        <v>14.6</v>
      </c>
      <c r="H54" s="114"/>
      <c r="I54" s="271"/>
      <c r="J54" s="261"/>
      <c r="K54" s="256"/>
      <c r="N54">
        <v>14</v>
      </c>
      <c r="O54" s="120">
        <v>0.96180555555555602</v>
      </c>
      <c r="P54" s="120">
        <f t="shared" si="4"/>
        <v>1.0416666666667074E-2</v>
      </c>
      <c r="Q54" s="31">
        <v>50</v>
      </c>
      <c r="R54" s="31">
        <v>12</v>
      </c>
      <c r="S54" s="31">
        <f t="shared" si="5"/>
        <v>62</v>
      </c>
      <c r="T54" s="127">
        <f>SUM($Q$41:Q54)</f>
        <v>644</v>
      </c>
      <c r="U54" s="127">
        <f>SUM($R$41:R54)</f>
        <v>188</v>
      </c>
      <c r="V54" s="127">
        <f>SUM($S$41:S54)</f>
        <v>832</v>
      </c>
      <c r="W54" s="125"/>
      <c r="X54" s="120">
        <v>0.225694444444445</v>
      </c>
      <c r="Y54" s="120">
        <f t="shared" si="6"/>
        <v>1.041666666666699E-2</v>
      </c>
      <c r="Z54" s="31">
        <f>60-AA54</f>
        <v>45</v>
      </c>
      <c r="AA54" s="31">
        <v>15</v>
      </c>
      <c r="AB54" s="31">
        <f t="shared" si="7"/>
        <v>60</v>
      </c>
      <c r="AC54">
        <f>SUM($Z$41:Z54)</f>
        <v>580</v>
      </c>
      <c r="AD54">
        <f>SUM($AA$41:AA54)</f>
        <v>226</v>
      </c>
      <c r="AE54">
        <f>SUM($AB$41:AB54)</f>
        <v>806</v>
      </c>
    </row>
    <row r="55" spans="2:31" ht="15.75" x14ac:dyDescent="0.25">
      <c r="B55" s="13">
        <v>49</v>
      </c>
      <c r="C55" s="257"/>
      <c r="D55" s="54">
        <v>0.938888888888884</v>
      </c>
      <c r="E55" s="256"/>
      <c r="F55" s="114"/>
      <c r="G55" s="129">
        <v>14.6</v>
      </c>
      <c r="H55" s="114"/>
      <c r="I55" s="271"/>
      <c r="J55" s="261"/>
      <c r="K55" s="257"/>
      <c r="N55">
        <v>15</v>
      </c>
      <c r="O55" s="120">
        <v>0.97222222222222199</v>
      </c>
      <c r="P55" s="120">
        <f t="shared" si="4"/>
        <v>1.0416666666665964E-2</v>
      </c>
      <c r="Q55" s="31">
        <v>60</v>
      </c>
      <c r="R55" s="31">
        <v>13</v>
      </c>
      <c r="S55" s="31">
        <f t="shared" si="5"/>
        <v>73</v>
      </c>
      <c r="T55" s="127">
        <f>SUM($Q$41:Q55)</f>
        <v>704</v>
      </c>
      <c r="U55" s="127">
        <f>SUM($R$41:R55)</f>
        <v>201</v>
      </c>
      <c r="V55" s="127">
        <f>SUM($S$41:S55)</f>
        <v>905</v>
      </c>
      <c r="X55" s="120">
        <v>0.23611111111111099</v>
      </c>
      <c r="Y55" s="120">
        <f t="shared" si="6"/>
        <v>1.0416666666665991E-2</v>
      </c>
      <c r="Z55" s="31">
        <f>62-AA55</f>
        <v>47</v>
      </c>
      <c r="AA55" s="31">
        <v>15</v>
      </c>
      <c r="AB55" s="31">
        <f t="shared" si="7"/>
        <v>62</v>
      </c>
      <c r="AC55">
        <f>SUM($Z$41:Z55)</f>
        <v>627</v>
      </c>
      <c r="AD55">
        <f>SUM($AA$41:AA55)</f>
        <v>241</v>
      </c>
      <c r="AE55">
        <f>SUM($AB$41:AB55)</f>
        <v>868</v>
      </c>
    </row>
    <row r="56" spans="2:31" ht="15.75" x14ac:dyDescent="0.25">
      <c r="B56" s="13">
        <v>50</v>
      </c>
      <c r="C56" s="255">
        <v>0.94097222222222221</v>
      </c>
      <c r="D56" s="54">
        <v>0.94097222222221699</v>
      </c>
      <c r="E56" s="256"/>
      <c r="F56" s="256" t="s">
        <v>223</v>
      </c>
      <c r="G56" s="129">
        <v>14.6</v>
      </c>
      <c r="H56" s="111"/>
      <c r="I56" s="271"/>
      <c r="J56" s="261"/>
      <c r="K56" s="258">
        <v>0.121527777777778</v>
      </c>
      <c r="N56">
        <v>16</v>
      </c>
      <c r="O56" s="120">
        <v>0.98263888888888895</v>
      </c>
      <c r="P56" s="120">
        <f t="shared" si="4"/>
        <v>1.0416666666666963E-2</v>
      </c>
      <c r="Q56" s="31">
        <v>48</v>
      </c>
      <c r="R56" s="31">
        <v>12</v>
      </c>
      <c r="S56" s="31">
        <f t="shared" si="5"/>
        <v>60</v>
      </c>
      <c r="T56" s="127">
        <f>SUM($Q$41:Q56)</f>
        <v>752</v>
      </c>
      <c r="U56" s="127">
        <f>SUM($R$41:R56)</f>
        <v>213</v>
      </c>
      <c r="V56" s="127">
        <f>SUM($S$41:S56)</f>
        <v>965</v>
      </c>
      <c r="W56" s="125"/>
      <c r="X56" s="120">
        <v>0.24652777777777801</v>
      </c>
      <c r="Y56" s="120">
        <f t="shared" si="6"/>
        <v>1.0416666666667018E-2</v>
      </c>
      <c r="Z56" s="31">
        <f>68-AA56</f>
        <v>54</v>
      </c>
      <c r="AA56" s="31">
        <v>14</v>
      </c>
      <c r="AB56" s="31">
        <f t="shared" si="7"/>
        <v>68</v>
      </c>
      <c r="AC56">
        <f>SUM($Z$41:Z56)</f>
        <v>681</v>
      </c>
      <c r="AD56">
        <f>SUM($AA$41:AA56)</f>
        <v>255</v>
      </c>
      <c r="AE56">
        <f>SUM($AB$41:AB56)</f>
        <v>936</v>
      </c>
    </row>
    <row r="57" spans="2:31" ht="15.75" x14ac:dyDescent="0.25">
      <c r="B57" s="13">
        <v>51</v>
      </c>
      <c r="C57" s="256"/>
      <c r="D57" s="54">
        <v>0.94305555555554998</v>
      </c>
      <c r="E57" s="113"/>
      <c r="F57" s="256"/>
      <c r="G57" s="129">
        <v>14.6</v>
      </c>
      <c r="H57" s="111"/>
      <c r="I57" s="271"/>
      <c r="J57" s="261"/>
      <c r="K57" s="259"/>
      <c r="N57">
        <v>17</v>
      </c>
      <c r="O57" s="120">
        <v>0.99305555555555602</v>
      </c>
      <c r="P57" s="120">
        <f t="shared" si="4"/>
        <v>1.0416666666667074E-2</v>
      </c>
      <c r="Q57" s="31">
        <v>50</v>
      </c>
      <c r="R57" s="31">
        <v>13</v>
      </c>
      <c r="S57" s="31">
        <f t="shared" si="5"/>
        <v>63</v>
      </c>
      <c r="T57" s="127">
        <f>SUM($Q$41:Q57)</f>
        <v>802</v>
      </c>
      <c r="U57" s="127">
        <f>SUM($R$41:R57)</f>
        <v>226</v>
      </c>
      <c r="V57" s="127">
        <f>SUM($S$41:S57)</f>
        <v>1028</v>
      </c>
      <c r="X57" s="120">
        <v>0.25694444444444497</v>
      </c>
      <c r="Y57" s="120">
        <f t="shared" si="6"/>
        <v>1.0416666666666963E-2</v>
      </c>
      <c r="Z57" s="31">
        <f>68-AA57</f>
        <v>55</v>
      </c>
      <c r="AA57" s="31">
        <v>13</v>
      </c>
      <c r="AB57" s="31">
        <f t="shared" si="7"/>
        <v>68</v>
      </c>
      <c r="AC57">
        <f>SUM($Z$41:Z57)</f>
        <v>736</v>
      </c>
      <c r="AD57">
        <f>SUM($AA$41:AA57)</f>
        <v>268</v>
      </c>
      <c r="AE57">
        <f>SUM($AB$41:AB57)</f>
        <v>1004</v>
      </c>
    </row>
    <row r="58" spans="2:31" ht="15.75" x14ac:dyDescent="0.25">
      <c r="B58" s="13">
        <v>52</v>
      </c>
      <c r="C58" s="256"/>
      <c r="D58" s="54">
        <v>0.94513888888888298</v>
      </c>
      <c r="E58" s="113"/>
      <c r="F58" s="256"/>
      <c r="G58" s="129">
        <v>14.6</v>
      </c>
      <c r="H58" s="111"/>
      <c r="I58" s="271"/>
      <c r="J58" s="261"/>
      <c r="K58" s="259"/>
      <c r="N58">
        <v>18</v>
      </c>
      <c r="O58" s="120">
        <v>1.0034722222222201</v>
      </c>
      <c r="P58" s="120">
        <f t="shared" si="4"/>
        <v>1.0416666666664076E-2</v>
      </c>
      <c r="Q58" s="31">
        <v>100</v>
      </c>
      <c r="R58" s="31">
        <v>12</v>
      </c>
      <c r="S58" s="31">
        <f t="shared" si="5"/>
        <v>112</v>
      </c>
      <c r="T58" s="127">
        <f>SUM($Q$41:Q58)</f>
        <v>902</v>
      </c>
      <c r="U58" s="127">
        <f>SUM($R$41:R58)</f>
        <v>238</v>
      </c>
      <c r="V58" s="127">
        <f>SUM($S$41:S58)</f>
        <v>1140</v>
      </c>
      <c r="W58" s="125"/>
      <c r="X58" s="120">
        <v>0.26736111111111099</v>
      </c>
      <c r="Y58" s="120">
        <f t="shared" si="6"/>
        <v>1.0416666666666019E-2</v>
      </c>
      <c r="Z58" s="31">
        <f>72-AA58</f>
        <v>59</v>
      </c>
      <c r="AA58" s="31">
        <v>13</v>
      </c>
      <c r="AB58" s="31">
        <f t="shared" si="7"/>
        <v>72</v>
      </c>
      <c r="AC58">
        <f>SUM($Z$41:Z58)</f>
        <v>795</v>
      </c>
      <c r="AD58">
        <f>SUM($AA$41:AA58)</f>
        <v>281</v>
      </c>
      <c r="AE58">
        <f>SUM($AB$41:AB58)</f>
        <v>1076</v>
      </c>
    </row>
    <row r="59" spans="2:31" ht="15.75" x14ac:dyDescent="0.25">
      <c r="B59" s="13">
        <v>53</v>
      </c>
      <c r="C59" s="256"/>
      <c r="D59" s="54">
        <v>0.94722222222221597</v>
      </c>
      <c r="E59" s="113"/>
      <c r="F59" s="256"/>
      <c r="G59" s="129">
        <v>14.6</v>
      </c>
      <c r="H59" s="111"/>
      <c r="I59" s="271"/>
      <c r="J59" s="261"/>
      <c r="K59" s="259"/>
      <c r="N59">
        <v>19</v>
      </c>
      <c r="O59" s="120">
        <v>1.0138888888888899</v>
      </c>
      <c r="P59" s="120">
        <f t="shared" si="4"/>
        <v>1.0416666666669849E-2</v>
      </c>
      <c r="Q59" s="31">
        <v>60</v>
      </c>
      <c r="R59" s="31">
        <v>13</v>
      </c>
      <c r="S59" s="31">
        <f t="shared" si="5"/>
        <v>73</v>
      </c>
      <c r="T59" s="127">
        <f>SUM($Q$41:Q59)</f>
        <v>962</v>
      </c>
      <c r="U59" s="127">
        <f>SUM($R$41:R59)</f>
        <v>251</v>
      </c>
      <c r="V59" s="127">
        <f>SUM($S$41:S59)</f>
        <v>1213</v>
      </c>
      <c r="X59" s="120">
        <v>0.27777777777777801</v>
      </c>
      <c r="Y59" s="120">
        <f t="shared" si="6"/>
        <v>1.0416666666667018E-2</v>
      </c>
      <c r="Z59" s="31">
        <v>26</v>
      </c>
      <c r="AA59" s="31">
        <v>21</v>
      </c>
      <c r="AB59" s="31">
        <f t="shared" si="7"/>
        <v>47</v>
      </c>
      <c r="AC59">
        <f>SUM($Z$41:Z59)</f>
        <v>821</v>
      </c>
      <c r="AD59">
        <f>SUM($AA$41:AA59)</f>
        <v>302</v>
      </c>
      <c r="AE59">
        <f>SUM($AB$41:AB59)</f>
        <v>1123</v>
      </c>
    </row>
    <row r="60" spans="2:31" ht="15.75" x14ac:dyDescent="0.25">
      <c r="B60" s="13">
        <v>54</v>
      </c>
      <c r="C60" s="257"/>
      <c r="D60" s="54">
        <v>0.94930555555554896</v>
      </c>
      <c r="E60" s="113"/>
      <c r="F60" s="256"/>
      <c r="G60" s="129">
        <v>14.6</v>
      </c>
      <c r="H60" s="111"/>
      <c r="I60" s="271"/>
      <c r="J60" s="261"/>
      <c r="K60" s="260"/>
      <c r="N60">
        <v>20</v>
      </c>
      <c r="O60" s="120">
        <v>1.02430555555556</v>
      </c>
      <c r="P60" s="120">
        <f t="shared" si="4"/>
        <v>1.0416666666670071E-2</v>
      </c>
      <c r="Q60" s="31">
        <v>40</v>
      </c>
      <c r="R60" s="31">
        <v>20</v>
      </c>
      <c r="S60" s="31">
        <f t="shared" si="5"/>
        <v>60</v>
      </c>
      <c r="T60" s="127">
        <f>SUM($Q$41:Q60)</f>
        <v>1002</v>
      </c>
      <c r="U60" s="127">
        <f>SUM($R$41:R60)</f>
        <v>271</v>
      </c>
      <c r="V60" s="127">
        <f>SUM($S$41:S60)</f>
        <v>1273</v>
      </c>
      <c r="W60" s="125"/>
      <c r="X60" s="120">
        <v>0.28819444444444398</v>
      </c>
      <c r="Y60" s="120">
        <f t="shared" si="6"/>
        <v>1.0416666666665964E-2</v>
      </c>
      <c r="Z60" s="31">
        <v>34</v>
      </c>
      <c r="AA60" s="31">
        <v>23</v>
      </c>
      <c r="AB60" s="31">
        <f t="shared" si="7"/>
        <v>57</v>
      </c>
      <c r="AC60">
        <f>SUM($Z$41:Z60)</f>
        <v>855</v>
      </c>
      <c r="AD60">
        <f>SUM($AA$41:AA60)</f>
        <v>325</v>
      </c>
      <c r="AE60">
        <f>SUM($AB$41:AB60)</f>
        <v>1180</v>
      </c>
    </row>
    <row r="61" spans="2:31" ht="15.75" x14ac:dyDescent="0.25">
      <c r="B61" s="13">
        <v>55</v>
      </c>
      <c r="C61" s="255">
        <v>0.95138888888888884</v>
      </c>
      <c r="D61" s="54">
        <v>0.95138888888888196</v>
      </c>
      <c r="E61" s="256" t="s">
        <v>222</v>
      </c>
      <c r="F61" s="256"/>
      <c r="G61" s="129">
        <v>14.6</v>
      </c>
      <c r="H61" s="111"/>
      <c r="I61" s="271"/>
      <c r="J61" s="261"/>
      <c r="K61" s="255">
        <v>0.131944444444444</v>
      </c>
      <c r="N61">
        <v>21</v>
      </c>
      <c r="O61" s="120">
        <v>1.0347222222222201</v>
      </c>
      <c r="P61" s="120">
        <f t="shared" si="4"/>
        <v>1.0416666666660079E-2</v>
      </c>
      <c r="Q61" s="31">
        <v>0</v>
      </c>
      <c r="R61" s="31">
        <v>22</v>
      </c>
      <c r="S61" s="31">
        <f t="shared" si="5"/>
        <v>22</v>
      </c>
      <c r="T61" s="127">
        <f>SUM($Q$41:Q61)</f>
        <v>1002</v>
      </c>
      <c r="U61" s="127">
        <f>SUM($R$41:R61)</f>
        <v>293</v>
      </c>
      <c r="V61" s="127">
        <f>SUM($S$41:S61)</f>
        <v>1295</v>
      </c>
      <c r="X61" s="120">
        <v>0.29861111111111099</v>
      </c>
      <c r="Y61" s="120">
        <f t="shared" si="6"/>
        <v>1.0416666666667018E-2</v>
      </c>
      <c r="Z61" s="31">
        <f>80-AA61</f>
        <v>53</v>
      </c>
      <c r="AA61" s="31">
        <v>27</v>
      </c>
      <c r="AB61" s="31">
        <f t="shared" si="7"/>
        <v>80</v>
      </c>
      <c r="AC61">
        <f>SUM($Z$41:Z61)</f>
        <v>908</v>
      </c>
      <c r="AD61">
        <f>SUM($AA$41:AA61)</f>
        <v>352</v>
      </c>
      <c r="AE61">
        <f>SUM($AB$41:AB61)</f>
        <v>1260</v>
      </c>
    </row>
    <row r="62" spans="2:31" ht="15.75" x14ac:dyDescent="0.25">
      <c r="B62" s="13">
        <v>56</v>
      </c>
      <c r="C62" s="256"/>
      <c r="D62" s="54">
        <v>0.95347222222221495</v>
      </c>
      <c r="E62" s="256"/>
      <c r="F62" s="114"/>
      <c r="G62" s="129">
        <v>14.4</v>
      </c>
      <c r="H62" s="114"/>
      <c r="I62" s="271"/>
      <c r="J62" s="261"/>
      <c r="K62" s="256"/>
      <c r="N62">
        <v>22</v>
      </c>
      <c r="O62" s="120">
        <v>1.0451388888888899</v>
      </c>
      <c r="P62" s="120">
        <f t="shared" si="4"/>
        <v>1.0416666666669849E-2</v>
      </c>
      <c r="Q62" s="31">
        <v>0</v>
      </c>
      <c r="R62" s="31">
        <v>20</v>
      </c>
      <c r="S62" s="31">
        <f t="shared" si="5"/>
        <v>20</v>
      </c>
      <c r="T62" s="127">
        <f>SUM($Q$41:Q62)</f>
        <v>1002</v>
      </c>
      <c r="U62" s="127">
        <f>SUM($R$41:R62)</f>
        <v>313</v>
      </c>
      <c r="V62" s="127">
        <f>SUM($S$41:S62)</f>
        <v>1315</v>
      </c>
      <c r="W62" s="125"/>
    </row>
    <row r="63" spans="2:31" ht="15.75" x14ac:dyDescent="0.25">
      <c r="B63" s="13">
        <v>57</v>
      </c>
      <c r="C63" s="256"/>
      <c r="D63" s="54">
        <v>0.95555555555554805</v>
      </c>
      <c r="E63" s="256"/>
      <c r="F63" s="114"/>
      <c r="G63" s="129">
        <v>14.4</v>
      </c>
      <c r="H63" s="114"/>
      <c r="I63" s="271"/>
      <c r="J63" s="261"/>
      <c r="K63" s="256"/>
      <c r="X63" s="120"/>
      <c r="Y63" s="120"/>
      <c r="Z63" s="31"/>
      <c r="AA63" s="31"/>
      <c r="AB63" s="31"/>
    </row>
    <row r="64" spans="2:31" ht="15.75" x14ac:dyDescent="0.25">
      <c r="B64" s="13">
        <v>58</v>
      </c>
      <c r="C64" s="256"/>
      <c r="D64" s="54">
        <v>0.95763888888888105</v>
      </c>
      <c r="E64" s="256"/>
      <c r="F64" s="114"/>
      <c r="G64" s="129">
        <v>14.4</v>
      </c>
      <c r="H64" s="114"/>
      <c r="I64" s="271"/>
      <c r="J64" s="261"/>
      <c r="K64" s="256"/>
      <c r="O64" s="266" t="s">
        <v>238</v>
      </c>
      <c r="P64" s="267"/>
      <c r="Q64" s="267"/>
      <c r="R64" s="267"/>
      <c r="S64" s="268"/>
      <c r="X64" s="266" t="s">
        <v>238</v>
      </c>
      <c r="Y64" s="267"/>
      <c r="Z64" s="267"/>
      <c r="AA64" s="267"/>
      <c r="AB64" s="268"/>
    </row>
    <row r="65" spans="2:28" ht="15.75" x14ac:dyDescent="0.25">
      <c r="B65" s="13">
        <v>59</v>
      </c>
      <c r="C65" s="257"/>
      <c r="D65" s="54">
        <v>0.95972222222221404</v>
      </c>
      <c r="E65" s="256"/>
      <c r="F65" s="114"/>
      <c r="G65" s="129">
        <v>14.4</v>
      </c>
      <c r="H65" s="114"/>
      <c r="I65" s="271"/>
      <c r="J65" s="261"/>
      <c r="K65" s="257"/>
      <c r="O65" s="269">
        <f>SUM(P41:P62)</f>
        <v>0.21875000000000111</v>
      </c>
      <c r="P65" s="269"/>
      <c r="Q65" s="123">
        <f>SUM(Q41:Q62)</f>
        <v>1002</v>
      </c>
      <c r="R65" s="123">
        <f>SUM(R41:R62)</f>
        <v>313</v>
      </c>
      <c r="S65" s="123">
        <f>SUM(S41:S62)</f>
        <v>1315</v>
      </c>
      <c r="X65" s="269">
        <f>SUM(Y41:Y63)</f>
        <v>0.2083333333333332</v>
      </c>
      <c r="Y65" s="269"/>
      <c r="Z65" s="123">
        <f>SUM(Z41:Z63)</f>
        <v>908</v>
      </c>
      <c r="AA65" s="123">
        <f>SUM(AA41:AA63)</f>
        <v>352</v>
      </c>
      <c r="AB65" s="123">
        <f>SUM(AB41:AB63)</f>
        <v>1260</v>
      </c>
    </row>
    <row r="66" spans="2:28" ht="15.75" x14ac:dyDescent="0.25">
      <c r="B66" s="13">
        <v>60</v>
      </c>
      <c r="C66" s="255">
        <v>0.96180555555555547</v>
      </c>
      <c r="D66" s="54">
        <v>0.96180555555554703</v>
      </c>
      <c r="E66" s="256"/>
      <c r="F66" s="256" t="s">
        <v>222</v>
      </c>
      <c r="G66" s="129">
        <v>14.4</v>
      </c>
      <c r="H66" s="111"/>
      <c r="I66" s="271"/>
      <c r="J66" s="261"/>
      <c r="K66" s="255">
        <v>0.14236111111111099</v>
      </c>
      <c r="Q66" s="188">
        <f>'Testing DF8 (3)'!CA136*1000</f>
        <v>1015.5380885347145</v>
      </c>
      <c r="Z66">
        <f>'Testing DF8 (3)'!CA242*1000</f>
        <v>931.69864030419876</v>
      </c>
    </row>
    <row r="67" spans="2:28" ht="15.75" x14ac:dyDescent="0.25">
      <c r="B67" s="13">
        <v>61</v>
      </c>
      <c r="C67" s="256"/>
      <c r="D67" s="54">
        <v>0.96388888888888002</v>
      </c>
      <c r="E67" s="113"/>
      <c r="F67" s="256"/>
      <c r="G67" s="129">
        <v>14.4</v>
      </c>
      <c r="H67" s="111"/>
      <c r="I67" s="271"/>
      <c r="J67" s="261"/>
      <c r="K67" s="256"/>
      <c r="Q67">
        <f>Q65/Q66</f>
        <v>0.9866690489627542</v>
      </c>
      <c r="Z67">
        <f>Z65/Z66</f>
        <v>0.97456404970553445</v>
      </c>
    </row>
    <row r="68" spans="2:28" ht="15.75" x14ac:dyDescent="0.25">
      <c r="B68" s="13">
        <v>62</v>
      </c>
      <c r="C68" s="256"/>
      <c r="D68" s="54">
        <v>0.96597222222221302</v>
      </c>
      <c r="E68" s="113"/>
      <c r="F68" s="256"/>
      <c r="G68" s="129">
        <v>14.4</v>
      </c>
      <c r="H68" s="111"/>
      <c r="I68" s="271"/>
      <c r="J68" s="261"/>
      <c r="K68" s="256"/>
    </row>
    <row r="69" spans="2:28" ht="15.75" x14ac:dyDescent="0.25">
      <c r="B69" s="13">
        <v>63</v>
      </c>
      <c r="C69" s="256"/>
      <c r="D69" s="54">
        <v>0.96805555555554601</v>
      </c>
      <c r="E69" s="113"/>
      <c r="F69" s="256"/>
      <c r="G69" s="129">
        <v>14.4</v>
      </c>
      <c r="H69" s="111"/>
      <c r="I69" s="271"/>
      <c r="J69" s="261"/>
      <c r="K69" s="256"/>
    </row>
    <row r="70" spans="2:28" ht="15.75" x14ac:dyDescent="0.25">
      <c r="B70" s="13">
        <v>64</v>
      </c>
      <c r="C70" s="257"/>
      <c r="D70" s="54">
        <v>0.970138888888879</v>
      </c>
      <c r="E70" s="113"/>
      <c r="F70" s="256"/>
      <c r="G70" s="129">
        <v>14.4</v>
      </c>
      <c r="H70" s="111"/>
      <c r="I70" s="271"/>
      <c r="J70" s="261"/>
      <c r="K70" s="257"/>
    </row>
    <row r="71" spans="2:28" ht="15.75" x14ac:dyDescent="0.25">
      <c r="B71" s="13">
        <v>65</v>
      </c>
      <c r="C71" s="255">
        <v>0.97222222222222199</v>
      </c>
      <c r="D71" s="54">
        <v>0.972222222222212</v>
      </c>
      <c r="E71" s="256" t="s">
        <v>224</v>
      </c>
      <c r="F71" s="256"/>
      <c r="G71" s="129">
        <v>14.4</v>
      </c>
      <c r="H71" s="111"/>
      <c r="I71" s="271"/>
      <c r="J71" s="261"/>
      <c r="K71" s="258">
        <v>0.15277777777777801</v>
      </c>
    </row>
    <row r="72" spans="2:28" ht="15.75" x14ac:dyDescent="0.25">
      <c r="B72" s="13">
        <v>66</v>
      </c>
      <c r="C72" s="256"/>
      <c r="D72" s="54">
        <v>0.97430555555554499</v>
      </c>
      <c r="E72" s="256"/>
      <c r="F72" s="114"/>
      <c r="G72" s="129">
        <v>13.6</v>
      </c>
      <c r="H72" s="114"/>
      <c r="I72" s="271"/>
      <c r="J72" s="261"/>
      <c r="K72" s="259"/>
    </row>
    <row r="73" spans="2:28" ht="15.75" x14ac:dyDescent="0.25">
      <c r="B73" s="13">
        <v>67</v>
      </c>
      <c r="C73" s="256"/>
      <c r="D73" s="54">
        <v>0.97638888888887798</v>
      </c>
      <c r="E73" s="256"/>
      <c r="F73" s="114"/>
      <c r="G73" s="129">
        <v>13.6</v>
      </c>
      <c r="H73" s="114"/>
      <c r="I73" s="271"/>
      <c r="J73" s="261"/>
      <c r="K73" s="259"/>
    </row>
    <row r="74" spans="2:28" ht="15.75" x14ac:dyDescent="0.25">
      <c r="B74" s="13">
        <v>68</v>
      </c>
      <c r="C74" s="256"/>
      <c r="D74" s="54">
        <v>0.97847222222221097</v>
      </c>
      <c r="E74" s="256"/>
      <c r="F74" s="114"/>
      <c r="G74" s="129">
        <v>13.6</v>
      </c>
      <c r="H74" s="114"/>
      <c r="I74" s="271"/>
      <c r="J74" s="261"/>
      <c r="K74" s="259"/>
    </row>
    <row r="75" spans="2:28" ht="15.75" x14ac:dyDescent="0.25">
      <c r="B75" s="13">
        <v>69</v>
      </c>
      <c r="C75" s="257"/>
      <c r="D75" s="54">
        <v>0.98055555555554397</v>
      </c>
      <c r="E75" s="256"/>
      <c r="F75" s="114"/>
      <c r="G75" s="129">
        <v>13.6</v>
      </c>
      <c r="H75" s="114"/>
      <c r="I75" s="271"/>
      <c r="J75" s="261"/>
      <c r="K75" s="260"/>
    </row>
    <row r="76" spans="2:28" ht="15.75" x14ac:dyDescent="0.25">
      <c r="B76" s="13">
        <v>70</v>
      </c>
      <c r="C76" s="255">
        <v>0.98263888888888895</v>
      </c>
      <c r="D76" s="54">
        <v>0.98263888888887696</v>
      </c>
      <c r="E76" s="256"/>
      <c r="F76" s="256" t="s">
        <v>225</v>
      </c>
      <c r="G76" s="129">
        <v>13.6</v>
      </c>
      <c r="H76" s="111"/>
      <c r="I76" s="271"/>
      <c r="J76" s="261"/>
      <c r="K76" s="255">
        <v>0.163194444444444</v>
      </c>
    </row>
    <row r="77" spans="2:28" ht="15.75" x14ac:dyDescent="0.25">
      <c r="B77" s="13">
        <v>71</v>
      </c>
      <c r="C77" s="256"/>
      <c r="D77" s="54">
        <v>0.98472222222220995</v>
      </c>
      <c r="E77" s="113"/>
      <c r="F77" s="256"/>
      <c r="G77" s="129">
        <v>14</v>
      </c>
      <c r="H77" s="111"/>
      <c r="I77" s="271"/>
      <c r="J77" s="261"/>
      <c r="K77" s="256"/>
    </row>
    <row r="78" spans="2:28" ht="15.75" x14ac:dyDescent="0.25">
      <c r="B78" s="13">
        <v>72</v>
      </c>
      <c r="C78" s="256"/>
      <c r="D78" s="54">
        <v>0.98680555555554295</v>
      </c>
      <c r="E78" s="113"/>
      <c r="F78" s="256"/>
      <c r="G78" s="129">
        <v>14</v>
      </c>
      <c r="H78" s="111"/>
      <c r="I78" s="271"/>
      <c r="J78" s="261"/>
      <c r="K78" s="256"/>
    </row>
    <row r="79" spans="2:28" ht="15.75" x14ac:dyDescent="0.25">
      <c r="B79" s="13">
        <v>73</v>
      </c>
      <c r="C79" s="256"/>
      <c r="D79" s="54">
        <v>0.98888888888887605</v>
      </c>
      <c r="E79" s="113"/>
      <c r="F79" s="256"/>
      <c r="G79" s="129">
        <v>14</v>
      </c>
      <c r="H79" s="111"/>
      <c r="I79" s="271"/>
      <c r="J79" s="261"/>
      <c r="K79" s="256"/>
    </row>
    <row r="80" spans="2:28" ht="15.75" x14ac:dyDescent="0.25">
      <c r="B80" s="13">
        <v>74</v>
      </c>
      <c r="C80" s="257"/>
      <c r="D80" s="54">
        <v>0.99097222222220904</v>
      </c>
      <c r="E80" s="113"/>
      <c r="F80" s="256"/>
      <c r="G80" s="129">
        <v>14</v>
      </c>
      <c r="H80" s="111"/>
      <c r="I80" s="271"/>
      <c r="J80" s="261"/>
      <c r="K80" s="257"/>
    </row>
    <row r="81" spans="2:11" ht="15.75" x14ac:dyDescent="0.25">
      <c r="B81" s="13">
        <v>75</v>
      </c>
      <c r="C81" s="255">
        <v>0.99305555555555503</v>
      </c>
      <c r="D81" s="54">
        <v>0.99305555555554204</v>
      </c>
      <c r="E81" s="256" t="s">
        <v>225</v>
      </c>
      <c r="F81" s="256"/>
      <c r="G81" s="129">
        <v>14</v>
      </c>
      <c r="H81" s="111"/>
      <c r="I81" s="271"/>
      <c r="J81" s="261"/>
      <c r="K81" s="255">
        <v>0.17361111111111099</v>
      </c>
    </row>
    <row r="82" spans="2:11" ht="15.75" x14ac:dyDescent="0.25">
      <c r="B82" s="13">
        <v>76</v>
      </c>
      <c r="C82" s="256"/>
      <c r="D82" s="54">
        <v>0.99513888888887503</v>
      </c>
      <c r="E82" s="256"/>
      <c r="F82" s="114"/>
      <c r="G82" s="129">
        <v>14</v>
      </c>
      <c r="H82" s="114"/>
      <c r="I82" s="271"/>
      <c r="J82" s="261"/>
      <c r="K82" s="256"/>
    </row>
    <row r="83" spans="2:11" ht="15.75" x14ac:dyDescent="0.25">
      <c r="B83" s="13">
        <v>77</v>
      </c>
      <c r="C83" s="256"/>
      <c r="D83" s="54">
        <v>0.99722222222220802</v>
      </c>
      <c r="E83" s="256"/>
      <c r="F83" s="114"/>
      <c r="G83" s="129">
        <v>14</v>
      </c>
      <c r="H83" s="114"/>
      <c r="I83" s="271"/>
      <c r="J83" s="261"/>
      <c r="K83" s="256"/>
    </row>
    <row r="84" spans="2:11" ht="15.75" x14ac:dyDescent="0.25">
      <c r="B84" s="13">
        <v>78</v>
      </c>
      <c r="C84" s="256"/>
      <c r="D84" s="54">
        <v>0.99930555555554201</v>
      </c>
      <c r="E84" s="256"/>
      <c r="F84" s="114"/>
      <c r="G84" s="129">
        <v>14</v>
      </c>
      <c r="H84" s="114"/>
      <c r="I84" s="271"/>
      <c r="J84" s="261"/>
      <c r="K84" s="256"/>
    </row>
    <row r="85" spans="2:11" ht="15.75" x14ac:dyDescent="0.25">
      <c r="B85" s="13">
        <v>79</v>
      </c>
      <c r="C85" s="257"/>
      <c r="D85" s="54">
        <v>1.00138888888887</v>
      </c>
      <c r="E85" s="256"/>
      <c r="F85" s="114"/>
      <c r="G85" s="129">
        <v>14</v>
      </c>
      <c r="H85" s="114"/>
      <c r="I85" s="271"/>
      <c r="J85" s="261"/>
      <c r="K85" s="257"/>
    </row>
    <row r="86" spans="2:11" ht="15.75" x14ac:dyDescent="0.25">
      <c r="B86" s="13">
        <v>80</v>
      </c>
      <c r="C86" s="255">
        <v>1.0034722222222201</v>
      </c>
      <c r="D86" s="54">
        <v>1.0034722222221999</v>
      </c>
      <c r="E86" s="256"/>
      <c r="F86" s="256" t="s">
        <v>225</v>
      </c>
      <c r="G86" s="129">
        <v>14</v>
      </c>
      <c r="H86" s="111"/>
      <c r="I86" s="271"/>
      <c r="J86" s="261"/>
      <c r="K86" s="258">
        <v>0.18402777777777801</v>
      </c>
    </row>
    <row r="87" spans="2:11" ht="15.75" x14ac:dyDescent="0.25">
      <c r="B87" s="13">
        <v>81</v>
      </c>
      <c r="C87" s="256"/>
      <c r="D87" s="54">
        <v>1.00555555555553</v>
      </c>
      <c r="E87" s="113"/>
      <c r="F87" s="256"/>
      <c r="G87" s="129">
        <v>14</v>
      </c>
      <c r="H87" s="111"/>
      <c r="I87" s="271"/>
      <c r="J87" s="261"/>
      <c r="K87" s="259"/>
    </row>
    <row r="88" spans="2:11" ht="15.75" x14ac:dyDescent="0.25">
      <c r="B88" s="13">
        <v>82</v>
      </c>
      <c r="C88" s="256"/>
      <c r="D88" s="54">
        <v>1.0076388888888499</v>
      </c>
      <c r="E88" s="113"/>
      <c r="F88" s="256"/>
      <c r="G88" s="129">
        <v>14</v>
      </c>
      <c r="H88" s="111"/>
      <c r="I88" s="271"/>
      <c r="J88" s="261"/>
      <c r="K88" s="259"/>
    </row>
    <row r="89" spans="2:11" ht="15.75" x14ac:dyDescent="0.25">
      <c r="B89" s="13">
        <v>83</v>
      </c>
      <c r="C89" s="256"/>
      <c r="D89" s="54">
        <v>1.00972222222218</v>
      </c>
      <c r="E89" s="113"/>
      <c r="F89" s="256"/>
      <c r="G89" s="129">
        <v>14</v>
      </c>
      <c r="H89" s="111"/>
      <c r="I89" s="271"/>
      <c r="J89" s="261"/>
      <c r="K89" s="259"/>
    </row>
    <row r="90" spans="2:11" ht="15.75" x14ac:dyDescent="0.25">
      <c r="B90" s="13">
        <v>84</v>
      </c>
      <c r="C90" s="257"/>
      <c r="D90" s="54">
        <v>1.0118055555555101</v>
      </c>
      <c r="E90" s="113"/>
      <c r="F90" s="256"/>
      <c r="G90" s="129">
        <v>14</v>
      </c>
      <c r="H90" s="111"/>
      <c r="I90" s="271"/>
      <c r="J90" s="261"/>
      <c r="K90" s="260"/>
    </row>
    <row r="91" spans="2:11" ht="15.75" x14ac:dyDescent="0.25">
      <c r="B91" s="13">
        <v>85</v>
      </c>
      <c r="C91" s="255">
        <v>1.0138888888888899</v>
      </c>
      <c r="D91" s="54">
        <v>1.01388888888884</v>
      </c>
      <c r="E91" s="256" t="s">
        <v>226</v>
      </c>
      <c r="F91" s="256"/>
      <c r="G91" s="129">
        <v>14</v>
      </c>
      <c r="H91" s="111"/>
      <c r="I91" s="271"/>
      <c r="J91" s="261"/>
      <c r="K91" s="255">
        <v>0.194444444444445</v>
      </c>
    </row>
    <row r="92" spans="2:11" ht="15.75" x14ac:dyDescent="0.25">
      <c r="B92" s="13">
        <v>86</v>
      </c>
      <c r="C92" s="256"/>
      <c r="D92" s="54">
        <v>1.0159722222221701</v>
      </c>
      <c r="E92" s="256"/>
      <c r="F92" s="114"/>
      <c r="G92" s="129">
        <v>19</v>
      </c>
      <c r="H92" s="114"/>
      <c r="I92" s="271"/>
      <c r="J92" s="261"/>
      <c r="K92" s="256"/>
    </row>
    <row r="93" spans="2:11" ht="15.75" x14ac:dyDescent="0.25">
      <c r="B93" s="13">
        <v>87</v>
      </c>
      <c r="C93" s="256"/>
      <c r="D93" s="54">
        <v>1.0180555555555</v>
      </c>
      <c r="E93" s="256"/>
      <c r="F93" s="114"/>
      <c r="G93" s="129">
        <v>19</v>
      </c>
      <c r="H93" s="114"/>
      <c r="I93" s="271"/>
      <c r="J93" s="261"/>
      <c r="K93" s="256"/>
    </row>
    <row r="94" spans="2:11" ht="15.75" x14ac:dyDescent="0.25">
      <c r="B94" s="13">
        <v>88</v>
      </c>
      <c r="C94" s="256"/>
      <c r="D94" s="54">
        <v>1.0201388888888301</v>
      </c>
      <c r="E94" s="256"/>
      <c r="F94" s="114"/>
      <c r="G94" s="129">
        <v>19</v>
      </c>
      <c r="H94" s="114"/>
      <c r="I94" s="271"/>
      <c r="J94" s="261"/>
      <c r="K94" s="256"/>
    </row>
    <row r="95" spans="2:11" ht="15.75" x14ac:dyDescent="0.25">
      <c r="B95" s="13">
        <v>89</v>
      </c>
      <c r="C95" s="257"/>
      <c r="D95" s="54">
        <v>1.02222222222216</v>
      </c>
      <c r="E95" s="256"/>
      <c r="F95" s="114"/>
      <c r="G95" s="129">
        <v>19</v>
      </c>
      <c r="H95" s="114"/>
      <c r="I95" s="271"/>
      <c r="J95" s="261"/>
      <c r="K95" s="257"/>
    </row>
    <row r="96" spans="2:11" ht="15.75" x14ac:dyDescent="0.25">
      <c r="B96" s="13">
        <v>90</v>
      </c>
      <c r="C96" s="255">
        <v>1.02430555555556</v>
      </c>
      <c r="D96" s="54">
        <v>1.0243055555554901</v>
      </c>
      <c r="E96" s="256"/>
      <c r="F96" s="256" t="s">
        <v>227</v>
      </c>
      <c r="G96" s="129">
        <v>19</v>
      </c>
      <c r="H96" s="111"/>
      <c r="I96" s="271"/>
      <c r="J96" s="261"/>
      <c r="K96" s="255">
        <v>0.20486111111111099</v>
      </c>
    </row>
    <row r="97" spans="2:11" ht="15.75" x14ac:dyDescent="0.25">
      <c r="B97" s="13">
        <v>91</v>
      </c>
      <c r="C97" s="256"/>
      <c r="D97" s="54">
        <v>1.02638888888882</v>
      </c>
      <c r="E97" s="113"/>
      <c r="F97" s="256"/>
      <c r="G97" s="129">
        <v>12</v>
      </c>
      <c r="H97" s="111"/>
      <c r="I97" s="271"/>
      <c r="J97" s="261"/>
      <c r="K97" s="256"/>
    </row>
    <row r="98" spans="2:11" ht="15.75" x14ac:dyDescent="0.25">
      <c r="B98" s="13">
        <v>92</v>
      </c>
      <c r="C98" s="256"/>
      <c r="D98" s="54">
        <v>1.0284722222221501</v>
      </c>
      <c r="E98" s="113"/>
      <c r="F98" s="256"/>
      <c r="G98" s="129">
        <v>12</v>
      </c>
      <c r="H98" s="111"/>
      <c r="I98" s="271"/>
      <c r="J98" s="261"/>
      <c r="K98" s="256"/>
    </row>
    <row r="99" spans="2:11" ht="15.75" x14ac:dyDescent="0.25">
      <c r="B99" s="13">
        <v>93</v>
      </c>
      <c r="C99" s="256"/>
      <c r="D99" s="54">
        <v>1.03055555555548</v>
      </c>
      <c r="E99" s="113"/>
      <c r="F99" s="256"/>
      <c r="G99" s="129">
        <v>12</v>
      </c>
      <c r="H99" s="111"/>
      <c r="I99" s="271"/>
      <c r="J99" s="261"/>
      <c r="K99" s="256"/>
    </row>
    <row r="100" spans="2:11" ht="15.75" x14ac:dyDescent="0.25">
      <c r="B100" s="13">
        <v>94</v>
      </c>
      <c r="C100" s="257"/>
      <c r="D100" s="54">
        <v>1.0326388888888101</v>
      </c>
      <c r="E100" s="113"/>
      <c r="F100" s="256"/>
      <c r="G100" s="129">
        <v>12</v>
      </c>
      <c r="H100" s="111"/>
      <c r="I100" s="271"/>
      <c r="J100" s="261"/>
      <c r="K100" s="257"/>
    </row>
    <row r="101" spans="2:11" ht="15.75" x14ac:dyDescent="0.25">
      <c r="B101" s="13">
        <v>95</v>
      </c>
      <c r="C101" s="255">
        <v>1.0347222222222201</v>
      </c>
      <c r="D101" s="54">
        <v>1.0347222222221399</v>
      </c>
      <c r="E101" s="256" t="s">
        <v>227</v>
      </c>
      <c r="F101" s="256"/>
      <c r="G101" s="129">
        <v>12</v>
      </c>
      <c r="H101" s="111"/>
      <c r="I101" s="271"/>
      <c r="J101" s="261"/>
      <c r="K101" s="258">
        <v>0.21527777777777801</v>
      </c>
    </row>
    <row r="102" spans="2:11" ht="15.75" x14ac:dyDescent="0.25">
      <c r="B102" s="13">
        <v>96</v>
      </c>
      <c r="C102" s="256"/>
      <c r="D102" s="54">
        <v>1.03680555555547</v>
      </c>
      <c r="E102" s="256"/>
      <c r="F102" s="114"/>
      <c r="G102" s="129">
        <v>12</v>
      </c>
      <c r="H102" s="114"/>
      <c r="I102" s="271"/>
      <c r="J102" s="261"/>
      <c r="K102" s="259"/>
    </row>
    <row r="103" spans="2:11" ht="15.75" x14ac:dyDescent="0.25">
      <c r="B103" s="13">
        <v>97</v>
      </c>
      <c r="C103" s="256"/>
      <c r="D103" s="54">
        <v>1.0388888888887999</v>
      </c>
      <c r="E103" s="256"/>
      <c r="F103" s="114"/>
      <c r="G103" s="129">
        <v>12</v>
      </c>
      <c r="H103" s="114"/>
      <c r="I103" s="271"/>
      <c r="J103" s="261"/>
      <c r="K103" s="259"/>
    </row>
    <row r="104" spans="2:11" ht="15.75" x14ac:dyDescent="0.25">
      <c r="B104" s="13">
        <v>98</v>
      </c>
      <c r="C104" s="256"/>
      <c r="D104" s="54">
        <v>1.04097222222213</v>
      </c>
      <c r="E104" s="256"/>
      <c r="F104" s="114"/>
      <c r="G104" s="129">
        <v>12</v>
      </c>
      <c r="H104" s="114"/>
      <c r="I104" s="271"/>
      <c r="J104" s="261"/>
      <c r="K104" s="259"/>
    </row>
    <row r="105" spans="2:11" ht="15.75" x14ac:dyDescent="0.25">
      <c r="B105" s="13">
        <v>99</v>
      </c>
      <c r="C105" s="257"/>
      <c r="D105" s="54">
        <v>1.0430555555554599</v>
      </c>
      <c r="E105" s="256"/>
      <c r="F105" s="114"/>
      <c r="G105" s="129">
        <v>12</v>
      </c>
      <c r="H105" s="114"/>
      <c r="I105" s="271"/>
      <c r="J105" s="261"/>
      <c r="K105" s="260"/>
    </row>
    <row r="106" spans="2:11" ht="15.75" x14ac:dyDescent="0.25">
      <c r="B106" s="13">
        <v>100</v>
      </c>
      <c r="C106" s="255">
        <v>1.0451388888888899</v>
      </c>
      <c r="D106" s="54">
        <v>1.04513888888879</v>
      </c>
      <c r="E106" s="256"/>
      <c r="F106" s="256" t="s">
        <v>228</v>
      </c>
      <c r="G106" s="129">
        <v>12</v>
      </c>
      <c r="H106" s="111"/>
      <c r="I106" s="271"/>
      <c r="J106" s="261"/>
      <c r="K106" s="255">
        <v>0.225694444444445</v>
      </c>
    </row>
    <row r="107" spans="2:11" ht="15.75" x14ac:dyDescent="0.25">
      <c r="B107" s="13">
        <v>101</v>
      </c>
      <c r="C107" s="256"/>
      <c r="D107" s="54">
        <v>1.0472222222221199</v>
      </c>
      <c r="E107" s="113"/>
      <c r="F107" s="256"/>
      <c r="G107" s="129">
        <v>11</v>
      </c>
      <c r="H107" s="111"/>
      <c r="I107" s="271"/>
      <c r="J107" s="261"/>
      <c r="K107" s="256"/>
    </row>
    <row r="108" spans="2:11" ht="15.75" x14ac:dyDescent="0.25">
      <c r="B108" s="13">
        <v>102</v>
      </c>
      <c r="C108" s="256"/>
      <c r="D108" s="54">
        <v>1.04930555555545</v>
      </c>
      <c r="E108" s="113"/>
      <c r="F108" s="256"/>
      <c r="G108" s="129">
        <v>11</v>
      </c>
      <c r="H108" s="111"/>
      <c r="I108" s="271"/>
      <c r="J108" s="261"/>
      <c r="K108" s="256"/>
    </row>
    <row r="109" spans="2:11" ht="15.75" x14ac:dyDescent="0.25">
      <c r="B109" s="13">
        <v>103</v>
      </c>
      <c r="C109" s="256"/>
      <c r="D109" s="54">
        <v>1.0513888888887799</v>
      </c>
      <c r="E109" s="113"/>
      <c r="F109" s="256"/>
      <c r="G109" s="129">
        <v>11</v>
      </c>
      <c r="H109" s="111"/>
      <c r="I109" s="271"/>
      <c r="J109" s="261"/>
      <c r="K109" s="256"/>
    </row>
    <row r="110" spans="2:11" ht="15.75" x14ac:dyDescent="0.25">
      <c r="B110" s="13">
        <v>104</v>
      </c>
      <c r="C110" s="257"/>
      <c r="D110" s="54">
        <v>1.05347222222211</v>
      </c>
      <c r="E110" s="111"/>
      <c r="F110" s="256"/>
      <c r="G110" s="129">
        <v>11</v>
      </c>
      <c r="H110" s="111"/>
      <c r="I110" s="271"/>
      <c r="K110" s="257"/>
    </row>
    <row r="111" spans="2:11" x14ac:dyDescent="0.25">
      <c r="K111" s="255">
        <v>0.23611111111111099</v>
      </c>
    </row>
    <row r="112" spans="2:11" x14ac:dyDescent="0.25">
      <c r="K112" s="256"/>
    </row>
    <row r="113" spans="7:11" x14ac:dyDescent="0.25">
      <c r="G113" s="116">
        <f>SUM(G7:G110)</f>
        <v>1361.9950000000001</v>
      </c>
      <c r="K113" s="256"/>
    </row>
    <row r="114" spans="7:11" x14ac:dyDescent="0.25">
      <c r="K114" s="256"/>
    </row>
    <row r="115" spans="7:11" x14ac:dyDescent="0.25">
      <c r="K115" s="257"/>
    </row>
    <row r="116" spans="7:11" x14ac:dyDescent="0.25">
      <c r="K116" s="258">
        <v>0.24652777777777801</v>
      </c>
    </row>
    <row r="117" spans="7:11" x14ac:dyDescent="0.25">
      <c r="K117" s="259"/>
    </row>
    <row r="118" spans="7:11" x14ac:dyDescent="0.25">
      <c r="K118" s="259"/>
    </row>
    <row r="119" spans="7:11" x14ac:dyDescent="0.25">
      <c r="K119" s="259"/>
    </row>
    <row r="120" spans="7:11" x14ac:dyDescent="0.25">
      <c r="K120" s="260"/>
    </row>
    <row r="121" spans="7:11" x14ac:dyDescent="0.25">
      <c r="K121" s="255">
        <v>0.25694444444444497</v>
      </c>
    </row>
    <row r="122" spans="7:11" x14ac:dyDescent="0.25">
      <c r="K122" s="256"/>
    </row>
    <row r="123" spans="7:11" x14ac:dyDescent="0.25">
      <c r="K123" s="256"/>
    </row>
    <row r="124" spans="7:11" x14ac:dyDescent="0.25">
      <c r="K124" s="256"/>
    </row>
    <row r="125" spans="7:11" x14ac:dyDescent="0.25">
      <c r="K125" s="257"/>
    </row>
    <row r="126" spans="7:11" x14ac:dyDescent="0.25">
      <c r="K126" s="255">
        <v>0.26736111111111099</v>
      </c>
    </row>
    <row r="127" spans="7:11" x14ac:dyDescent="0.25">
      <c r="K127" s="256"/>
    </row>
    <row r="128" spans="7:11" x14ac:dyDescent="0.25">
      <c r="K128" s="256"/>
    </row>
    <row r="129" spans="11:11" x14ac:dyDescent="0.25">
      <c r="K129" s="256"/>
    </row>
    <row r="130" spans="11:11" x14ac:dyDescent="0.25">
      <c r="K130" s="257"/>
    </row>
    <row r="131" spans="11:11" x14ac:dyDescent="0.25">
      <c r="K131" s="258">
        <v>0.27777777777777801</v>
      </c>
    </row>
    <row r="132" spans="11:11" x14ac:dyDescent="0.25">
      <c r="K132" s="259"/>
    </row>
    <row r="133" spans="11:11" x14ac:dyDescent="0.25">
      <c r="K133" s="259"/>
    </row>
    <row r="134" spans="11:11" x14ac:dyDescent="0.25">
      <c r="K134" s="259"/>
    </row>
    <row r="135" spans="11:11" x14ac:dyDescent="0.25">
      <c r="K135" s="260"/>
    </row>
    <row r="136" spans="11:11" x14ac:dyDescent="0.25">
      <c r="K136" s="255">
        <v>0.28819444444444398</v>
      </c>
    </row>
    <row r="137" spans="11:11" x14ac:dyDescent="0.25">
      <c r="K137" s="256"/>
    </row>
    <row r="138" spans="11:11" x14ac:dyDescent="0.25">
      <c r="K138" s="256"/>
    </row>
    <row r="139" spans="11:11" x14ac:dyDescent="0.25">
      <c r="K139" s="256"/>
    </row>
    <row r="140" spans="11:11" x14ac:dyDescent="0.25">
      <c r="K140" s="257"/>
    </row>
    <row r="141" spans="11:11" ht="15.75" x14ac:dyDescent="0.25">
      <c r="K141" s="54">
        <v>0.29861111111111099</v>
      </c>
    </row>
  </sheetData>
  <mergeCells count="196">
    <mergeCell ref="B5:B6"/>
    <mergeCell ref="C5:D5"/>
    <mergeCell ref="C9:C13"/>
    <mergeCell ref="C14:C18"/>
    <mergeCell ref="C19:C23"/>
    <mergeCell ref="C24:C30"/>
    <mergeCell ref="C91:C95"/>
    <mergeCell ref="C96:C100"/>
    <mergeCell ref="C101:C105"/>
    <mergeCell ref="C106:C110"/>
    <mergeCell ref="I5:J5"/>
    <mergeCell ref="I7:I8"/>
    <mergeCell ref="J8:J9"/>
    <mergeCell ref="I9:I10"/>
    <mergeCell ref="I11:I12"/>
    <mergeCell ref="I13:I14"/>
    <mergeCell ref="C61:C65"/>
    <mergeCell ref="C66:C70"/>
    <mergeCell ref="C71:C75"/>
    <mergeCell ref="C76:C80"/>
    <mergeCell ref="C81:C85"/>
    <mergeCell ref="C86:C90"/>
    <mergeCell ref="C31:C35"/>
    <mergeCell ref="C36:C40"/>
    <mergeCell ref="C41:C45"/>
    <mergeCell ref="C51:C55"/>
    <mergeCell ref="C56:C60"/>
    <mergeCell ref="C46:C50"/>
    <mergeCell ref="I27:I28"/>
    <mergeCell ref="I29:I30"/>
    <mergeCell ref="I31:I32"/>
    <mergeCell ref="I33:I34"/>
    <mergeCell ref="I35:I36"/>
    <mergeCell ref="I37:I38"/>
    <mergeCell ref="I15:I16"/>
    <mergeCell ref="I17:I18"/>
    <mergeCell ref="I19:I20"/>
    <mergeCell ref="I21:I22"/>
    <mergeCell ref="I23:I24"/>
    <mergeCell ref="I25:I26"/>
    <mergeCell ref="I51:I52"/>
    <mergeCell ref="I53:I54"/>
    <mergeCell ref="I55:I56"/>
    <mergeCell ref="I57:I58"/>
    <mergeCell ref="I59:I60"/>
    <mergeCell ref="I61:I62"/>
    <mergeCell ref="I39:I40"/>
    <mergeCell ref="I41:I42"/>
    <mergeCell ref="I43:I44"/>
    <mergeCell ref="I47:I48"/>
    <mergeCell ref="I49:I50"/>
    <mergeCell ref="I75:I76"/>
    <mergeCell ref="I77:I78"/>
    <mergeCell ref="I79:I80"/>
    <mergeCell ref="I81:I82"/>
    <mergeCell ref="I83:I84"/>
    <mergeCell ref="I85:I86"/>
    <mergeCell ref="I63:I64"/>
    <mergeCell ref="I65:I66"/>
    <mergeCell ref="I67:I68"/>
    <mergeCell ref="I69:I70"/>
    <mergeCell ref="I71:I72"/>
    <mergeCell ref="I73:I7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J22:J23"/>
    <mergeCell ref="J24:J25"/>
    <mergeCell ref="J26:J27"/>
    <mergeCell ref="J28:J29"/>
    <mergeCell ref="J30:J31"/>
    <mergeCell ref="J32:J33"/>
    <mergeCell ref="J10:J11"/>
    <mergeCell ref="J12:J13"/>
    <mergeCell ref="J14:J15"/>
    <mergeCell ref="J16:J17"/>
    <mergeCell ref="J18:J19"/>
    <mergeCell ref="J20:J21"/>
    <mergeCell ref="J66:J67"/>
    <mergeCell ref="J68:J69"/>
    <mergeCell ref="J48:J49"/>
    <mergeCell ref="J50:J51"/>
    <mergeCell ref="J52:J53"/>
    <mergeCell ref="J54:J55"/>
    <mergeCell ref="J56:J57"/>
    <mergeCell ref="J34:J35"/>
    <mergeCell ref="J36:J37"/>
    <mergeCell ref="J38:J39"/>
    <mergeCell ref="J40:J41"/>
    <mergeCell ref="J42:J43"/>
    <mergeCell ref="J44:J45"/>
    <mergeCell ref="E7:E8"/>
    <mergeCell ref="F8:F9"/>
    <mergeCell ref="E9:E14"/>
    <mergeCell ref="F14:F19"/>
    <mergeCell ref="E19:E24"/>
    <mergeCell ref="F24:F31"/>
    <mergeCell ref="E31:E36"/>
    <mergeCell ref="J106:J107"/>
    <mergeCell ref="J108:J109"/>
    <mergeCell ref="J94:J95"/>
    <mergeCell ref="J96:J97"/>
    <mergeCell ref="J98:J99"/>
    <mergeCell ref="J100:J101"/>
    <mergeCell ref="J102:J103"/>
    <mergeCell ref="J104:J105"/>
    <mergeCell ref="J82:J83"/>
    <mergeCell ref="J84:J85"/>
    <mergeCell ref="J86:J87"/>
    <mergeCell ref="J88:J89"/>
    <mergeCell ref="J90:J91"/>
    <mergeCell ref="J92:J93"/>
    <mergeCell ref="J70:J71"/>
    <mergeCell ref="J72:J73"/>
    <mergeCell ref="J74:J75"/>
    <mergeCell ref="Q8:Q9"/>
    <mergeCell ref="P9:P10"/>
    <mergeCell ref="Q10:Q11"/>
    <mergeCell ref="P11:P12"/>
    <mergeCell ref="P13:P14"/>
    <mergeCell ref="P15:P16"/>
    <mergeCell ref="F86:F91"/>
    <mergeCell ref="E91:E96"/>
    <mergeCell ref="F96:F101"/>
    <mergeCell ref="E101:E106"/>
    <mergeCell ref="F106:F110"/>
    <mergeCell ref="P7:P8"/>
    <mergeCell ref="P17:P18"/>
    <mergeCell ref="P19:P20"/>
    <mergeCell ref="P21:P22"/>
    <mergeCell ref="P23:P24"/>
    <mergeCell ref="F36:F41"/>
    <mergeCell ref="E51:E56"/>
    <mergeCell ref="F56:F61"/>
    <mergeCell ref="E61:E66"/>
    <mergeCell ref="F66:F71"/>
    <mergeCell ref="E71:E76"/>
    <mergeCell ref="F76:F81"/>
    <mergeCell ref="E81:E86"/>
    <mergeCell ref="Q26:Q27"/>
    <mergeCell ref="Q28:Q29"/>
    <mergeCell ref="O65:P65"/>
    <mergeCell ref="O36:S36"/>
    <mergeCell ref="O37:S37"/>
    <mergeCell ref="O64:S64"/>
    <mergeCell ref="P25:P26"/>
    <mergeCell ref="P27:P28"/>
    <mergeCell ref="Q12:Q13"/>
    <mergeCell ref="Q14:Q15"/>
    <mergeCell ref="Q16:Q17"/>
    <mergeCell ref="Q18:Q19"/>
    <mergeCell ref="Q20:Q21"/>
    <mergeCell ref="Q22:Q23"/>
    <mergeCell ref="Q24:Q25"/>
    <mergeCell ref="X36:AB36"/>
    <mergeCell ref="X37:AB37"/>
    <mergeCell ref="X64:AB64"/>
    <mergeCell ref="X65:Y65"/>
    <mergeCell ref="K40:K44"/>
    <mergeCell ref="K45:K50"/>
    <mergeCell ref="K51:K55"/>
    <mergeCell ref="K56:K60"/>
    <mergeCell ref="K61:K65"/>
    <mergeCell ref="K126:K130"/>
    <mergeCell ref="K131:K135"/>
    <mergeCell ref="K136:K140"/>
    <mergeCell ref="E41:E46"/>
    <mergeCell ref="F46:F51"/>
    <mergeCell ref="K96:K100"/>
    <mergeCell ref="K101:K105"/>
    <mergeCell ref="K106:K110"/>
    <mergeCell ref="K111:K115"/>
    <mergeCell ref="K116:K120"/>
    <mergeCell ref="K121:K125"/>
    <mergeCell ref="K66:K70"/>
    <mergeCell ref="K71:K75"/>
    <mergeCell ref="K76:K80"/>
    <mergeCell ref="K81:K85"/>
    <mergeCell ref="K86:K90"/>
    <mergeCell ref="K91:K95"/>
    <mergeCell ref="J76:J77"/>
    <mergeCell ref="J78:J79"/>
    <mergeCell ref="J80:J81"/>
    <mergeCell ref="J58:J59"/>
    <mergeCell ref="J60:J61"/>
    <mergeCell ref="J62:J63"/>
    <mergeCell ref="J64:J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52DC-314A-49C6-86FF-3411A56F054E}">
  <dimension ref="B5:AM160"/>
  <sheetViews>
    <sheetView topLeftCell="K26" zoomScale="55" zoomScaleNormal="55" workbookViewId="0">
      <selection activeCell="AA41" sqref="AA41:AA60"/>
    </sheetView>
  </sheetViews>
  <sheetFormatPr defaultRowHeight="15" x14ac:dyDescent="0.25"/>
  <cols>
    <col min="3" max="3" width="17.85546875" customWidth="1"/>
    <col min="4" max="8" width="18.140625" customWidth="1"/>
    <col min="9" max="9" width="17.7109375" customWidth="1"/>
    <col min="10" max="10" width="17.85546875" customWidth="1"/>
    <col min="11" max="11" width="14.85546875" customWidth="1"/>
    <col min="15" max="15" width="14.28515625" customWidth="1"/>
    <col min="16" max="16" width="12.5703125" customWidth="1"/>
    <col min="17" max="17" width="10.28515625" customWidth="1"/>
    <col min="19" max="19" width="9.5703125" customWidth="1"/>
    <col min="24" max="24" width="11.42578125" customWidth="1"/>
    <col min="25" max="25" width="11.7109375" customWidth="1"/>
    <col min="38" max="38" width="14.28515625" customWidth="1"/>
    <col min="39" max="39" width="12.7109375" customWidth="1"/>
  </cols>
  <sheetData>
    <row r="5" spans="2:25" ht="15.75" x14ac:dyDescent="0.25">
      <c r="B5" s="272" t="s">
        <v>52</v>
      </c>
      <c r="C5" s="273" t="s">
        <v>152</v>
      </c>
      <c r="D5" s="274"/>
      <c r="E5" s="112"/>
      <c r="F5" s="112"/>
      <c r="G5" s="112"/>
      <c r="H5" s="112"/>
      <c r="I5" s="271" t="s">
        <v>215</v>
      </c>
      <c r="J5" s="261"/>
    </row>
    <row r="6" spans="2:25" ht="15.75" x14ac:dyDescent="0.25">
      <c r="B6" s="272"/>
      <c r="C6" s="36" t="s">
        <v>162</v>
      </c>
      <c r="D6" s="36"/>
      <c r="E6" s="112"/>
      <c r="F6" s="112"/>
      <c r="G6" s="112"/>
      <c r="H6" s="112"/>
      <c r="I6" s="32" t="s">
        <v>216</v>
      </c>
      <c r="J6" s="32" t="s">
        <v>216</v>
      </c>
      <c r="K6" s="32" t="s">
        <v>217</v>
      </c>
      <c r="R6" t="s">
        <v>231</v>
      </c>
      <c r="S6" t="s">
        <v>232</v>
      </c>
    </row>
    <row r="7" spans="2:25" ht="15.75" x14ac:dyDescent="0.25">
      <c r="B7" s="100">
        <v>1</v>
      </c>
      <c r="C7" s="101">
        <v>0.82638888888888884</v>
      </c>
      <c r="D7" s="101">
        <v>0.82638888888888884</v>
      </c>
      <c r="E7" s="256" t="s">
        <v>218</v>
      </c>
      <c r="F7" s="111"/>
      <c r="G7" s="129">
        <v>0</v>
      </c>
      <c r="H7" s="111"/>
      <c r="I7" s="271"/>
      <c r="O7" s="119">
        <v>0.82638888888888884</v>
      </c>
      <c r="P7" s="270" t="s">
        <v>218</v>
      </c>
      <c r="Q7" s="118"/>
      <c r="T7">
        <v>0</v>
      </c>
      <c r="Y7">
        <f>65-24</f>
        <v>41</v>
      </c>
    </row>
    <row r="8" spans="2:25" ht="15.75" x14ac:dyDescent="0.25">
      <c r="B8" s="100">
        <v>2</v>
      </c>
      <c r="C8" s="101">
        <v>0.84027777777777779</v>
      </c>
      <c r="D8" s="101">
        <v>0.84027777777777779</v>
      </c>
      <c r="E8" s="256"/>
      <c r="F8" s="256" t="s">
        <v>219</v>
      </c>
      <c r="G8" s="129">
        <v>25</v>
      </c>
      <c r="H8" s="111"/>
      <c r="I8" s="271"/>
      <c r="J8" s="261"/>
      <c r="O8" s="119">
        <v>0.84027777777777779</v>
      </c>
      <c r="P8" s="270"/>
      <c r="Q8" s="270" t="s">
        <v>219</v>
      </c>
      <c r="R8">
        <v>0</v>
      </c>
      <c r="S8">
        <v>26</v>
      </c>
      <c r="T8">
        <v>0</v>
      </c>
    </row>
    <row r="9" spans="2:25" ht="15.75" x14ac:dyDescent="0.25">
      <c r="B9" s="100">
        <v>3</v>
      </c>
      <c r="C9" s="255">
        <v>0.84375</v>
      </c>
      <c r="D9" s="110">
        <v>0.84375</v>
      </c>
      <c r="E9" s="256" t="s">
        <v>220</v>
      </c>
      <c r="F9" s="256"/>
      <c r="G9" s="129">
        <v>5</v>
      </c>
      <c r="H9" s="111"/>
      <c r="I9" s="271"/>
      <c r="J9" s="261"/>
      <c r="O9" s="119">
        <v>0.84375</v>
      </c>
      <c r="P9" s="270" t="s">
        <v>220</v>
      </c>
      <c r="Q9" s="270"/>
      <c r="S9">
        <v>5</v>
      </c>
      <c r="T9">
        <f>5-S9</f>
        <v>0</v>
      </c>
    </row>
    <row r="10" spans="2:25" ht="15.75" x14ac:dyDescent="0.25">
      <c r="B10" s="13">
        <v>4</v>
      </c>
      <c r="C10" s="256"/>
      <c r="D10" s="55">
        <v>0.84583333333333333</v>
      </c>
      <c r="E10" s="256"/>
      <c r="F10" s="114"/>
      <c r="G10" s="129">
        <v>10</v>
      </c>
      <c r="H10" s="114"/>
      <c r="I10" s="271"/>
      <c r="J10" s="261"/>
      <c r="O10" s="119">
        <v>0.85416666666666663</v>
      </c>
      <c r="P10" s="270"/>
      <c r="Q10" s="270" t="s">
        <v>220</v>
      </c>
      <c r="S10">
        <v>24</v>
      </c>
      <c r="T10">
        <f>50-S10</f>
        <v>26</v>
      </c>
    </row>
    <row r="11" spans="2:25" ht="15.75" x14ac:dyDescent="0.25">
      <c r="B11" s="13">
        <v>5</v>
      </c>
      <c r="C11" s="256"/>
      <c r="D11" s="55">
        <v>0.84791666666666676</v>
      </c>
      <c r="E11" s="256"/>
      <c r="F11" s="114"/>
      <c r="G11" s="129">
        <v>10</v>
      </c>
      <c r="H11" s="114"/>
      <c r="I11" s="271"/>
      <c r="J11" s="261"/>
      <c r="O11" s="119">
        <v>0.86458333333333337</v>
      </c>
      <c r="P11" s="270" t="s">
        <v>220</v>
      </c>
      <c r="Q11" s="270"/>
      <c r="S11">
        <v>22</v>
      </c>
      <c r="T11">
        <f>50-S11</f>
        <v>28</v>
      </c>
    </row>
    <row r="12" spans="2:25" ht="15.75" x14ac:dyDescent="0.25">
      <c r="B12" s="13">
        <v>6</v>
      </c>
      <c r="C12" s="256"/>
      <c r="D12" s="55">
        <v>0.85</v>
      </c>
      <c r="E12" s="256"/>
      <c r="F12" s="114"/>
      <c r="G12" s="129">
        <v>10</v>
      </c>
      <c r="H12" s="114"/>
      <c r="I12" s="271"/>
      <c r="J12" s="261"/>
      <c r="O12" s="119">
        <v>0.875</v>
      </c>
      <c r="P12" s="270"/>
      <c r="Q12" s="270" t="s">
        <v>221</v>
      </c>
      <c r="S12">
        <v>14</v>
      </c>
      <c r="T12">
        <f>50-S12</f>
        <v>36</v>
      </c>
    </row>
    <row r="13" spans="2:25" ht="15.75" x14ac:dyDescent="0.25">
      <c r="B13" s="13">
        <v>7</v>
      </c>
      <c r="C13" s="257"/>
      <c r="D13" s="55">
        <v>0.8520833333333333</v>
      </c>
      <c r="E13" s="256"/>
      <c r="F13" s="114"/>
      <c r="G13" s="129">
        <v>10</v>
      </c>
      <c r="H13" s="114"/>
      <c r="I13" s="271"/>
      <c r="J13" s="261"/>
      <c r="O13" s="119">
        <v>0.875</v>
      </c>
      <c r="P13" s="270" t="s">
        <v>222</v>
      </c>
      <c r="Q13" s="270"/>
      <c r="S13">
        <v>14</v>
      </c>
      <c r="T13">
        <f>65-S13</f>
        <v>51</v>
      </c>
    </row>
    <row r="14" spans="2:25" ht="15.75" x14ac:dyDescent="0.25">
      <c r="B14" s="100">
        <v>8</v>
      </c>
      <c r="C14" s="255">
        <v>0.85416666666666663</v>
      </c>
      <c r="D14" s="110">
        <v>0.85416666666666663</v>
      </c>
      <c r="E14" s="256"/>
      <c r="F14" s="256" t="s">
        <v>220</v>
      </c>
      <c r="G14" s="129">
        <v>10</v>
      </c>
      <c r="H14" s="111"/>
      <c r="I14" s="271"/>
      <c r="J14" s="261"/>
      <c r="O14" s="119">
        <v>0.88888888888888884</v>
      </c>
      <c r="P14" s="270"/>
      <c r="Q14" s="270" t="s">
        <v>222</v>
      </c>
      <c r="S14">
        <v>14</v>
      </c>
      <c r="T14">
        <f>72-S14</f>
        <v>58</v>
      </c>
    </row>
    <row r="15" spans="2:25" ht="15.75" x14ac:dyDescent="0.25">
      <c r="B15" s="13">
        <v>9</v>
      </c>
      <c r="C15" s="256"/>
      <c r="D15" s="55">
        <v>0.85624999999999996</v>
      </c>
      <c r="E15" s="113"/>
      <c r="F15" s="256"/>
      <c r="G15" s="129">
        <v>10</v>
      </c>
      <c r="H15" s="111"/>
      <c r="I15" s="271"/>
      <c r="J15" s="261"/>
      <c r="O15" s="119">
        <v>0.89930555555555547</v>
      </c>
      <c r="P15" s="270" t="s">
        <v>223</v>
      </c>
      <c r="Q15" s="270"/>
      <c r="S15">
        <v>13</v>
      </c>
      <c r="T15">
        <f>72-S15</f>
        <v>59</v>
      </c>
    </row>
    <row r="16" spans="2:25" ht="15.75" x14ac:dyDescent="0.25">
      <c r="B16" s="13">
        <v>10</v>
      </c>
      <c r="C16" s="256"/>
      <c r="D16" s="55">
        <v>0.85833333333333295</v>
      </c>
      <c r="E16" s="113"/>
      <c r="F16" s="256"/>
      <c r="G16" s="129">
        <v>10</v>
      </c>
      <c r="H16" s="111"/>
      <c r="I16" s="271"/>
      <c r="J16" s="261"/>
      <c r="O16" s="119">
        <v>0.90972222222222221</v>
      </c>
      <c r="P16" s="270"/>
      <c r="Q16" s="270" t="s">
        <v>223</v>
      </c>
      <c r="S16">
        <v>13</v>
      </c>
      <c r="T16">
        <f>73-S16</f>
        <v>60</v>
      </c>
    </row>
    <row r="17" spans="2:20" ht="15.75" x14ac:dyDescent="0.25">
      <c r="B17" s="13">
        <v>11</v>
      </c>
      <c r="C17" s="256"/>
      <c r="D17" s="55">
        <v>0.86041666666666705</v>
      </c>
      <c r="E17" s="113"/>
      <c r="F17" s="256"/>
      <c r="G17" s="129">
        <v>10</v>
      </c>
      <c r="H17" s="111"/>
      <c r="I17" s="271"/>
      <c r="J17" s="261"/>
      <c r="O17" s="119">
        <v>0.92013888888888884</v>
      </c>
      <c r="P17" s="270" t="s">
        <v>223</v>
      </c>
      <c r="Q17" s="270"/>
      <c r="S17">
        <v>11</v>
      </c>
      <c r="T17">
        <f>73-S17</f>
        <v>62</v>
      </c>
    </row>
    <row r="18" spans="2:20" ht="15.75" x14ac:dyDescent="0.25">
      <c r="B18" s="13">
        <v>12</v>
      </c>
      <c r="C18" s="257"/>
      <c r="D18" s="55">
        <v>0.86250000000000004</v>
      </c>
      <c r="E18" s="113"/>
      <c r="F18" s="256"/>
      <c r="G18" s="129">
        <v>10</v>
      </c>
      <c r="H18" s="111"/>
      <c r="I18" s="271"/>
      <c r="J18" s="261"/>
      <c r="O18" s="119">
        <v>0.93055555555555547</v>
      </c>
      <c r="P18" s="270"/>
      <c r="Q18" s="270" t="s">
        <v>223</v>
      </c>
      <c r="S18">
        <v>11</v>
      </c>
      <c r="T18">
        <f>73-S18</f>
        <v>62</v>
      </c>
    </row>
    <row r="19" spans="2:20" ht="15.75" x14ac:dyDescent="0.25">
      <c r="B19" s="13">
        <v>13</v>
      </c>
      <c r="C19" s="255">
        <v>0.86458333333333337</v>
      </c>
      <c r="D19" s="55">
        <v>0.86458333333333504</v>
      </c>
      <c r="E19" s="256" t="s">
        <v>220</v>
      </c>
      <c r="F19" s="256"/>
      <c r="G19" s="129">
        <v>10</v>
      </c>
      <c r="H19" s="111"/>
      <c r="I19" s="271"/>
      <c r="J19" s="261"/>
      <c r="O19" s="119">
        <v>0.94097222222222221</v>
      </c>
      <c r="P19" s="270" t="s">
        <v>222</v>
      </c>
      <c r="Q19" s="270"/>
      <c r="S19">
        <v>11</v>
      </c>
      <c r="T19">
        <f>73-S19</f>
        <v>62</v>
      </c>
    </row>
    <row r="20" spans="2:20" ht="15.75" x14ac:dyDescent="0.25">
      <c r="B20" s="13">
        <v>14</v>
      </c>
      <c r="C20" s="256"/>
      <c r="D20" s="55">
        <v>0.86666666666666903</v>
      </c>
      <c r="E20" s="256"/>
      <c r="F20" s="114"/>
      <c r="G20" s="129">
        <v>10</v>
      </c>
      <c r="H20" s="114"/>
      <c r="I20" s="271"/>
      <c r="J20" s="261"/>
      <c r="O20" s="119">
        <v>0.95138888888888895</v>
      </c>
      <c r="P20" s="270"/>
      <c r="Q20" s="270" t="s">
        <v>222</v>
      </c>
      <c r="S20">
        <v>12</v>
      </c>
      <c r="T20">
        <f>72-S20</f>
        <v>60</v>
      </c>
    </row>
    <row r="21" spans="2:20" ht="15.75" x14ac:dyDescent="0.25">
      <c r="B21" s="13">
        <v>15</v>
      </c>
      <c r="C21" s="256"/>
      <c r="D21" s="55">
        <v>0.86875000000000302</v>
      </c>
      <c r="E21" s="256"/>
      <c r="F21" s="114"/>
      <c r="G21" s="129">
        <v>10</v>
      </c>
      <c r="H21" s="114"/>
      <c r="I21" s="271"/>
      <c r="J21" s="261"/>
      <c r="O21" s="119">
        <v>0.96180555555555602</v>
      </c>
      <c r="P21" s="270" t="s">
        <v>224</v>
      </c>
      <c r="Q21" s="270"/>
      <c r="S21">
        <v>12</v>
      </c>
      <c r="T21">
        <f>72-S21</f>
        <v>60</v>
      </c>
    </row>
    <row r="22" spans="2:20" ht="15.75" x14ac:dyDescent="0.25">
      <c r="B22" s="13">
        <v>16</v>
      </c>
      <c r="C22" s="256"/>
      <c r="D22" s="55">
        <v>0.87083333333333801</v>
      </c>
      <c r="E22" s="256"/>
      <c r="F22" s="114"/>
      <c r="G22" s="129">
        <v>10</v>
      </c>
      <c r="H22" s="114"/>
      <c r="I22" s="271"/>
      <c r="J22" s="261"/>
      <c r="O22" s="119">
        <v>0.97222222222222199</v>
      </c>
      <c r="P22" s="270"/>
      <c r="Q22" s="270" t="s">
        <v>227</v>
      </c>
      <c r="S22">
        <v>13</v>
      </c>
      <c r="T22">
        <f>68-S22</f>
        <v>55</v>
      </c>
    </row>
    <row r="23" spans="2:20" ht="15.75" x14ac:dyDescent="0.25">
      <c r="B23" s="13">
        <v>17</v>
      </c>
      <c r="C23" s="257"/>
      <c r="D23" s="55">
        <v>0.872916666666672</v>
      </c>
      <c r="E23" s="256"/>
      <c r="F23" s="114"/>
      <c r="G23" s="129">
        <v>10</v>
      </c>
      <c r="H23" s="114"/>
      <c r="I23" s="271"/>
      <c r="J23" s="261"/>
      <c r="O23" s="119">
        <v>0.98263888888888895</v>
      </c>
      <c r="P23" s="270" t="s">
        <v>225</v>
      </c>
      <c r="Q23" s="270"/>
      <c r="S23">
        <v>12</v>
      </c>
      <c r="T23">
        <f>60-S23</f>
        <v>48</v>
      </c>
    </row>
    <row r="24" spans="2:20" ht="15.75" x14ac:dyDescent="0.25">
      <c r="B24" s="13">
        <v>18</v>
      </c>
      <c r="C24" s="255">
        <v>0.875</v>
      </c>
      <c r="D24" s="55">
        <v>0.87500000000000799</v>
      </c>
      <c r="E24" s="256"/>
      <c r="F24" s="256" t="s">
        <v>221</v>
      </c>
      <c r="G24" s="129">
        <v>10</v>
      </c>
      <c r="H24" s="111"/>
      <c r="I24" s="271"/>
      <c r="J24" s="261"/>
      <c r="O24" s="119">
        <v>0.99305555555555602</v>
      </c>
      <c r="P24" s="270"/>
      <c r="Q24" s="270" t="s">
        <v>225</v>
      </c>
      <c r="S24">
        <v>13</v>
      </c>
      <c r="T24">
        <f>70-S24</f>
        <v>57</v>
      </c>
    </row>
    <row r="25" spans="2:20" ht="15.75" x14ac:dyDescent="0.25">
      <c r="B25" s="13">
        <v>19</v>
      </c>
      <c r="C25" s="256"/>
      <c r="D25" s="55">
        <v>0.87708333333334298</v>
      </c>
      <c r="E25" s="113"/>
      <c r="F25" s="256"/>
      <c r="G25" s="129">
        <v>9.2850000000000001</v>
      </c>
      <c r="H25" s="111"/>
      <c r="I25" s="271"/>
      <c r="J25" s="261"/>
      <c r="O25" s="119">
        <v>1.0034722222222201</v>
      </c>
      <c r="P25" s="270" t="s">
        <v>226</v>
      </c>
      <c r="Q25" s="270"/>
      <c r="S25">
        <v>12</v>
      </c>
      <c r="T25">
        <f>70-S25</f>
        <v>58</v>
      </c>
    </row>
    <row r="26" spans="2:20" ht="15.75" x14ac:dyDescent="0.25">
      <c r="B26" s="13">
        <v>20</v>
      </c>
      <c r="C26" s="256"/>
      <c r="D26" s="55">
        <v>0.87916666666667798</v>
      </c>
      <c r="E26" s="113"/>
      <c r="F26" s="256"/>
      <c r="G26" s="129">
        <v>9.2850000000000001</v>
      </c>
      <c r="H26" s="128"/>
      <c r="I26" s="271"/>
      <c r="J26" s="261"/>
      <c r="O26" s="119">
        <v>1.0138888888888899</v>
      </c>
      <c r="P26" s="270"/>
      <c r="Q26" s="270" t="s">
        <v>227</v>
      </c>
      <c r="S26">
        <v>13</v>
      </c>
      <c r="T26">
        <f>95-S26</f>
        <v>82</v>
      </c>
    </row>
    <row r="27" spans="2:20" ht="15.75" x14ac:dyDescent="0.25">
      <c r="B27" s="13">
        <v>21</v>
      </c>
      <c r="C27" s="256"/>
      <c r="D27" s="55">
        <v>0.88125000000001297</v>
      </c>
      <c r="E27" s="113"/>
      <c r="F27" s="256"/>
      <c r="G27" s="129">
        <v>9.2850000000000001</v>
      </c>
      <c r="H27" s="111"/>
      <c r="I27" s="271"/>
      <c r="J27" s="261"/>
      <c r="O27" s="119">
        <v>1.02430555555556</v>
      </c>
      <c r="P27" s="270" t="s">
        <v>227</v>
      </c>
      <c r="Q27" s="270"/>
      <c r="S27">
        <v>20</v>
      </c>
      <c r="T27">
        <f>60-S27</f>
        <v>40</v>
      </c>
    </row>
    <row r="28" spans="2:20" ht="15.75" x14ac:dyDescent="0.25">
      <c r="B28" s="13">
        <v>22</v>
      </c>
      <c r="C28" s="256"/>
      <c r="D28" s="55">
        <v>0.88333333333334796</v>
      </c>
      <c r="E28" s="113"/>
      <c r="F28" s="256"/>
      <c r="G28" s="129">
        <v>9.2850000000000001</v>
      </c>
      <c r="H28" s="111"/>
      <c r="I28" s="271"/>
      <c r="J28" s="261"/>
      <c r="O28" s="119">
        <v>1.0347222222222201</v>
      </c>
      <c r="P28" s="270"/>
      <c r="Q28" s="270" t="s">
        <v>228</v>
      </c>
      <c r="S28">
        <v>22</v>
      </c>
      <c r="T28">
        <f>60-S28</f>
        <v>38</v>
      </c>
    </row>
    <row r="29" spans="2:20" ht="15.75" x14ac:dyDescent="0.25">
      <c r="B29" s="13">
        <v>23</v>
      </c>
      <c r="C29" s="256"/>
      <c r="D29" s="55">
        <v>0.88541666666668295</v>
      </c>
      <c r="E29" s="113"/>
      <c r="F29" s="256"/>
      <c r="G29" s="129">
        <v>9.2850000000000001</v>
      </c>
      <c r="H29" s="111"/>
      <c r="I29" s="271"/>
      <c r="J29" s="261"/>
      <c r="O29" s="119">
        <v>1.0451388888888899</v>
      </c>
      <c r="P29" s="118"/>
      <c r="Q29" s="270"/>
      <c r="S29">
        <v>20</v>
      </c>
      <c r="T29">
        <f>55-S29</f>
        <v>35</v>
      </c>
    </row>
    <row r="30" spans="2:20" ht="15.75" x14ac:dyDescent="0.25">
      <c r="B30" s="13">
        <v>24</v>
      </c>
      <c r="C30" s="257"/>
      <c r="D30" s="55">
        <v>0.88750000000001805</v>
      </c>
      <c r="E30" s="113"/>
      <c r="F30" s="256"/>
      <c r="G30" s="129">
        <v>9.2850000000000001</v>
      </c>
      <c r="H30" s="111"/>
      <c r="I30" s="271"/>
      <c r="J30" s="261"/>
    </row>
    <row r="31" spans="2:20" ht="15.75" x14ac:dyDescent="0.25">
      <c r="B31" s="13">
        <v>25</v>
      </c>
      <c r="C31" s="255">
        <v>0.88888888888888884</v>
      </c>
      <c r="D31" s="54">
        <v>0.88888888888888884</v>
      </c>
      <c r="E31" s="256" t="s">
        <v>222</v>
      </c>
      <c r="F31" s="256"/>
      <c r="G31" s="129">
        <v>9.2850000000000001</v>
      </c>
      <c r="H31" s="111"/>
      <c r="I31" s="271"/>
      <c r="J31" s="261"/>
      <c r="S31">
        <f>SUM(S8:S28)</f>
        <v>307</v>
      </c>
      <c r="T31">
        <f>SUM(T8:T29)</f>
        <v>1037</v>
      </c>
    </row>
    <row r="32" spans="2:20" ht="15.75" x14ac:dyDescent="0.25">
      <c r="B32" s="13">
        <v>26</v>
      </c>
      <c r="C32" s="256"/>
      <c r="D32" s="54">
        <v>0.89097222222222217</v>
      </c>
      <c r="E32" s="256"/>
      <c r="F32" s="114"/>
      <c r="G32" s="129">
        <v>14.4</v>
      </c>
      <c r="H32" s="114"/>
      <c r="I32" s="271"/>
      <c r="J32" s="261"/>
    </row>
    <row r="33" spans="2:39" ht="15.75" x14ac:dyDescent="0.25">
      <c r="B33" s="13">
        <v>27</v>
      </c>
      <c r="C33" s="256"/>
      <c r="D33" s="54">
        <v>0.8930555555555556</v>
      </c>
      <c r="E33" s="256"/>
      <c r="F33" s="114"/>
      <c r="G33" s="129">
        <v>14.4</v>
      </c>
      <c r="H33" s="114"/>
      <c r="I33" s="271"/>
      <c r="J33" s="261"/>
    </row>
    <row r="34" spans="2:39" ht="15.75" x14ac:dyDescent="0.25">
      <c r="B34" s="13">
        <v>28</v>
      </c>
      <c r="C34" s="256"/>
      <c r="D34" s="54">
        <v>0.89513888888888893</v>
      </c>
      <c r="E34" s="256"/>
      <c r="F34" s="114"/>
      <c r="G34" s="129">
        <v>14.4</v>
      </c>
      <c r="H34" s="114"/>
      <c r="I34" s="271"/>
      <c r="J34" s="261"/>
    </row>
    <row r="35" spans="2:39" ht="15.75" x14ac:dyDescent="0.25">
      <c r="B35" s="13">
        <v>29</v>
      </c>
      <c r="C35" s="257"/>
      <c r="D35" s="54">
        <v>0.89722222222222225</v>
      </c>
      <c r="E35" s="256"/>
      <c r="F35" s="114"/>
      <c r="G35" s="129">
        <v>14.4</v>
      </c>
      <c r="H35" s="114"/>
      <c r="I35" s="271"/>
      <c r="J35" s="261"/>
    </row>
    <row r="36" spans="2:39" ht="14.45" customHeight="1" x14ac:dyDescent="0.25">
      <c r="B36" s="13">
        <v>30</v>
      </c>
      <c r="C36" s="255">
        <v>0.89930555555555547</v>
      </c>
      <c r="D36" s="54">
        <v>0.89930555555555602</v>
      </c>
      <c r="E36" s="256"/>
      <c r="F36" s="256" t="s">
        <v>222</v>
      </c>
      <c r="G36" s="129">
        <v>14.4</v>
      </c>
      <c r="H36" s="111"/>
      <c r="I36" s="271"/>
      <c r="J36" s="261"/>
      <c r="O36" s="262" t="s">
        <v>237</v>
      </c>
      <c r="P36" s="262"/>
      <c r="Q36" s="262"/>
      <c r="R36" s="262"/>
      <c r="S36" s="262"/>
      <c r="X36" s="262" t="s">
        <v>237</v>
      </c>
      <c r="Y36" s="262"/>
      <c r="Z36" s="262"/>
      <c r="AA36" s="262"/>
      <c r="AB36" s="262"/>
    </row>
    <row r="37" spans="2:39" ht="16.149999999999999" customHeight="1" x14ac:dyDescent="0.25">
      <c r="B37" s="13">
        <v>31</v>
      </c>
      <c r="C37" s="256"/>
      <c r="D37" s="54">
        <v>0.90138888888888902</v>
      </c>
      <c r="E37" s="113"/>
      <c r="F37" s="256"/>
      <c r="G37" s="129">
        <v>14.4</v>
      </c>
      <c r="H37" s="111"/>
      <c r="I37" s="271"/>
      <c r="J37" s="261"/>
      <c r="O37" s="263"/>
      <c r="P37" s="264"/>
      <c r="Q37" s="264"/>
      <c r="R37" s="264"/>
      <c r="S37" s="265"/>
      <c r="X37" s="263"/>
      <c r="Y37" s="264"/>
      <c r="Z37" s="264"/>
      <c r="AA37" s="264"/>
      <c r="AB37" s="265"/>
    </row>
    <row r="38" spans="2:39" ht="19.899999999999999" customHeight="1" x14ac:dyDescent="0.25">
      <c r="B38" s="13">
        <v>32</v>
      </c>
      <c r="C38" s="256"/>
      <c r="D38" s="54">
        <v>0.90347222222222201</v>
      </c>
      <c r="E38" s="113"/>
      <c r="F38" s="256"/>
      <c r="G38" s="129">
        <v>14.4</v>
      </c>
      <c r="H38" s="111"/>
      <c r="I38" s="271"/>
      <c r="J38" s="261"/>
      <c r="O38" s="16"/>
      <c r="P38" s="16"/>
      <c r="Q38" s="16"/>
      <c r="R38" s="16"/>
      <c r="S38" s="16"/>
      <c r="X38" s="16"/>
      <c r="Y38" s="16"/>
      <c r="Z38" s="16"/>
      <c r="AA38" s="16"/>
      <c r="AB38" s="16"/>
    </row>
    <row r="39" spans="2:39" ht="19.149999999999999" customHeight="1" x14ac:dyDescent="0.25">
      <c r="B39" s="13">
        <v>33</v>
      </c>
      <c r="C39" s="256"/>
      <c r="D39" s="54">
        <v>0.905555555555556</v>
      </c>
      <c r="E39" s="113"/>
      <c r="F39" s="256"/>
      <c r="G39" s="129">
        <v>14.4</v>
      </c>
      <c r="H39" s="111"/>
      <c r="I39" s="271"/>
      <c r="J39" s="261"/>
      <c r="O39" s="162"/>
      <c r="P39" s="162"/>
      <c r="Q39" s="162"/>
      <c r="R39" s="162"/>
      <c r="S39" s="162"/>
      <c r="X39" s="16"/>
      <c r="Y39" s="16"/>
      <c r="Z39" s="16"/>
      <c r="AA39" s="16"/>
      <c r="AB39" s="16"/>
    </row>
    <row r="40" spans="2:39" ht="13.9" customHeight="1" x14ac:dyDescent="0.25">
      <c r="B40" s="13">
        <v>34</v>
      </c>
      <c r="C40" s="257"/>
      <c r="D40" s="54">
        <v>0.90763888888888899</v>
      </c>
      <c r="E40" s="113"/>
      <c r="F40" s="256"/>
      <c r="G40" s="129">
        <v>14.4</v>
      </c>
      <c r="H40" s="111"/>
      <c r="I40" s="271"/>
      <c r="J40" s="261"/>
      <c r="K40" s="258">
        <v>9.0277777777777776E-2</v>
      </c>
      <c r="N40" s="16"/>
      <c r="O40" s="121" t="s">
        <v>152</v>
      </c>
      <c r="P40" s="122" t="s">
        <v>233</v>
      </c>
      <c r="Q40" s="122" t="s">
        <v>234</v>
      </c>
      <c r="R40" s="122" t="s">
        <v>235</v>
      </c>
      <c r="S40" s="122" t="s">
        <v>236</v>
      </c>
      <c r="T40" s="126" t="s">
        <v>239</v>
      </c>
      <c r="U40" s="126" t="s">
        <v>239</v>
      </c>
      <c r="V40" s="126" t="s">
        <v>239</v>
      </c>
      <c r="X40" s="121" t="s">
        <v>152</v>
      </c>
      <c r="Y40" s="122" t="s">
        <v>233</v>
      </c>
      <c r="Z40" s="122" t="s">
        <v>234</v>
      </c>
      <c r="AA40" s="122" t="s">
        <v>235</v>
      </c>
      <c r="AB40" s="122" t="s">
        <v>236</v>
      </c>
    </row>
    <row r="41" spans="2:39" ht="15.75" x14ac:dyDescent="0.25">
      <c r="B41" s="100">
        <v>35</v>
      </c>
      <c r="C41" s="255">
        <v>0.90972222222222221</v>
      </c>
      <c r="D41" s="101">
        <v>0.90972222222222199</v>
      </c>
      <c r="E41" s="256" t="s">
        <v>223</v>
      </c>
      <c r="F41" s="256"/>
      <c r="G41" s="129">
        <v>14.4</v>
      </c>
      <c r="H41" s="111"/>
      <c r="I41" s="271"/>
      <c r="J41" s="261"/>
      <c r="K41" s="259"/>
      <c r="N41" s="16">
        <v>1</v>
      </c>
      <c r="O41" s="120">
        <v>0.57291666666666663</v>
      </c>
      <c r="P41" s="31">
        <v>0</v>
      </c>
      <c r="Q41" s="31">
        <v>0</v>
      </c>
      <c r="R41" s="31">
        <v>0</v>
      </c>
      <c r="S41" s="31">
        <f t="shared" ref="S41:S58" si="0">SUM(Q41:R41)</f>
        <v>0</v>
      </c>
      <c r="T41" s="127">
        <f>SUM($Q$41:Q41)</f>
        <v>0</v>
      </c>
      <c r="U41" s="127">
        <f>SUM($R$41:R41)</f>
        <v>0</v>
      </c>
      <c r="V41" s="127">
        <f>SUM($S$41:S41)</f>
        <v>0</v>
      </c>
      <c r="W41" s="125"/>
      <c r="X41" s="120">
        <v>0.84722222222222221</v>
      </c>
      <c r="Y41" s="31">
        <v>0</v>
      </c>
      <c r="Z41" s="31">
        <v>0</v>
      </c>
      <c r="AA41" s="31">
        <v>0</v>
      </c>
      <c r="AB41" s="31">
        <f>SUM(Z41:AA41)</f>
        <v>0</v>
      </c>
      <c r="AC41">
        <f>SUM($Z$41:Z41)</f>
        <v>0</v>
      </c>
      <c r="AD41">
        <f>SUM($AA$41:AA41)</f>
        <v>0</v>
      </c>
      <c r="AE41">
        <f>SUM($AB$41:AB41)</f>
        <v>0</v>
      </c>
      <c r="AL41" s="54">
        <v>0.57291666666666663</v>
      </c>
      <c r="AM41" s="255">
        <v>0.84722222222222221</v>
      </c>
    </row>
    <row r="42" spans="2:39" ht="15.75" x14ac:dyDescent="0.25">
      <c r="B42" s="13">
        <v>36</v>
      </c>
      <c r="C42" s="256"/>
      <c r="D42" s="54">
        <v>0.91180555555555498</v>
      </c>
      <c r="E42" s="256"/>
      <c r="F42" s="114"/>
      <c r="G42" s="129">
        <v>14.6</v>
      </c>
      <c r="H42" s="114"/>
      <c r="I42" s="271"/>
      <c r="J42" s="261"/>
      <c r="K42" s="259"/>
      <c r="N42" s="16">
        <v>2</v>
      </c>
      <c r="O42" s="120">
        <v>0.57638888888888895</v>
      </c>
      <c r="P42" s="120">
        <f>O42-O41</f>
        <v>3.4722222222223209E-3</v>
      </c>
      <c r="Q42" s="31">
        <v>20</v>
      </c>
      <c r="R42" s="31">
        <v>15</v>
      </c>
      <c r="S42" s="31">
        <f t="shared" si="0"/>
        <v>35</v>
      </c>
      <c r="T42" s="127">
        <f>SUM($Q$41:Q42)</f>
        <v>20</v>
      </c>
      <c r="U42" s="127">
        <f>SUM($R$41:R42)</f>
        <v>15</v>
      </c>
      <c r="V42" s="127">
        <f>SUM($S$41:S42)</f>
        <v>35</v>
      </c>
      <c r="X42" s="120">
        <v>0.85416666666666663</v>
      </c>
      <c r="Y42" s="120">
        <f>X42-X41</f>
        <v>6.9444444444444198E-3</v>
      </c>
      <c r="Z42" s="31">
        <v>30</v>
      </c>
      <c r="AA42" s="31">
        <v>15</v>
      </c>
      <c r="AB42" s="31">
        <f t="shared" ref="AB42:AB60" si="1">SUM(Z42:AA42)</f>
        <v>45</v>
      </c>
      <c r="AC42">
        <f>SUM($Z$41:Z42)</f>
        <v>30</v>
      </c>
      <c r="AD42">
        <f>SUM($AA$41:AA42)</f>
        <v>15</v>
      </c>
      <c r="AE42">
        <f>SUM($AB$41:AB42)</f>
        <v>45</v>
      </c>
      <c r="AL42" s="255">
        <v>0.57638888888888895</v>
      </c>
      <c r="AM42" s="256"/>
    </row>
    <row r="43" spans="2:39" ht="15.75" x14ac:dyDescent="0.25">
      <c r="B43" s="13">
        <v>37</v>
      </c>
      <c r="C43" s="256"/>
      <c r="D43" s="54">
        <v>0.91388888888888797</v>
      </c>
      <c r="E43" s="256"/>
      <c r="F43" s="114"/>
      <c r="G43" s="129">
        <v>14.6</v>
      </c>
      <c r="H43" s="114"/>
      <c r="I43" s="271"/>
      <c r="J43" s="261"/>
      <c r="K43" s="259"/>
      <c r="N43" s="16">
        <v>3</v>
      </c>
      <c r="O43" s="120">
        <v>0.59027777777777779</v>
      </c>
      <c r="P43" s="120">
        <f t="shared" ref="P43:P58" si="2">O43-O42</f>
        <v>1.388888888888884E-2</v>
      </c>
      <c r="Q43" s="31">
        <v>45</v>
      </c>
      <c r="R43" s="31">
        <v>15</v>
      </c>
      <c r="S43" s="31">
        <f t="shared" si="0"/>
        <v>60</v>
      </c>
      <c r="T43" s="127">
        <f>SUM($Q$41:Q43)</f>
        <v>65</v>
      </c>
      <c r="U43" s="127">
        <f>SUM($R$41:R43)</f>
        <v>30</v>
      </c>
      <c r="V43" s="127">
        <f>SUM($S$41:S43)</f>
        <v>95</v>
      </c>
      <c r="W43" s="125"/>
      <c r="X43" s="120">
        <v>0.86458333333333337</v>
      </c>
      <c r="Y43" s="120">
        <f t="shared" ref="Y43:Y60" si="3">X43-X42</f>
        <v>1.0416666666666741E-2</v>
      </c>
      <c r="Z43" s="31">
        <v>30</v>
      </c>
      <c r="AA43" s="31">
        <v>15</v>
      </c>
      <c r="AB43" s="31">
        <f t="shared" si="1"/>
        <v>45</v>
      </c>
      <c r="AC43">
        <f>SUM($Z$41:Z43)</f>
        <v>60</v>
      </c>
      <c r="AD43">
        <f>SUM($AA$41:AA43)</f>
        <v>30</v>
      </c>
      <c r="AE43">
        <f>SUM($AB$41:AB43)</f>
        <v>90</v>
      </c>
      <c r="AL43" s="256"/>
      <c r="AM43" s="256"/>
    </row>
    <row r="44" spans="2:39" ht="15.75" x14ac:dyDescent="0.25">
      <c r="B44" s="13">
        <v>38</v>
      </c>
      <c r="C44" s="256"/>
      <c r="D44" s="54">
        <v>0.91597222222222097</v>
      </c>
      <c r="E44" s="256"/>
      <c r="F44" s="114"/>
      <c r="G44" s="129">
        <v>14.6</v>
      </c>
      <c r="H44" s="114"/>
      <c r="I44" s="271"/>
      <c r="J44" s="261"/>
      <c r="K44" s="260"/>
      <c r="N44" s="16">
        <v>4</v>
      </c>
      <c r="O44" s="120">
        <v>0.60416666666666696</v>
      </c>
      <c r="P44" s="120">
        <f t="shared" si="2"/>
        <v>1.3888888888889173E-2</v>
      </c>
      <c r="Q44" s="31">
        <v>65</v>
      </c>
      <c r="R44" s="31">
        <v>15</v>
      </c>
      <c r="S44" s="31">
        <f t="shared" si="0"/>
        <v>80</v>
      </c>
      <c r="T44" s="127">
        <f>SUM($Q$41:Q44)</f>
        <v>130</v>
      </c>
      <c r="U44" s="127">
        <f>SUM($R$41:R44)</f>
        <v>45</v>
      </c>
      <c r="V44" s="127">
        <f>SUM($S$41:S44)</f>
        <v>175</v>
      </c>
      <c r="X44" s="120">
        <v>0.875</v>
      </c>
      <c r="Y44" s="120">
        <f t="shared" si="3"/>
        <v>1.041666666666663E-2</v>
      </c>
      <c r="Z44" s="31">
        <v>20</v>
      </c>
      <c r="AA44" s="31">
        <v>15</v>
      </c>
      <c r="AB44" s="31">
        <f t="shared" si="1"/>
        <v>35</v>
      </c>
      <c r="AC44">
        <f>SUM($Z$41:Z44)</f>
        <v>80</v>
      </c>
      <c r="AD44">
        <f>SUM($AA$41:AA44)</f>
        <v>45</v>
      </c>
      <c r="AE44">
        <f>SUM($AB$41:AB44)</f>
        <v>125</v>
      </c>
      <c r="AL44" s="256"/>
      <c r="AM44" s="256"/>
    </row>
    <row r="45" spans="2:39" ht="15.75" x14ac:dyDescent="0.25">
      <c r="B45" s="13">
        <v>39</v>
      </c>
      <c r="C45" s="257"/>
      <c r="D45" s="54">
        <v>0.91805555555555396</v>
      </c>
      <c r="E45" s="256"/>
      <c r="F45" s="114"/>
      <c r="G45" s="129">
        <v>14.6</v>
      </c>
      <c r="H45" s="114"/>
      <c r="I45" s="124"/>
      <c r="J45" s="261"/>
      <c r="K45" s="255">
        <v>0.10069444444444443</v>
      </c>
      <c r="N45" s="16">
        <v>5</v>
      </c>
      <c r="O45" s="120">
        <v>0.61805555555555503</v>
      </c>
      <c r="P45" s="120">
        <f t="shared" si="2"/>
        <v>1.3888888888888062E-2</v>
      </c>
      <c r="Q45" s="31">
        <v>70</v>
      </c>
      <c r="R45" s="31">
        <v>15</v>
      </c>
      <c r="S45" s="31">
        <f t="shared" si="0"/>
        <v>85</v>
      </c>
      <c r="T45" s="127">
        <f>SUM($Q$41:Q45)</f>
        <v>200</v>
      </c>
      <c r="U45" s="127">
        <f>SUM($R$41:R45)</f>
        <v>60</v>
      </c>
      <c r="V45" s="127">
        <f>SUM($S$41:S45)</f>
        <v>260</v>
      </c>
      <c r="W45" s="125"/>
      <c r="X45" s="120">
        <v>0.88541666666666663</v>
      </c>
      <c r="Y45" s="120">
        <f t="shared" si="3"/>
        <v>1.041666666666663E-2</v>
      </c>
      <c r="Z45" s="31">
        <v>20</v>
      </c>
      <c r="AA45" s="31">
        <v>15</v>
      </c>
      <c r="AB45" s="31">
        <f t="shared" si="1"/>
        <v>35</v>
      </c>
      <c r="AC45">
        <f>SUM($Z$41:Z45)</f>
        <v>100</v>
      </c>
      <c r="AD45">
        <f>SUM($AA$41:AA45)</f>
        <v>60</v>
      </c>
      <c r="AE45">
        <f>SUM($AB$41:AB45)</f>
        <v>160</v>
      </c>
      <c r="AL45" s="256"/>
      <c r="AM45" s="257"/>
    </row>
    <row r="46" spans="2:39" ht="15.75" x14ac:dyDescent="0.25">
      <c r="B46" s="13">
        <v>40</v>
      </c>
      <c r="C46" s="255">
        <v>0.92013888888888895</v>
      </c>
      <c r="D46" s="54">
        <v>0.92013888888888695</v>
      </c>
      <c r="E46" s="256"/>
      <c r="F46" s="256" t="s">
        <v>223</v>
      </c>
      <c r="G46" s="129">
        <v>14.6</v>
      </c>
      <c r="H46" s="114"/>
      <c r="I46" s="124"/>
      <c r="J46" s="99"/>
      <c r="K46" s="256"/>
      <c r="N46" s="16">
        <v>6</v>
      </c>
      <c r="O46" s="120">
        <v>0.63194444444444398</v>
      </c>
      <c r="P46" s="120">
        <f t="shared" si="2"/>
        <v>1.3888888888888951E-2</v>
      </c>
      <c r="Q46" s="31">
        <v>125</v>
      </c>
      <c r="R46" s="31">
        <v>15</v>
      </c>
      <c r="S46" s="31">
        <f t="shared" si="0"/>
        <v>140</v>
      </c>
      <c r="T46" s="127">
        <f>SUM($Q$41:Q46)</f>
        <v>325</v>
      </c>
      <c r="U46" s="127">
        <f>SUM($R$41:R46)</f>
        <v>75</v>
      </c>
      <c r="V46" s="127">
        <f>SUM($S$41:S46)</f>
        <v>400</v>
      </c>
      <c r="W46" s="32"/>
      <c r="X46" s="120">
        <v>0.89583333333333304</v>
      </c>
      <c r="Y46" s="120">
        <f t="shared" si="3"/>
        <v>1.0416666666666408E-2</v>
      </c>
      <c r="Z46" s="31">
        <v>40</v>
      </c>
      <c r="AA46" s="31">
        <v>15</v>
      </c>
      <c r="AB46" s="31">
        <f t="shared" ref="AB46" si="4">SUM(Z46:AA46)</f>
        <v>55</v>
      </c>
      <c r="AC46">
        <f>SUM($Z$41:Z46)</f>
        <v>140</v>
      </c>
      <c r="AD46">
        <f>SUM($AA$41:AA46)</f>
        <v>75</v>
      </c>
      <c r="AE46">
        <f>SUM($AB$41:AB46)</f>
        <v>215</v>
      </c>
      <c r="AL46" s="256"/>
      <c r="AM46" s="255">
        <v>0.85416666666666663</v>
      </c>
    </row>
    <row r="47" spans="2:39" ht="15.75" x14ac:dyDescent="0.25">
      <c r="B47" s="13">
        <v>41</v>
      </c>
      <c r="C47" s="256"/>
      <c r="D47" s="54">
        <v>0.92222222222221995</v>
      </c>
      <c r="E47" s="113"/>
      <c r="F47" s="256"/>
      <c r="G47" s="129">
        <v>14.6</v>
      </c>
      <c r="H47" s="111"/>
      <c r="I47" s="271"/>
      <c r="J47" s="99"/>
      <c r="K47" s="256"/>
      <c r="N47" s="16">
        <v>7</v>
      </c>
      <c r="O47" s="120">
        <v>0.64583333333333304</v>
      </c>
      <c r="P47" s="120">
        <f t="shared" si="2"/>
        <v>1.3888888888889062E-2</v>
      </c>
      <c r="Q47" s="31">
        <v>80</v>
      </c>
      <c r="R47" s="31">
        <v>15</v>
      </c>
      <c r="S47" s="31">
        <f t="shared" si="0"/>
        <v>95</v>
      </c>
      <c r="T47" s="127">
        <f>SUM($Q$41:Q47)</f>
        <v>405</v>
      </c>
      <c r="U47" s="127">
        <f>SUM($R$41:R48)</f>
        <v>105</v>
      </c>
      <c r="V47" s="127">
        <f>SUM($S$41:S47)</f>
        <v>495</v>
      </c>
      <c r="X47" s="120">
        <v>0.90625</v>
      </c>
      <c r="Y47" s="120">
        <f t="shared" si="3"/>
        <v>1.0416666666666963E-2</v>
      </c>
      <c r="Z47" s="31">
        <v>100</v>
      </c>
      <c r="AA47" s="31">
        <v>15</v>
      </c>
      <c r="AB47" s="31">
        <f t="shared" si="1"/>
        <v>115</v>
      </c>
      <c r="AC47">
        <f>SUM($Z$41:Z47)</f>
        <v>240</v>
      </c>
      <c r="AD47">
        <f>SUM($AA$41:AA47)</f>
        <v>90</v>
      </c>
      <c r="AE47">
        <f>SUM($AB$41:AB47)</f>
        <v>330</v>
      </c>
      <c r="AL47" s="256"/>
      <c r="AM47" s="256"/>
    </row>
    <row r="48" spans="2:39" ht="15.75" x14ac:dyDescent="0.25">
      <c r="B48" s="13">
        <v>42</v>
      </c>
      <c r="C48" s="256"/>
      <c r="D48" s="54">
        <v>0.92430555555555305</v>
      </c>
      <c r="E48" s="113"/>
      <c r="F48" s="256"/>
      <c r="G48" s="129">
        <v>14.6</v>
      </c>
      <c r="H48" s="111"/>
      <c r="I48" s="271"/>
      <c r="J48" s="261"/>
      <c r="K48" s="256"/>
      <c r="N48" s="16">
        <v>8</v>
      </c>
      <c r="O48" s="120">
        <v>0.65972222222222199</v>
      </c>
      <c r="P48" s="120">
        <f t="shared" si="2"/>
        <v>1.3888888888888951E-2</v>
      </c>
      <c r="Q48" s="31">
        <v>80</v>
      </c>
      <c r="R48" s="31">
        <v>15</v>
      </c>
      <c r="S48" s="31">
        <f t="shared" si="0"/>
        <v>95</v>
      </c>
      <c r="T48" s="127">
        <f>SUM($Q$41:Q48)</f>
        <v>485</v>
      </c>
      <c r="U48" s="127">
        <f>SUM($R$41:R49)</f>
        <v>120</v>
      </c>
      <c r="V48" s="127">
        <f>SUM($S$41:S48)</f>
        <v>590</v>
      </c>
      <c r="W48" s="125"/>
      <c r="X48" s="120">
        <v>0.91666666666666696</v>
      </c>
      <c r="Y48" s="120">
        <f t="shared" si="3"/>
        <v>1.0416666666666963E-2</v>
      </c>
      <c r="Z48" s="31">
        <v>55</v>
      </c>
      <c r="AA48" s="31">
        <v>15</v>
      </c>
      <c r="AB48" s="31">
        <f t="shared" si="1"/>
        <v>70</v>
      </c>
      <c r="AC48">
        <f>SUM($Z$41:Z48)</f>
        <v>295</v>
      </c>
      <c r="AD48">
        <f>SUM($AA$41:AA48)</f>
        <v>105</v>
      </c>
      <c r="AE48">
        <f>SUM($AB$41:AB48)</f>
        <v>400</v>
      </c>
      <c r="AL48" s="257"/>
      <c r="AM48" s="256"/>
    </row>
    <row r="49" spans="2:39" ht="15.75" x14ac:dyDescent="0.25">
      <c r="B49" s="13">
        <v>43</v>
      </c>
      <c r="C49" s="256"/>
      <c r="D49" s="54">
        <v>0.92638888888888604</v>
      </c>
      <c r="E49" s="113"/>
      <c r="F49" s="256"/>
      <c r="G49" s="129">
        <v>14.6</v>
      </c>
      <c r="H49" s="111"/>
      <c r="I49" s="271"/>
      <c r="J49" s="261"/>
      <c r="K49" s="256"/>
      <c r="N49" s="16">
        <v>9</v>
      </c>
      <c r="O49" s="120">
        <v>0.67361111111111105</v>
      </c>
      <c r="P49" s="120">
        <f t="shared" si="2"/>
        <v>1.3888888888889062E-2</v>
      </c>
      <c r="Q49" s="31">
        <v>60</v>
      </c>
      <c r="R49" s="31">
        <v>15</v>
      </c>
      <c r="S49" s="31">
        <f t="shared" si="0"/>
        <v>75</v>
      </c>
      <c r="T49" s="127">
        <f>SUM($Q$41:Q49)</f>
        <v>545</v>
      </c>
      <c r="U49" s="127">
        <f>SUM($R$41:R50)</f>
        <v>135</v>
      </c>
      <c r="V49" s="127">
        <f>SUM($S$41:S49)</f>
        <v>665</v>
      </c>
      <c r="X49" s="120">
        <v>0.92708333333333304</v>
      </c>
      <c r="Y49" s="120">
        <f t="shared" si="3"/>
        <v>1.0416666666666075E-2</v>
      </c>
      <c r="Z49" s="31">
        <v>50</v>
      </c>
      <c r="AA49" s="31">
        <v>15</v>
      </c>
      <c r="AB49" s="31">
        <f t="shared" si="1"/>
        <v>65</v>
      </c>
      <c r="AC49">
        <f>SUM($Z$41:Z49)</f>
        <v>345</v>
      </c>
      <c r="AD49">
        <f>SUM($AA$41:AA49)</f>
        <v>120</v>
      </c>
      <c r="AE49">
        <f>SUM($AB$41:AB49)</f>
        <v>465</v>
      </c>
      <c r="AL49" s="255">
        <v>0.59027777777777779</v>
      </c>
      <c r="AM49" s="256"/>
    </row>
    <row r="50" spans="2:39" ht="15.75" x14ac:dyDescent="0.25">
      <c r="B50" s="13">
        <v>44</v>
      </c>
      <c r="C50" s="257"/>
      <c r="D50" s="54">
        <v>0.92847222222221903</v>
      </c>
      <c r="E50" s="113"/>
      <c r="F50" s="256"/>
      <c r="G50" s="129">
        <v>14.6</v>
      </c>
      <c r="H50" s="111"/>
      <c r="I50" s="271"/>
      <c r="J50" s="261"/>
      <c r="K50" s="257"/>
      <c r="N50" s="16">
        <v>10</v>
      </c>
      <c r="O50" s="120">
        <v>0.6875</v>
      </c>
      <c r="P50" s="120">
        <f t="shared" si="2"/>
        <v>1.3888888888888951E-2</v>
      </c>
      <c r="Q50" s="31">
        <v>60</v>
      </c>
      <c r="R50" s="31">
        <v>15</v>
      </c>
      <c r="S50" s="31">
        <f t="shared" si="0"/>
        <v>75</v>
      </c>
      <c r="T50" s="127">
        <f>SUM($Q$41:Q50)</f>
        <v>605</v>
      </c>
      <c r="U50" s="127">
        <f>SUM($R$41:R51)</f>
        <v>150</v>
      </c>
      <c r="V50" s="127">
        <f>SUM($S$41:S50)</f>
        <v>740</v>
      </c>
      <c r="W50" s="125"/>
      <c r="X50" s="120">
        <v>0.9375</v>
      </c>
      <c r="Y50" s="120">
        <f t="shared" si="3"/>
        <v>1.0416666666666963E-2</v>
      </c>
      <c r="Z50" s="31">
        <v>50</v>
      </c>
      <c r="AA50" s="31">
        <v>15</v>
      </c>
      <c r="AB50" s="31">
        <f t="shared" si="1"/>
        <v>65</v>
      </c>
      <c r="AC50">
        <f>SUM($Z$41:Z50)</f>
        <v>395</v>
      </c>
      <c r="AD50">
        <f>SUM($AA$41:AA50)</f>
        <v>135</v>
      </c>
      <c r="AE50">
        <f>SUM($AB$41:AB50)</f>
        <v>530</v>
      </c>
      <c r="AL50" s="256"/>
      <c r="AM50" s="257"/>
    </row>
    <row r="51" spans="2:39" ht="15.75" x14ac:dyDescent="0.25">
      <c r="B51" s="13">
        <v>45</v>
      </c>
      <c r="C51" s="255">
        <v>0.93055555555555547</v>
      </c>
      <c r="D51" s="54">
        <v>0.93055555555555203</v>
      </c>
      <c r="E51" s="256" t="s">
        <v>223</v>
      </c>
      <c r="F51" s="256"/>
      <c r="G51" s="129">
        <v>14.6</v>
      </c>
      <c r="H51" s="111"/>
      <c r="I51" s="271"/>
      <c r="J51" s="261"/>
      <c r="K51" s="255">
        <v>0.1111111111111111</v>
      </c>
      <c r="N51" s="16">
        <v>11</v>
      </c>
      <c r="O51" s="120">
        <v>0.70138888888888895</v>
      </c>
      <c r="P51" s="120">
        <f t="shared" si="2"/>
        <v>1.3888888888888951E-2</v>
      </c>
      <c r="Q51" s="31">
        <v>50</v>
      </c>
      <c r="R51" s="31">
        <v>15</v>
      </c>
      <c r="S51" s="31">
        <f t="shared" si="0"/>
        <v>65</v>
      </c>
      <c r="T51" s="127">
        <f>SUM($Q$41:Q51)</f>
        <v>655</v>
      </c>
      <c r="U51" s="127">
        <f>SUM($R$41:R52)</f>
        <v>165</v>
      </c>
      <c r="V51" s="127">
        <f>SUM($S$41:S51)</f>
        <v>805</v>
      </c>
      <c r="X51" s="120">
        <v>0.94791666666666696</v>
      </c>
      <c r="Y51" s="120">
        <f t="shared" si="3"/>
        <v>1.0416666666666963E-2</v>
      </c>
      <c r="Z51" s="31">
        <v>50</v>
      </c>
      <c r="AA51" s="31">
        <v>15</v>
      </c>
      <c r="AB51" s="31">
        <f t="shared" si="1"/>
        <v>65</v>
      </c>
      <c r="AC51">
        <f>SUM($Z$41:Z51)</f>
        <v>445</v>
      </c>
      <c r="AD51">
        <f>SUM($AA$41:AA51)</f>
        <v>150</v>
      </c>
      <c r="AE51">
        <f>SUM($AB$41:AB51)</f>
        <v>595</v>
      </c>
      <c r="AL51" s="256"/>
      <c r="AM51" s="255">
        <v>0.86458333333333337</v>
      </c>
    </row>
    <row r="52" spans="2:39" ht="15.75" x14ac:dyDescent="0.25">
      <c r="B52" s="13">
        <v>46</v>
      </c>
      <c r="C52" s="256"/>
      <c r="D52" s="54">
        <v>0.93263888888888502</v>
      </c>
      <c r="E52" s="256"/>
      <c r="F52" s="114"/>
      <c r="G52" s="129">
        <v>14.6</v>
      </c>
      <c r="H52" s="114"/>
      <c r="I52" s="271"/>
      <c r="J52" s="261"/>
      <c r="K52" s="256"/>
      <c r="N52" s="16">
        <v>12</v>
      </c>
      <c r="O52" s="120">
        <v>0.71527777777777701</v>
      </c>
      <c r="P52" s="120">
        <f t="shared" si="2"/>
        <v>1.3888888888888062E-2</v>
      </c>
      <c r="Q52" s="31">
        <v>60</v>
      </c>
      <c r="R52" s="31">
        <v>15</v>
      </c>
      <c r="S52" s="31">
        <f t="shared" si="0"/>
        <v>75</v>
      </c>
      <c r="T52" s="127">
        <f>SUM($Q$41:Q52)</f>
        <v>715</v>
      </c>
      <c r="U52" s="127">
        <f>SUM($R$41:R53)</f>
        <v>180</v>
      </c>
      <c r="V52" s="127">
        <f>SUM($S$41:S52)</f>
        <v>880</v>
      </c>
      <c r="W52" s="125"/>
      <c r="X52" s="120">
        <v>0.95833333333333404</v>
      </c>
      <c r="Y52" s="120">
        <f t="shared" si="3"/>
        <v>1.0416666666667074E-2</v>
      </c>
      <c r="Z52" s="31">
        <v>50</v>
      </c>
      <c r="AA52" s="31">
        <v>15</v>
      </c>
      <c r="AB52" s="31">
        <f t="shared" si="1"/>
        <v>65</v>
      </c>
      <c r="AC52">
        <f>SUM($Z$41:Z52)</f>
        <v>495</v>
      </c>
      <c r="AD52">
        <f>SUM($AA$41:AA52)</f>
        <v>165</v>
      </c>
      <c r="AE52">
        <f>SUM($AB$41:AB52)</f>
        <v>660</v>
      </c>
      <c r="AL52" s="256"/>
      <c r="AM52" s="256"/>
    </row>
    <row r="53" spans="2:39" ht="15.75" x14ac:dyDescent="0.25">
      <c r="B53" s="13">
        <v>47</v>
      </c>
      <c r="C53" s="256"/>
      <c r="D53" s="54">
        <v>0.93472222222221801</v>
      </c>
      <c r="E53" s="256"/>
      <c r="F53" s="114"/>
      <c r="G53" s="129">
        <v>14.6</v>
      </c>
      <c r="H53" s="114"/>
      <c r="I53" s="271"/>
      <c r="J53" s="261"/>
      <c r="K53" s="256"/>
      <c r="N53" s="16">
        <v>13</v>
      </c>
      <c r="O53" s="120">
        <v>0.72916666666666596</v>
      </c>
      <c r="P53" s="120">
        <f t="shared" si="2"/>
        <v>1.3888888888888951E-2</v>
      </c>
      <c r="Q53" s="31">
        <v>60</v>
      </c>
      <c r="R53" s="31">
        <v>15</v>
      </c>
      <c r="S53" s="31">
        <f t="shared" si="0"/>
        <v>75</v>
      </c>
      <c r="T53" s="127">
        <f>SUM($Q$41:Q53)</f>
        <v>775</v>
      </c>
      <c r="U53" s="127">
        <f>SUM($R$41:R54)</f>
        <v>200</v>
      </c>
      <c r="V53" s="127">
        <f>SUM($S$41:S53)</f>
        <v>955</v>
      </c>
      <c r="X53" s="120">
        <v>0.968750000000001</v>
      </c>
      <c r="Y53" s="120">
        <f t="shared" si="3"/>
        <v>1.0416666666666963E-2</v>
      </c>
      <c r="Z53" s="31">
        <v>20</v>
      </c>
      <c r="AA53" s="31">
        <v>15</v>
      </c>
      <c r="AB53" s="31">
        <f t="shared" si="1"/>
        <v>35</v>
      </c>
      <c r="AC53">
        <f>SUM($Z$41:Z53)</f>
        <v>515</v>
      </c>
      <c r="AD53">
        <f>SUM($AA$41:AA53)</f>
        <v>180</v>
      </c>
      <c r="AE53">
        <f>SUM($AB$41:AB53)</f>
        <v>695</v>
      </c>
      <c r="AL53" s="256"/>
      <c r="AM53" s="256"/>
    </row>
    <row r="54" spans="2:39" ht="15.75" x14ac:dyDescent="0.25">
      <c r="B54" s="13">
        <v>48</v>
      </c>
      <c r="C54" s="256"/>
      <c r="D54" s="54">
        <v>0.93680555555555101</v>
      </c>
      <c r="E54" s="256"/>
      <c r="F54" s="114"/>
      <c r="G54" s="129">
        <v>14.6</v>
      </c>
      <c r="H54" s="114"/>
      <c r="I54" s="271"/>
      <c r="J54" s="261"/>
      <c r="K54" s="256"/>
      <c r="N54" s="16">
        <v>14</v>
      </c>
      <c r="O54" s="120">
        <v>0.74305555555555503</v>
      </c>
      <c r="P54" s="120">
        <f t="shared" si="2"/>
        <v>1.3888888888889062E-2</v>
      </c>
      <c r="Q54" s="31">
        <v>30</v>
      </c>
      <c r="R54" s="31">
        <v>20</v>
      </c>
      <c r="S54" s="31">
        <f t="shared" si="0"/>
        <v>50</v>
      </c>
      <c r="T54" s="127">
        <f>SUM($Q$41:Q54)</f>
        <v>805</v>
      </c>
      <c r="U54" s="127">
        <f>SUM($R$41:R55)</f>
        <v>230</v>
      </c>
      <c r="V54" s="127">
        <f>SUM($S$41:S54)</f>
        <v>1005</v>
      </c>
      <c r="W54" s="125"/>
      <c r="X54" s="120">
        <v>0.97916666666666796</v>
      </c>
      <c r="Y54" s="120">
        <f t="shared" si="3"/>
        <v>1.0416666666666963E-2</v>
      </c>
      <c r="Z54" s="31">
        <v>100</v>
      </c>
      <c r="AA54" s="31">
        <v>15</v>
      </c>
      <c r="AB54" s="31">
        <f t="shared" si="1"/>
        <v>115</v>
      </c>
      <c r="AC54">
        <f>SUM($Z$41:Z54)</f>
        <v>615</v>
      </c>
      <c r="AD54">
        <f>SUM($AA$41:AA54)</f>
        <v>195</v>
      </c>
      <c r="AE54">
        <f>SUM($AB$41:AB54)</f>
        <v>810</v>
      </c>
      <c r="AL54" s="256"/>
      <c r="AM54" s="256"/>
    </row>
    <row r="55" spans="2:39" ht="15.75" x14ac:dyDescent="0.25">
      <c r="B55" s="13">
        <v>49</v>
      </c>
      <c r="C55" s="257"/>
      <c r="D55" s="54">
        <v>0.938888888888884</v>
      </c>
      <c r="E55" s="256"/>
      <c r="F55" s="114"/>
      <c r="G55" s="129">
        <v>14.6</v>
      </c>
      <c r="H55" s="114"/>
      <c r="I55" s="271"/>
      <c r="J55" s="261"/>
      <c r="K55" s="257"/>
      <c r="N55" s="16">
        <v>15</v>
      </c>
      <c r="O55" s="120">
        <v>0.75694444444444398</v>
      </c>
      <c r="P55" s="120">
        <f t="shared" si="2"/>
        <v>1.3888888888888951E-2</v>
      </c>
      <c r="Q55" s="31">
        <v>20</v>
      </c>
      <c r="R55" s="31">
        <v>30</v>
      </c>
      <c r="S55" s="31">
        <f t="shared" si="0"/>
        <v>50</v>
      </c>
      <c r="T55" s="127">
        <f>SUM($Q$41:Q55)</f>
        <v>825</v>
      </c>
      <c r="U55" s="127">
        <f>SUM($R$41:R56)</f>
        <v>260</v>
      </c>
      <c r="V55" s="127">
        <f>SUM($S$41:S55)</f>
        <v>1055</v>
      </c>
      <c r="X55" s="120">
        <v>0.98958333333333504</v>
      </c>
      <c r="Y55" s="120">
        <f t="shared" si="3"/>
        <v>1.0416666666667074E-2</v>
      </c>
      <c r="Z55" s="31">
        <v>50</v>
      </c>
      <c r="AA55" s="31">
        <v>15</v>
      </c>
      <c r="AB55" s="31">
        <f t="shared" si="1"/>
        <v>65</v>
      </c>
      <c r="AC55">
        <f>SUM($Z$41:Z55)</f>
        <v>665</v>
      </c>
      <c r="AD55">
        <f>SUM($AA$41:AA55)</f>
        <v>210</v>
      </c>
      <c r="AE55">
        <f>SUM($AB$41:AB55)</f>
        <v>875</v>
      </c>
      <c r="AL55" s="256"/>
      <c r="AM55" s="257"/>
    </row>
    <row r="56" spans="2:39" ht="15.75" x14ac:dyDescent="0.25">
      <c r="B56" s="13">
        <v>50</v>
      </c>
      <c r="C56" s="255">
        <v>0.94097222222222221</v>
      </c>
      <c r="D56" s="54">
        <v>0.94097222222221699</v>
      </c>
      <c r="E56" s="256"/>
      <c r="F56" s="256" t="s">
        <v>223</v>
      </c>
      <c r="G56" s="129">
        <v>14.6</v>
      </c>
      <c r="H56" s="111"/>
      <c r="I56" s="271"/>
      <c r="J56" s="261"/>
      <c r="K56" s="258">
        <v>0.121527777777778</v>
      </c>
      <c r="N56" s="16">
        <v>16</v>
      </c>
      <c r="O56" s="120">
        <v>0.77083333333333304</v>
      </c>
      <c r="P56" s="120">
        <f t="shared" si="2"/>
        <v>1.3888888888889062E-2</v>
      </c>
      <c r="Q56" s="31">
        <v>20</v>
      </c>
      <c r="R56" s="31">
        <v>30</v>
      </c>
      <c r="S56" s="31">
        <f t="shared" si="0"/>
        <v>50</v>
      </c>
      <c r="T56" s="127">
        <f>SUM($Q$41:Q56)</f>
        <v>845</v>
      </c>
      <c r="U56" s="127">
        <f>SUM($R$41:R57)</f>
        <v>290</v>
      </c>
      <c r="V56" s="127">
        <f>SUM($S$41:S56)</f>
        <v>1105</v>
      </c>
      <c r="W56" s="125"/>
      <c r="X56" s="120">
        <v>1</v>
      </c>
      <c r="Y56" s="120">
        <f t="shared" si="3"/>
        <v>1.0416666666664964E-2</v>
      </c>
      <c r="Z56" s="31">
        <v>25</v>
      </c>
      <c r="AA56" s="31">
        <v>15</v>
      </c>
      <c r="AB56" s="31">
        <f t="shared" si="1"/>
        <v>40</v>
      </c>
      <c r="AC56">
        <f>SUM($Z$41:Z56)</f>
        <v>690</v>
      </c>
      <c r="AD56">
        <f>SUM($AA$41:AA56)</f>
        <v>225</v>
      </c>
      <c r="AE56">
        <f>SUM($AB$41:AB56)</f>
        <v>915</v>
      </c>
      <c r="AL56" s="255">
        <v>0.60416666666666696</v>
      </c>
      <c r="AM56" s="255">
        <v>0.875</v>
      </c>
    </row>
    <row r="57" spans="2:39" ht="15.75" x14ac:dyDescent="0.25">
      <c r="B57" s="13">
        <v>51</v>
      </c>
      <c r="C57" s="256"/>
      <c r="D57" s="54">
        <v>0.94305555555554998</v>
      </c>
      <c r="E57" s="113"/>
      <c r="F57" s="256"/>
      <c r="G57" s="129">
        <v>14.6</v>
      </c>
      <c r="H57" s="111"/>
      <c r="I57" s="271"/>
      <c r="J57" s="261"/>
      <c r="K57" s="259"/>
      <c r="N57" s="16">
        <v>17</v>
      </c>
      <c r="O57" s="120">
        <v>0.78472222222222199</v>
      </c>
      <c r="P57" s="120">
        <f t="shared" si="2"/>
        <v>1.3888888888888951E-2</v>
      </c>
      <c r="Q57" s="31">
        <v>10</v>
      </c>
      <c r="R57" s="31">
        <v>30</v>
      </c>
      <c r="S57" s="31">
        <f t="shared" si="0"/>
        <v>40</v>
      </c>
      <c r="T57" s="127">
        <f>SUM($Q$41:Q57)</f>
        <v>855</v>
      </c>
      <c r="U57" s="127">
        <f>SUM($R$41:R57)</f>
        <v>290</v>
      </c>
      <c r="V57" s="127">
        <f>SUM($S$41:S57)</f>
        <v>1145</v>
      </c>
      <c r="X57" s="120">
        <v>1.0104166666666701</v>
      </c>
      <c r="Y57" s="120">
        <f t="shared" si="3"/>
        <v>1.0416666666670071E-2</v>
      </c>
      <c r="Z57" s="31">
        <v>30</v>
      </c>
      <c r="AA57" s="31">
        <v>15</v>
      </c>
      <c r="AB57" s="31">
        <f t="shared" si="1"/>
        <v>45</v>
      </c>
      <c r="AC57">
        <f>SUM($Z$41:Z57)</f>
        <v>720</v>
      </c>
      <c r="AD57">
        <f>SUM($AA$41:AA57)</f>
        <v>240</v>
      </c>
      <c r="AE57">
        <f>SUM($AB$41:AB57)</f>
        <v>960</v>
      </c>
      <c r="AL57" s="256"/>
      <c r="AM57" s="256"/>
    </row>
    <row r="58" spans="2:39" ht="15.75" x14ac:dyDescent="0.25">
      <c r="B58" s="13">
        <v>52</v>
      </c>
      <c r="C58" s="256"/>
      <c r="D58" s="54">
        <v>0.94513888888888298</v>
      </c>
      <c r="E58" s="113"/>
      <c r="F58" s="256"/>
      <c r="G58" s="129">
        <v>14.6</v>
      </c>
      <c r="H58" s="111"/>
      <c r="I58" s="271"/>
      <c r="J58" s="261"/>
      <c r="K58" s="259"/>
      <c r="N58" s="16">
        <v>18</v>
      </c>
      <c r="O58" s="120">
        <v>0.79861111111111005</v>
      </c>
      <c r="P58" s="120">
        <f t="shared" si="2"/>
        <v>1.3888888888888062E-2</v>
      </c>
      <c r="Q58" s="31">
        <v>0</v>
      </c>
      <c r="R58" s="31">
        <v>30</v>
      </c>
      <c r="S58" s="31">
        <f t="shared" si="0"/>
        <v>30</v>
      </c>
      <c r="T58" s="127">
        <f>SUM($Q$41:Q58)</f>
        <v>855</v>
      </c>
      <c r="U58" s="127">
        <f>SUM($R$41:R58)</f>
        <v>320</v>
      </c>
      <c r="V58" s="127">
        <f>SUM($S$41:S58)</f>
        <v>1175</v>
      </c>
      <c r="W58" s="125"/>
      <c r="X58" s="120">
        <v>1.0208333333333399</v>
      </c>
      <c r="Y58" s="120">
        <f t="shared" si="3"/>
        <v>1.0416666666669849E-2</v>
      </c>
      <c r="Z58" s="31">
        <v>30</v>
      </c>
      <c r="AA58" s="31">
        <v>15</v>
      </c>
      <c r="AB58" s="31">
        <f t="shared" si="1"/>
        <v>45</v>
      </c>
      <c r="AC58">
        <f>SUM($Z$41:Z58)</f>
        <v>750</v>
      </c>
      <c r="AD58">
        <f>SUM($AA$41:AA58)</f>
        <v>255</v>
      </c>
      <c r="AE58">
        <f>SUM($AB$41:AB58)</f>
        <v>1005</v>
      </c>
      <c r="AL58" s="256"/>
      <c r="AM58" s="256"/>
    </row>
    <row r="59" spans="2:39" ht="15.75" x14ac:dyDescent="0.25">
      <c r="B59" s="13">
        <v>53</v>
      </c>
      <c r="C59" s="256"/>
      <c r="D59" s="54">
        <v>0.94722222222221597</v>
      </c>
      <c r="E59" s="113"/>
      <c r="F59" s="256"/>
      <c r="G59" s="129">
        <v>14.6</v>
      </c>
      <c r="H59" s="111"/>
      <c r="I59" s="271"/>
      <c r="J59" s="261"/>
      <c r="K59" s="259"/>
      <c r="N59" s="16"/>
      <c r="O59" s="120"/>
      <c r="P59" s="120"/>
      <c r="Q59" s="31"/>
      <c r="R59" s="31"/>
      <c r="S59" s="31"/>
      <c r="T59" s="127"/>
      <c r="U59" s="127"/>
      <c r="V59" s="127"/>
      <c r="X59" s="120">
        <v>1.03125</v>
      </c>
      <c r="Y59" s="120">
        <f t="shared" si="3"/>
        <v>1.0416666666660079E-2</v>
      </c>
      <c r="Z59" s="31">
        <v>20</v>
      </c>
      <c r="AA59" s="31">
        <v>30</v>
      </c>
      <c r="AB59" s="31">
        <f t="shared" si="1"/>
        <v>50</v>
      </c>
      <c r="AC59">
        <f>SUM($Z$41:Z59)</f>
        <v>770</v>
      </c>
      <c r="AD59">
        <f>SUM($AA$41:AA59)</f>
        <v>285</v>
      </c>
      <c r="AE59">
        <f>SUM($AB$41:AB59)</f>
        <v>1055</v>
      </c>
      <c r="AL59" s="256"/>
      <c r="AM59" s="256"/>
    </row>
    <row r="60" spans="2:39" ht="15.75" x14ac:dyDescent="0.25">
      <c r="B60" s="13">
        <v>54</v>
      </c>
      <c r="C60" s="257"/>
      <c r="D60" s="54">
        <v>0.94930555555554896</v>
      </c>
      <c r="E60" s="113"/>
      <c r="F60" s="256"/>
      <c r="G60" s="129">
        <v>14.6</v>
      </c>
      <c r="H60" s="111"/>
      <c r="I60" s="271"/>
      <c r="J60" s="261"/>
      <c r="K60" s="260"/>
      <c r="N60" s="16"/>
      <c r="O60" s="120"/>
      <c r="P60" s="120"/>
      <c r="Q60" s="31"/>
      <c r="R60" s="31"/>
      <c r="S60" s="31"/>
      <c r="T60" s="127"/>
      <c r="U60" s="127"/>
      <c r="V60" s="127"/>
      <c r="W60" s="125"/>
      <c r="X60" s="120">
        <v>1.0416666666666701</v>
      </c>
      <c r="Y60" s="120">
        <f t="shared" si="3"/>
        <v>1.0416666666670071E-2</v>
      </c>
      <c r="Z60" s="31">
        <v>0</v>
      </c>
      <c r="AA60" s="31">
        <v>30</v>
      </c>
      <c r="AB60" s="31">
        <f t="shared" si="1"/>
        <v>30</v>
      </c>
      <c r="AC60">
        <f>SUM($Z$41:Z60)</f>
        <v>770</v>
      </c>
      <c r="AD60">
        <f>SUM($AA$41:AA60)</f>
        <v>315</v>
      </c>
      <c r="AE60">
        <f>SUM($AB$41:AB60)</f>
        <v>1085</v>
      </c>
      <c r="AL60" s="256"/>
      <c r="AM60" s="257"/>
    </row>
    <row r="61" spans="2:39" ht="15.75" x14ac:dyDescent="0.25">
      <c r="B61" s="13">
        <v>55</v>
      </c>
      <c r="C61" s="255">
        <v>0.95138888888888884</v>
      </c>
      <c r="D61" s="54">
        <v>0.95138888888888196</v>
      </c>
      <c r="E61" s="256" t="s">
        <v>222</v>
      </c>
      <c r="F61" s="256"/>
      <c r="G61" s="129">
        <v>14.6</v>
      </c>
      <c r="H61" s="111"/>
      <c r="I61" s="271"/>
      <c r="J61" s="261"/>
      <c r="K61" s="255">
        <v>0.131944444444444</v>
      </c>
      <c r="N61" s="16"/>
      <c r="O61" s="120"/>
      <c r="P61" s="120"/>
      <c r="Q61" s="31"/>
      <c r="R61" s="31"/>
      <c r="S61" s="31"/>
      <c r="T61" s="127"/>
      <c r="U61" s="127"/>
      <c r="V61" s="127"/>
      <c r="Z61" s="31"/>
      <c r="AA61" s="31"/>
      <c r="AB61" s="31"/>
      <c r="AL61" s="256"/>
      <c r="AM61" s="255">
        <v>0.88541666666666696</v>
      </c>
    </row>
    <row r="62" spans="2:39" ht="15.75" x14ac:dyDescent="0.25">
      <c r="B62" s="13">
        <v>56</v>
      </c>
      <c r="C62" s="256"/>
      <c r="D62" s="54">
        <v>0.95347222222221495</v>
      </c>
      <c r="E62" s="256"/>
      <c r="F62" s="114"/>
      <c r="G62" s="129">
        <v>14.4</v>
      </c>
      <c r="H62" s="114"/>
      <c r="I62" s="271"/>
      <c r="J62" s="261"/>
      <c r="K62" s="256"/>
      <c r="N62" s="16"/>
      <c r="O62" s="120"/>
      <c r="P62" s="120"/>
      <c r="Q62" s="31"/>
      <c r="R62" s="31"/>
      <c r="S62" s="31"/>
      <c r="T62" s="127"/>
      <c r="U62" s="127"/>
      <c r="V62" s="127"/>
      <c r="W62" s="125"/>
      <c r="X62" s="120"/>
      <c r="Y62" s="120"/>
      <c r="Z62" s="31"/>
      <c r="AA62" s="31"/>
      <c r="AB62" s="31"/>
      <c r="AL62" s="257"/>
      <c r="AM62" s="256"/>
    </row>
    <row r="63" spans="2:39" ht="15.75" x14ac:dyDescent="0.25">
      <c r="B63" s="13">
        <v>57</v>
      </c>
      <c r="C63" s="256"/>
      <c r="D63" s="54">
        <v>0.95555555555554805</v>
      </c>
      <c r="E63" s="256"/>
      <c r="F63" s="114"/>
      <c r="G63" s="129">
        <v>14.4</v>
      </c>
      <c r="H63" s="114"/>
      <c r="I63" s="271"/>
      <c r="J63" s="261"/>
      <c r="K63" s="256"/>
      <c r="N63" s="16"/>
      <c r="O63" s="120"/>
      <c r="P63" s="120"/>
      <c r="Q63" s="31"/>
      <c r="R63" s="31"/>
      <c r="S63" s="31"/>
      <c r="T63" s="127"/>
      <c r="U63" s="127"/>
      <c r="V63" s="127"/>
      <c r="X63" s="120"/>
      <c r="Y63" s="120"/>
      <c r="Z63" s="31"/>
      <c r="AA63" s="31"/>
      <c r="AB63" s="31"/>
      <c r="AL63" s="255">
        <v>0.61805555555555503</v>
      </c>
      <c r="AM63" s="256"/>
    </row>
    <row r="64" spans="2:39" ht="15.75" x14ac:dyDescent="0.25">
      <c r="B64" s="13">
        <v>58</v>
      </c>
      <c r="C64" s="256"/>
      <c r="D64" s="54">
        <v>0.95763888888888105</v>
      </c>
      <c r="E64" s="256"/>
      <c r="F64" s="114"/>
      <c r="G64" s="129">
        <v>14.4</v>
      </c>
      <c r="H64" s="114"/>
      <c r="I64" s="271"/>
      <c r="J64" s="261"/>
      <c r="K64" s="256"/>
      <c r="N64" s="16"/>
      <c r="O64" s="275" t="s">
        <v>238</v>
      </c>
      <c r="P64" s="275"/>
      <c r="Q64" s="275"/>
      <c r="R64" s="275"/>
      <c r="S64" s="275"/>
      <c r="X64" s="266" t="s">
        <v>238</v>
      </c>
      <c r="Y64" s="267"/>
      <c r="Z64" s="267"/>
      <c r="AA64" s="267"/>
      <c r="AB64" s="268"/>
      <c r="AL64" s="256"/>
      <c r="AM64" s="256"/>
    </row>
    <row r="65" spans="2:39" ht="15.75" x14ac:dyDescent="0.25">
      <c r="B65" s="13">
        <v>59</v>
      </c>
      <c r="C65" s="257"/>
      <c r="D65" s="54">
        <v>0.95972222222221404</v>
      </c>
      <c r="E65" s="256"/>
      <c r="F65" s="114"/>
      <c r="G65" s="129">
        <v>14.4</v>
      </c>
      <c r="H65" s="114"/>
      <c r="I65" s="271"/>
      <c r="J65" s="261"/>
      <c r="K65" s="257"/>
      <c r="N65" s="16"/>
      <c r="O65" s="269">
        <f>SUM(P41:P63)</f>
        <v>0.22569444444444342</v>
      </c>
      <c r="P65" s="269"/>
      <c r="Q65" s="123">
        <f>SUM(Q41:Q63)</f>
        <v>855</v>
      </c>
      <c r="R65" s="123">
        <f>SUM(R41:R63)</f>
        <v>320</v>
      </c>
      <c r="S65" s="123">
        <f>SUM(S41:S63)</f>
        <v>1175</v>
      </c>
      <c r="X65" s="269">
        <f>SUM(Y41:Y63)</f>
        <v>0.19444444444444786</v>
      </c>
      <c r="Y65" s="269"/>
      <c r="Z65" s="123">
        <f>SUM(Z41:Z63)</f>
        <v>770</v>
      </c>
      <c r="AA65" s="123">
        <f>SUM(AA41:AA63)</f>
        <v>315</v>
      </c>
      <c r="AB65" s="123">
        <f>SUM(AB41:AB63)</f>
        <v>1085</v>
      </c>
      <c r="AL65" s="256"/>
      <c r="AM65" s="257"/>
    </row>
    <row r="66" spans="2:39" ht="15.75" x14ac:dyDescent="0.25">
      <c r="B66" s="13">
        <v>60</v>
      </c>
      <c r="C66" s="255">
        <v>0.96180555555555547</v>
      </c>
      <c r="D66" s="54">
        <v>0.96180555555554703</v>
      </c>
      <c r="E66" s="256"/>
      <c r="F66" s="256" t="s">
        <v>222</v>
      </c>
      <c r="G66" s="129">
        <v>14.4</v>
      </c>
      <c r="H66" s="111"/>
      <c r="I66" s="271"/>
      <c r="J66" s="261"/>
      <c r="K66" s="255">
        <v>0.14236111111111099</v>
      </c>
      <c r="AL66" s="256"/>
      <c r="AM66" s="255">
        <v>0.89583333333333404</v>
      </c>
    </row>
    <row r="67" spans="2:39" ht="15.75" x14ac:dyDescent="0.25">
      <c r="B67" s="13">
        <v>61</v>
      </c>
      <c r="C67" s="256"/>
      <c r="D67" s="54">
        <v>0.96388888888888002</v>
      </c>
      <c r="E67" s="113"/>
      <c r="F67" s="256"/>
      <c r="G67" s="129">
        <v>14.4</v>
      </c>
      <c r="H67" s="111"/>
      <c r="I67" s="271"/>
      <c r="J67" s="261"/>
      <c r="K67" s="256"/>
      <c r="AL67" s="256"/>
      <c r="AM67" s="256"/>
    </row>
    <row r="68" spans="2:39" ht="15.75" x14ac:dyDescent="0.25">
      <c r="B68" s="13">
        <v>62</v>
      </c>
      <c r="C68" s="256"/>
      <c r="D68" s="54">
        <v>0.96597222222221302</v>
      </c>
      <c r="E68" s="113"/>
      <c r="F68" s="256"/>
      <c r="G68" s="129">
        <v>14.4</v>
      </c>
      <c r="H68" s="111"/>
      <c r="I68" s="271"/>
      <c r="J68" s="261"/>
      <c r="K68" s="256"/>
      <c r="AL68" s="256"/>
      <c r="AM68" s="256"/>
    </row>
    <row r="69" spans="2:39" ht="15.75" x14ac:dyDescent="0.25">
      <c r="B69" s="13">
        <v>63</v>
      </c>
      <c r="C69" s="256"/>
      <c r="D69" s="54">
        <v>0.96805555555554601</v>
      </c>
      <c r="E69" s="113"/>
      <c r="F69" s="256"/>
      <c r="G69" s="129">
        <v>14.4</v>
      </c>
      <c r="H69" s="111"/>
      <c r="I69" s="271"/>
      <c r="J69" s="261"/>
      <c r="K69" s="256"/>
      <c r="AL69" s="256"/>
      <c r="AM69" s="256"/>
    </row>
    <row r="70" spans="2:39" ht="15.75" x14ac:dyDescent="0.25">
      <c r="B70" s="13">
        <v>64</v>
      </c>
      <c r="C70" s="257"/>
      <c r="D70" s="54">
        <v>0.970138888888879</v>
      </c>
      <c r="E70" s="113"/>
      <c r="F70" s="256"/>
      <c r="G70" s="129">
        <v>14.4</v>
      </c>
      <c r="H70" s="111"/>
      <c r="I70" s="271"/>
      <c r="J70" s="261"/>
      <c r="K70" s="257"/>
      <c r="AL70" s="255">
        <v>0.63194444444444398</v>
      </c>
      <c r="AM70" s="257"/>
    </row>
    <row r="71" spans="2:39" ht="15.75" x14ac:dyDescent="0.25">
      <c r="B71" s="13">
        <v>65</v>
      </c>
      <c r="C71" s="255">
        <v>0.97222222222222199</v>
      </c>
      <c r="D71" s="54">
        <v>0.972222222222212</v>
      </c>
      <c r="E71" s="256" t="s">
        <v>224</v>
      </c>
      <c r="F71" s="256"/>
      <c r="G71" s="129">
        <v>14.4</v>
      </c>
      <c r="H71" s="111"/>
      <c r="I71" s="271"/>
      <c r="J71" s="261"/>
      <c r="K71" s="258">
        <v>0.15277777777777801</v>
      </c>
      <c r="AL71" s="256"/>
      <c r="AM71" s="255">
        <v>0.90625</v>
      </c>
    </row>
    <row r="72" spans="2:39" ht="15.75" x14ac:dyDescent="0.25">
      <c r="B72" s="13">
        <v>66</v>
      </c>
      <c r="C72" s="256"/>
      <c r="D72" s="54">
        <v>0.97430555555554499</v>
      </c>
      <c r="E72" s="256"/>
      <c r="F72" s="114"/>
      <c r="G72" s="129">
        <v>13.6</v>
      </c>
      <c r="H72" s="114"/>
      <c r="I72" s="271"/>
      <c r="J72" s="261"/>
      <c r="K72" s="259"/>
      <c r="AL72" s="256"/>
      <c r="AM72" s="256"/>
    </row>
    <row r="73" spans="2:39" ht="15.75" x14ac:dyDescent="0.25">
      <c r="B73" s="13">
        <v>67</v>
      </c>
      <c r="C73" s="256"/>
      <c r="D73" s="54">
        <v>0.97638888888887798</v>
      </c>
      <c r="E73" s="256"/>
      <c r="F73" s="114"/>
      <c r="G73" s="129">
        <v>13.6</v>
      </c>
      <c r="H73" s="114"/>
      <c r="I73" s="271"/>
      <c r="J73" s="261"/>
      <c r="K73" s="259"/>
      <c r="AL73" s="256"/>
      <c r="AM73" s="256"/>
    </row>
    <row r="74" spans="2:39" ht="15.75" x14ac:dyDescent="0.25">
      <c r="B74" s="13">
        <v>68</v>
      </c>
      <c r="C74" s="256"/>
      <c r="D74" s="54">
        <v>0.97847222222221097</v>
      </c>
      <c r="E74" s="256"/>
      <c r="F74" s="114"/>
      <c r="G74" s="129">
        <v>13.6</v>
      </c>
      <c r="H74" s="114"/>
      <c r="I74" s="271"/>
      <c r="J74" s="261"/>
      <c r="K74" s="259"/>
      <c r="AL74" s="256"/>
      <c r="AM74" s="256"/>
    </row>
    <row r="75" spans="2:39" ht="15.75" x14ac:dyDescent="0.25">
      <c r="B75" s="13">
        <v>69</v>
      </c>
      <c r="C75" s="257"/>
      <c r="D75" s="54">
        <v>0.98055555555554397</v>
      </c>
      <c r="E75" s="256"/>
      <c r="F75" s="114"/>
      <c r="G75" s="129">
        <v>13.6</v>
      </c>
      <c r="H75" s="114"/>
      <c r="I75" s="271"/>
      <c r="J75" s="261"/>
      <c r="K75" s="260"/>
      <c r="AL75" s="256"/>
      <c r="AM75" s="257"/>
    </row>
    <row r="76" spans="2:39" ht="15.75" x14ac:dyDescent="0.25">
      <c r="B76" s="13">
        <v>70</v>
      </c>
      <c r="C76" s="255">
        <v>0.98263888888888895</v>
      </c>
      <c r="D76" s="54">
        <v>0.98263888888887696</v>
      </c>
      <c r="E76" s="256"/>
      <c r="F76" s="256" t="s">
        <v>225</v>
      </c>
      <c r="G76" s="129">
        <v>13.6</v>
      </c>
      <c r="H76" s="111"/>
      <c r="I76" s="271"/>
      <c r="J76" s="261"/>
      <c r="K76" s="255">
        <v>0.163194444444444</v>
      </c>
      <c r="AL76" s="257"/>
      <c r="AM76" s="255">
        <v>0.91666666666666696</v>
      </c>
    </row>
    <row r="77" spans="2:39" ht="15.75" x14ac:dyDescent="0.25">
      <c r="B77" s="13">
        <v>71</v>
      </c>
      <c r="C77" s="256"/>
      <c r="D77" s="54">
        <v>0.98472222222220995</v>
      </c>
      <c r="E77" s="113"/>
      <c r="F77" s="256"/>
      <c r="G77" s="129">
        <v>14</v>
      </c>
      <c r="H77" s="111"/>
      <c r="I77" s="271"/>
      <c r="J77" s="261"/>
      <c r="K77" s="256"/>
      <c r="AL77" s="255">
        <v>0.64583333333333304</v>
      </c>
      <c r="AM77" s="256"/>
    </row>
    <row r="78" spans="2:39" ht="15.75" x14ac:dyDescent="0.25">
      <c r="B78" s="13">
        <v>72</v>
      </c>
      <c r="C78" s="256"/>
      <c r="D78" s="54">
        <v>0.98680555555554295</v>
      </c>
      <c r="E78" s="113"/>
      <c r="F78" s="256"/>
      <c r="G78" s="129">
        <v>14</v>
      </c>
      <c r="H78" s="111"/>
      <c r="I78" s="271"/>
      <c r="J78" s="261"/>
      <c r="K78" s="256"/>
      <c r="AL78" s="256"/>
      <c r="AM78" s="256"/>
    </row>
    <row r="79" spans="2:39" ht="15.75" x14ac:dyDescent="0.25">
      <c r="B79" s="13">
        <v>73</v>
      </c>
      <c r="C79" s="256"/>
      <c r="D79" s="54">
        <v>0.98888888888887605</v>
      </c>
      <c r="E79" s="113"/>
      <c r="F79" s="256"/>
      <c r="G79" s="129">
        <v>14</v>
      </c>
      <c r="H79" s="111"/>
      <c r="I79" s="271"/>
      <c r="J79" s="261"/>
      <c r="K79" s="256"/>
      <c r="AL79" s="256"/>
      <c r="AM79" s="256"/>
    </row>
    <row r="80" spans="2:39" ht="15.75" x14ac:dyDescent="0.25">
      <c r="B80" s="13">
        <v>74</v>
      </c>
      <c r="C80" s="257"/>
      <c r="D80" s="54">
        <v>0.99097222222220904</v>
      </c>
      <c r="E80" s="113"/>
      <c r="F80" s="256"/>
      <c r="G80" s="129">
        <v>14</v>
      </c>
      <c r="H80" s="111"/>
      <c r="I80" s="271"/>
      <c r="J80" s="261"/>
      <c r="K80" s="257"/>
      <c r="AL80" s="256"/>
      <c r="AM80" s="257"/>
    </row>
    <row r="81" spans="2:39" ht="15.75" x14ac:dyDescent="0.25">
      <c r="B81" s="13">
        <v>75</v>
      </c>
      <c r="C81" s="255">
        <v>0.99305555555555503</v>
      </c>
      <c r="D81" s="54">
        <v>0.99305555555554204</v>
      </c>
      <c r="E81" s="256" t="s">
        <v>225</v>
      </c>
      <c r="F81" s="256"/>
      <c r="G81" s="129">
        <v>14</v>
      </c>
      <c r="H81" s="111"/>
      <c r="I81" s="271"/>
      <c r="J81" s="261"/>
      <c r="K81" s="255">
        <v>0.17361111111111099</v>
      </c>
      <c r="AL81" s="256"/>
      <c r="AM81" s="255">
        <v>0.92708333333333404</v>
      </c>
    </row>
    <row r="82" spans="2:39" ht="15.75" x14ac:dyDescent="0.25">
      <c r="B82" s="13">
        <v>76</v>
      </c>
      <c r="C82" s="256"/>
      <c r="D82" s="54">
        <v>0.99513888888887503</v>
      </c>
      <c r="E82" s="256"/>
      <c r="F82" s="114"/>
      <c r="G82" s="129">
        <v>14</v>
      </c>
      <c r="H82" s="114"/>
      <c r="I82" s="271"/>
      <c r="J82" s="261"/>
      <c r="K82" s="256"/>
      <c r="AL82" s="256"/>
      <c r="AM82" s="256"/>
    </row>
    <row r="83" spans="2:39" ht="15.75" x14ac:dyDescent="0.25">
      <c r="B83" s="13">
        <v>77</v>
      </c>
      <c r="C83" s="256"/>
      <c r="D83" s="54">
        <v>0.99722222222220802</v>
      </c>
      <c r="E83" s="256"/>
      <c r="F83" s="114"/>
      <c r="G83" s="129">
        <v>14</v>
      </c>
      <c r="H83" s="114"/>
      <c r="I83" s="271"/>
      <c r="J83" s="261"/>
      <c r="K83" s="256"/>
      <c r="AL83" s="256"/>
      <c r="AM83" s="256"/>
    </row>
    <row r="84" spans="2:39" ht="15.75" x14ac:dyDescent="0.25">
      <c r="B84" s="13">
        <v>78</v>
      </c>
      <c r="C84" s="256"/>
      <c r="D84" s="54">
        <v>0.99930555555554201</v>
      </c>
      <c r="E84" s="256"/>
      <c r="F84" s="114"/>
      <c r="G84" s="129">
        <v>14</v>
      </c>
      <c r="H84" s="114"/>
      <c r="I84" s="271"/>
      <c r="J84" s="261"/>
      <c r="K84" s="256"/>
      <c r="AL84" s="255">
        <v>0.65972222222222199</v>
      </c>
      <c r="AM84" s="256"/>
    </row>
    <row r="85" spans="2:39" ht="15.75" x14ac:dyDescent="0.25">
      <c r="B85" s="13">
        <v>79</v>
      </c>
      <c r="C85" s="257"/>
      <c r="D85" s="54">
        <v>1.00138888888887</v>
      </c>
      <c r="E85" s="256"/>
      <c r="F85" s="114"/>
      <c r="G85" s="129">
        <v>14</v>
      </c>
      <c r="H85" s="114"/>
      <c r="I85" s="271"/>
      <c r="J85" s="261"/>
      <c r="K85" s="257"/>
      <c r="AL85" s="256"/>
      <c r="AM85" s="257"/>
    </row>
    <row r="86" spans="2:39" ht="15.75" x14ac:dyDescent="0.25">
      <c r="B86" s="13">
        <v>80</v>
      </c>
      <c r="C86" s="255">
        <v>1.0034722222222201</v>
      </c>
      <c r="D86" s="54">
        <v>1.0034722222221999</v>
      </c>
      <c r="E86" s="256"/>
      <c r="F86" s="256" t="s">
        <v>225</v>
      </c>
      <c r="G86" s="129">
        <v>14</v>
      </c>
      <c r="H86" s="111"/>
      <c r="I86" s="271"/>
      <c r="J86" s="261"/>
      <c r="K86" s="258">
        <v>0.18402777777777801</v>
      </c>
      <c r="AL86" s="256"/>
      <c r="AM86" s="255">
        <v>0.937500000000001</v>
      </c>
    </row>
    <row r="87" spans="2:39" ht="15.75" x14ac:dyDescent="0.25">
      <c r="B87" s="13">
        <v>81</v>
      </c>
      <c r="C87" s="256"/>
      <c r="D87" s="54">
        <v>1.00555555555553</v>
      </c>
      <c r="E87" s="113"/>
      <c r="F87" s="256"/>
      <c r="G87" s="129">
        <v>14</v>
      </c>
      <c r="H87" s="111"/>
      <c r="I87" s="271"/>
      <c r="J87" s="261"/>
      <c r="K87" s="259"/>
      <c r="AL87" s="256"/>
      <c r="AM87" s="256"/>
    </row>
    <row r="88" spans="2:39" ht="15.75" x14ac:dyDescent="0.25">
      <c r="B88" s="13">
        <v>82</v>
      </c>
      <c r="C88" s="256"/>
      <c r="D88" s="54">
        <v>1.0076388888888499</v>
      </c>
      <c r="E88" s="113"/>
      <c r="F88" s="256"/>
      <c r="G88" s="129">
        <v>14</v>
      </c>
      <c r="H88" s="111"/>
      <c r="I88" s="271"/>
      <c r="J88" s="261"/>
      <c r="K88" s="259"/>
      <c r="AL88" s="256"/>
      <c r="AM88" s="256"/>
    </row>
    <row r="89" spans="2:39" ht="15.75" x14ac:dyDescent="0.25">
      <c r="B89" s="13">
        <v>83</v>
      </c>
      <c r="C89" s="256"/>
      <c r="D89" s="54">
        <v>1.00972222222218</v>
      </c>
      <c r="E89" s="113"/>
      <c r="F89" s="256"/>
      <c r="G89" s="129">
        <v>14</v>
      </c>
      <c r="H89" s="111"/>
      <c r="I89" s="271"/>
      <c r="J89" s="261"/>
      <c r="K89" s="259"/>
      <c r="AL89" s="256"/>
      <c r="AM89" s="256"/>
    </row>
    <row r="90" spans="2:39" ht="15.75" x14ac:dyDescent="0.25">
      <c r="B90" s="13">
        <v>84</v>
      </c>
      <c r="C90" s="257"/>
      <c r="D90" s="54">
        <v>1.0118055555555101</v>
      </c>
      <c r="E90" s="113"/>
      <c r="F90" s="256"/>
      <c r="G90" s="129">
        <v>14</v>
      </c>
      <c r="H90" s="111"/>
      <c r="I90" s="271"/>
      <c r="J90" s="261"/>
      <c r="K90" s="260"/>
      <c r="AL90" s="257"/>
      <c r="AM90" s="257"/>
    </row>
    <row r="91" spans="2:39" ht="15.75" x14ac:dyDescent="0.25">
      <c r="B91" s="13">
        <v>85</v>
      </c>
      <c r="C91" s="255">
        <v>1.0138888888888899</v>
      </c>
      <c r="D91" s="54">
        <v>1.01388888888884</v>
      </c>
      <c r="E91" s="256" t="s">
        <v>226</v>
      </c>
      <c r="F91" s="256"/>
      <c r="G91" s="129">
        <v>14</v>
      </c>
      <c r="H91" s="111"/>
      <c r="I91" s="271"/>
      <c r="J91" s="261"/>
      <c r="K91" s="255">
        <v>0.194444444444445</v>
      </c>
      <c r="AL91" s="255">
        <v>0.67361111111111105</v>
      </c>
      <c r="AM91" s="255">
        <v>0.94791666666666696</v>
      </c>
    </row>
    <row r="92" spans="2:39" ht="15.75" x14ac:dyDescent="0.25">
      <c r="B92" s="13">
        <v>86</v>
      </c>
      <c r="C92" s="256"/>
      <c r="D92" s="54">
        <v>1.0159722222221701</v>
      </c>
      <c r="E92" s="256"/>
      <c r="F92" s="114"/>
      <c r="G92" s="129">
        <v>19</v>
      </c>
      <c r="H92" s="114"/>
      <c r="I92" s="271"/>
      <c r="J92" s="261"/>
      <c r="K92" s="256"/>
      <c r="AL92" s="256"/>
      <c r="AM92" s="256"/>
    </row>
    <row r="93" spans="2:39" ht="15.75" x14ac:dyDescent="0.25">
      <c r="B93" s="13">
        <v>87</v>
      </c>
      <c r="C93" s="256"/>
      <c r="D93" s="54">
        <v>1.0180555555555</v>
      </c>
      <c r="E93" s="256"/>
      <c r="F93" s="114"/>
      <c r="G93" s="129">
        <v>19</v>
      </c>
      <c r="H93" s="114"/>
      <c r="I93" s="271"/>
      <c r="J93" s="261"/>
      <c r="K93" s="256"/>
      <c r="AL93" s="256"/>
      <c r="AM93" s="256"/>
    </row>
    <row r="94" spans="2:39" ht="15.75" x14ac:dyDescent="0.25">
      <c r="B94" s="13">
        <v>88</v>
      </c>
      <c r="C94" s="256"/>
      <c r="D94" s="54">
        <v>1.0201388888888301</v>
      </c>
      <c r="E94" s="256"/>
      <c r="F94" s="114"/>
      <c r="G94" s="129">
        <v>19</v>
      </c>
      <c r="H94" s="114"/>
      <c r="I94" s="271"/>
      <c r="J94" s="261"/>
      <c r="K94" s="256"/>
      <c r="AL94" s="256"/>
      <c r="AM94" s="256"/>
    </row>
    <row r="95" spans="2:39" ht="15.75" x14ac:dyDescent="0.25">
      <c r="B95" s="13">
        <v>89</v>
      </c>
      <c r="C95" s="257"/>
      <c r="D95" s="54">
        <v>1.02222222222216</v>
      </c>
      <c r="E95" s="256"/>
      <c r="F95" s="114"/>
      <c r="G95" s="129">
        <v>19</v>
      </c>
      <c r="H95" s="114"/>
      <c r="I95" s="271"/>
      <c r="J95" s="261"/>
      <c r="K95" s="257"/>
      <c r="AL95" s="256"/>
      <c r="AM95" s="257"/>
    </row>
    <row r="96" spans="2:39" ht="15.75" x14ac:dyDescent="0.25">
      <c r="B96" s="13">
        <v>90</v>
      </c>
      <c r="C96" s="255">
        <v>1.02430555555556</v>
      </c>
      <c r="D96" s="54">
        <v>1.0243055555554901</v>
      </c>
      <c r="E96" s="256"/>
      <c r="F96" s="256" t="s">
        <v>227</v>
      </c>
      <c r="G96" s="129">
        <v>19</v>
      </c>
      <c r="H96" s="111"/>
      <c r="I96" s="271"/>
      <c r="J96" s="261"/>
      <c r="K96" s="255">
        <v>0.20486111111111099</v>
      </c>
      <c r="AL96" s="256"/>
      <c r="AM96" s="255">
        <v>0.95833333333333404</v>
      </c>
    </row>
    <row r="97" spans="2:39" ht="15.75" x14ac:dyDescent="0.25">
      <c r="B97" s="13">
        <v>91</v>
      </c>
      <c r="C97" s="256"/>
      <c r="D97" s="54">
        <v>1.02638888888882</v>
      </c>
      <c r="E97" s="113"/>
      <c r="F97" s="256"/>
      <c r="G97" s="129">
        <v>12</v>
      </c>
      <c r="H97" s="111"/>
      <c r="I97" s="271"/>
      <c r="J97" s="261"/>
      <c r="K97" s="256"/>
      <c r="AL97" s="256"/>
      <c r="AM97" s="256"/>
    </row>
    <row r="98" spans="2:39" ht="15.75" x14ac:dyDescent="0.25">
      <c r="B98" s="13">
        <v>92</v>
      </c>
      <c r="C98" s="256"/>
      <c r="D98" s="54">
        <v>1.0284722222221501</v>
      </c>
      <c r="E98" s="113"/>
      <c r="F98" s="256"/>
      <c r="G98" s="129">
        <v>12</v>
      </c>
      <c r="H98" s="111"/>
      <c r="I98" s="271"/>
      <c r="J98" s="261"/>
      <c r="K98" s="256"/>
      <c r="AL98" s="255">
        <v>0.6875</v>
      </c>
      <c r="AM98" s="256"/>
    </row>
    <row r="99" spans="2:39" ht="15.75" x14ac:dyDescent="0.25">
      <c r="B99" s="13">
        <v>93</v>
      </c>
      <c r="C99" s="256"/>
      <c r="D99" s="54">
        <v>1.03055555555548</v>
      </c>
      <c r="E99" s="113"/>
      <c r="F99" s="256"/>
      <c r="G99" s="129">
        <v>12</v>
      </c>
      <c r="H99" s="111"/>
      <c r="I99" s="271"/>
      <c r="J99" s="261"/>
      <c r="K99" s="256"/>
      <c r="AL99" s="256"/>
      <c r="AM99" s="256"/>
    </row>
    <row r="100" spans="2:39" ht="15.75" x14ac:dyDescent="0.25">
      <c r="B100" s="13">
        <v>94</v>
      </c>
      <c r="C100" s="257"/>
      <c r="D100" s="54">
        <v>1.0326388888888101</v>
      </c>
      <c r="E100" s="113"/>
      <c r="F100" s="256"/>
      <c r="G100" s="129">
        <v>12</v>
      </c>
      <c r="H100" s="111"/>
      <c r="I100" s="271"/>
      <c r="J100" s="261"/>
      <c r="K100" s="257"/>
      <c r="AL100" s="256"/>
      <c r="AM100" s="257"/>
    </row>
    <row r="101" spans="2:39" ht="15.75" x14ac:dyDescent="0.25">
      <c r="B101" s="13">
        <v>95</v>
      </c>
      <c r="C101" s="255">
        <v>1.0347222222222201</v>
      </c>
      <c r="D101" s="54">
        <v>1.0347222222221399</v>
      </c>
      <c r="E101" s="256" t="s">
        <v>227</v>
      </c>
      <c r="F101" s="256"/>
      <c r="G101" s="129">
        <v>12</v>
      </c>
      <c r="H101" s="111"/>
      <c r="I101" s="271"/>
      <c r="J101" s="261"/>
      <c r="K101" s="258">
        <v>0.21527777777777801</v>
      </c>
      <c r="AL101" s="256"/>
      <c r="AM101" s="255">
        <v>0.968750000000001</v>
      </c>
    </row>
    <row r="102" spans="2:39" ht="15.75" x14ac:dyDescent="0.25">
      <c r="B102" s="13">
        <v>96</v>
      </c>
      <c r="C102" s="256"/>
      <c r="D102" s="54">
        <v>1.03680555555547</v>
      </c>
      <c r="E102" s="256"/>
      <c r="F102" s="114"/>
      <c r="G102" s="129">
        <v>12</v>
      </c>
      <c r="H102" s="114"/>
      <c r="I102" s="271"/>
      <c r="J102" s="261"/>
      <c r="K102" s="259"/>
      <c r="AL102" s="256"/>
      <c r="AM102" s="256"/>
    </row>
    <row r="103" spans="2:39" ht="15.75" x14ac:dyDescent="0.25">
      <c r="B103" s="13">
        <v>97</v>
      </c>
      <c r="C103" s="256"/>
      <c r="D103" s="54">
        <v>1.0388888888887999</v>
      </c>
      <c r="E103" s="256"/>
      <c r="F103" s="114"/>
      <c r="G103" s="129">
        <v>12</v>
      </c>
      <c r="H103" s="114"/>
      <c r="I103" s="271"/>
      <c r="J103" s="261"/>
      <c r="K103" s="259"/>
      <c r="AL103" s="256"/>
      <c r="AM103" s="256"/>
    </row>
    <row r="104" spans="2:39" ht="15.75" x14ac:dyDescent="0.25">
      <c r="B104" s="13">
        <v>98</v>
      </c>
      <c r="C104" s="256"/>
      <c r="D104" s="54">
        <v>1.04097222222213</v>
      </c>
      <c r="E104" s="256"/>
      <c r="F104" s="114"/>
      <c r="G104" s="129">
        <v>12</v>
      </c>
      <c r="H104" s="114"/>
      <c r="I104" s="271"/>
      <c r="J104" s="261"/>
      <c r="K104" s="259"/>
      <c r="AL104" s="257"/>
      <c r="AM104" s="256"/>
    </row>
    <row r="105" spans="2:39" ht="15.75" x14ac:dyDescent="0.25">
      <c r="B105" s="13">
        <v>99</v>
      </c>
      <c r="C105" s="257"/>
      <c r="D105" s="54">
        <v>1.0430555555554599</v>
      </c>
      <c r="E105" s="256"/>
      <c r="F105" s="114"/>
      <c r="G105" s="129">
        <v>12</v>
      </c>
      <c r="H105" s="114"/>
      <c r="I105" s="271"/>
      <c r="J105" s="261"/>
      <c r="K105" s="260"/>
      <c r="AL105" s="255">
        <v>0.70138888888888895</v>
      </c>
      <c r="AM105" s="257"/>
    </row>
    <row r="106" spans="2:39" ht="15.75" x14ac:dyDescent="0.25">
      <c r="B106" s="13">
        <v>100</v>
      </c>
      <c r="C106" s="255">
        <v>1.0451388888888899</v>
      </c>
      <c r="D106" s="54">
        <v>1.04513888888879</v>
      </c>
      <c r="E106" s="256"/>
      <c r="F106" s="256" t="s">
        <v>228</v>
      </c>
      <c r="G106" s="129">
        <v>12</v>
      </c>
      <c r="H106" s="111"/>
      <c r="I106" s="271"/>
      <c r="J106" s="261"/>
      <c r="K106" s="255">
        <v>0.225694444444445</v>
      </c>
      <c r="AL106" s="256"/>
      <c r="AM106" s="255">
        <v>0.97916666666666796</v>
      </c>
    </row>
    <row r="107" spans="2:39" ht="15.75" x14ac:dyDescent="0.25">
      <c r="B107" s="13">
        <v>101</v>
      </c>
      <c r="C107" s="256"/>
      <c r="D107" s="54">
        <v>1.0472222222221199</v>
      </c>
      <c r="E107" s="113"/>
      <c r="F107" s="256"/>
      <c r="G107" s="129">
        <v>11</v>
      </c>
      <c r="H107" s="111"/>
      <c r="I107" s="271"/>
      <c r="J107" s="261"/>
      <c r="K107" s="256"/>
      <c r="AL107" s="256"/>
      <c r="AM107" s="256"/>
    </row>
    <row r="108" spans="2:39" ht="15.75" x14ac:dyDescent="0.25">
      <c r="B108" s="13">
        <v>102</v>
      </c>
      <c r="C108" s="256"/>
      <c r="D108" s="54">
        <v>1.04930555555545</v>
      </c>
      <c r="E108" s="113"/>
      <c r="F108" s="256"/>
      <c r="G108" s="129">
        <v>11</v>
      </c>
      <c r="H108" s="111"/>
      <c r="I108" s="271"/>
      <c r="J108" s="261"/>
      <c r="K108" s="256"/>
      <c r="AL108" s="256"/>
      <c r="AM108" s="256"/>
    </row>
    <row r="109" spans="2:39" ht="15.75" x14ac:dyDescent="0.25">
      <c r="B109" s="13">
        <v>103</v>
      </c>
      <c r="C109" s="256"/>
      <c r="D109" s="54">
        <v>1.0513888888887799</v>
      </c>
      <c r="E109" s="113"/>
      <c r="F109" s="256"/>
      <c r="G109" s="129">
        <v>11</v>
      </c>
      <c r="H109" s="111"/>
      <c r="I109" s="271"/>
      <c r="J109" s="261"/>
      <c r="K109" s="256"/>
      <c r="AL109" s="256"/>
      <c r="AM109" s="256"/>
    </row>
    <row r="110" spans="2:39" ht="15.75" x14ac:dyDescent="0.25">
      <c r="B110" s="13">
        <v>104</v>
      </c>
      <c r="C110" s="257"/>
      <c r="D110" s="54">
        <v>1.05347222222211</v>
      </c>
      <c r="E110" s="111"/>
      <c r="F110" s="256"/>
      <c r="G110" s="129">
        <v>11</v>
      </c>
      <c r="H110" s="111"/>
      <c r="I110" s="271"/>
      <c r="K110" s="257"/>
      <c r="AL110" s="256"/>
      <c r="AM110" s="257"/>
    </row>
    <row r="111" spans="2:39" ht="14.45" customHeight="1" x14ac:dyDescent="0.25">
      <c r="K111" s="255">
        <v>0.23611111111111099</v>
      </c>
      <c r="AL111" s="256"/>
      <c r="AM111" s="255">
        <v>0.98958333333333504</v>
      </c>
    </row>
    <row r="112" spans="2:39" ht="14.45" customHeight="1" x14ac:dyDescent="0.25">
      <c r="K112" s="256"/>
      <c r="AL112" s="255">
        <v>0.71527777777777701</v>
      </c>
      <c r="AM112" s="256"/>
    </row>
    <row r="113" spans="7:39" ht="14.45" customHeight="1" x14ac:dyDescent="0.25">
      <c r="G113" s="116">
        <f>SUM(G7:G110)</f>
        <v>1361.9950000000001</v>
      </c>
      <c r="K113" s="256"/>
      <c r="AL113" s="256"/>
      <c r="AM113" s="256"/>
    </row>
    <row r="114" spans="7:39" ht="14.45" customHeight="1" x14ac:dyDescent="0.25">
      <c r="K114" s="256"/>
      <c r="AL114" s="256"/>
      <c r="AM114" s="256"/>
    </row>
    <row r="115" spans="7:39" ht="14.45" customHeight="1" x14ac:dyDescent="0.25">
      <c r="K115" s="257"/>
      <c r="AL115" s="256"/>
      <c r="AM115" s="257"/>
    </row>
    <row r="116" spans="7:39" ht="14.45" customHeight="1" x14ac:dyDescent="0.25">
      <c r="K116" s="258">
        <v>0.24652777777777801</v>
      </c>
      <c r="AL116" s="256"/>
      <c r="AM116" s="255">
        <v>1</v>
      </c>
    </row>
    <row r="117" spans="7:39" ht="14.45" customHeight="1" x14ac:dyDescent="0.25">
      <c r="K117" s="259"/>
      <c r="AL117" s="256"/>
      <c r="AM117" s="256"/>
    </row>
    <row r="118" spans="7:39" ht="14.45" customHeight="1" x14ac:dyDescent="0.25">
      <c r="K118" s="259"/>
      <c r="AL118" s="257"/>
      <c r="AM118" s="256"/>
    </row>
    <row r="119" spans="7:39" ht="14.45" customHeight="1" x14ac:dyDescent="0.25">
      <c r="K119" s="259"/>
      <c r="AL119" s="255">
        <v>0.72916666666666596</v>
      </c>
      <c r="AM119" s="256"/>
    </row>
    <row r="120" spans="7:39" ht="14.45" customHeight="1" x14ac:dyDescent="0.25">
      <c r="K120" s="260"/>
      <c r="AL120" s="256"/>
      <c r="AM120" s="257"/>
    </row>
    <row r="121" spans="7:39" ht="14.45" customHeight="1" x14ac:dyDescent="0.25">
      <c r="K121" s="255">
        <v>0.25694444444444497</v>
      </c>
      <c r="AL121" s="256"/>
      <c r="AM121" s="255">
        <v>1.0104166666666701</v>
      </c>
    </row>
    <row r="122" spans="7:39" ht="14.45" customHeight="1" x14ac:dyDescent="0.25">
      <c r="K122" s="256"/>
      <c r="AL122" s="256"/>
      <c r="AM122" s="256"/>
    </row>
    <row r="123" spans="7:39" ht="14.45" customHeight="1" x14ac:dyDescent="0.25">
      <c r="K123" s="256"/>
      <c r="AL123" s="256"/>
      <c r="AM123" s="256"/>
    </row>
    <row r="124" spans="7:39" ht="14.45" customHeight="1" x14ac:dyDescent="0.25">
      <c r="K124" s="256"/>
      <c r="AL124" s="256"/>
      <c r="AM124" s="256"/>
    </row>
    <row r="125" spans="7:39" ht="14.45" customHeight="1" x14ac:dyDescent="0.25">
      <c r="K125" s="257"/>
      <c r="AL125" s="256"/>
      <c r="AM125" s="257"/>
    </row>
    <row r="126" spans="7:39" ht="14.45" customHeight="1" x14ac:dyDescent="0.25">
      <c r="K126" s="255">
        <v>0.26736111111111099</v>
      </c>
      <c r="AL126" s="255">
        <v>0.74305555555555503</v>
      </c>
      <c r="AM126" s="255">
        <v>1.0208333333333399</v>
      </c>
    </row>
    <row r="127" spans="7:39" ht="14.45" customHeight="1" x14ac:dyDescent="0.25">
      <c r="K127" s="256"/>
      <c r="AL127" s="256"/>
      <c r="AM127" s="256"/>
    </row>
    <row r="128" spans="7:39" ht="14.45" customHeight="1" x14ac:dyDescent="0.25">
      <c r="K128" s="256"/>
      <c r="AL128" s="256"/>
      <c r="AM128" s="256"/>
    </row>
    <row r="129" spans="11:39" ht="14.45" customHeight="1" x14ac:dyDescent="0.25">
      <c r="K129" s="256"/>
      <c r="AL129" s="256"/>
      <c r="AM129" s="256"/>
    </row>
    <row r="130" spans="11:39" ht="14.45" customHeight="1" x14ac:dyDescent="0.25">
      <c r="K130" s="257"/>
      <c r="AL130" s="256"/>
      <c r="AM130" s="257"/>
    </row>
    <row r="131" spans="11:39" ht="14.45" customHeight="1" x14ac:dyDescent="0.25">
      <c r="K131" s="258">
        <v>0.27777777777777801</v>
      </c>
      <c r="AL131" s="256"/>
      <c r="AM131" s="255">
        <v>1.03125000000001</v>
      </c>
    </row>
    <row r="132" spans="11:39" ht="14.45" customHeight="1" x14ac:dyDescent="0.25">
      <c r="K132" s="259"/>
      <c r="AL132" s="257"/>
      <c r="AM132" s="256"/>
    </row>
    <row r="133" spans="11:39" ht="14.45" customHeight="1" x14ac:dyDescent="0.25">
      <c r="K133" s="259"/>
      <c r="AL133" s="255">
        <v>0.75694444444444398</v>
      </c>
      <c r="AM133" s="256"/>
    </row>
    <row r="134" spans="11:39" ht="14.45" customHeight="1" x14ac:dyDescent="0.25">
      <c r="K134" s="259"/>
      <c r="AL134" s="256"/>
      <c r="AM134" s="256"/>
    </row>
    <row r="135" spans="11:39" ht="14.45" customHeight="1" x14ac:dyDescent="0.25">
      <c r="K135" s="260"/>
      <c r="AL135" s="256"/>
      <c r="AM135" s="257"/>
    </row>
    <row r="136" spans="11:39" ht="15.75" x14ac:dyDescent="0.25">
      <c r="K136" s="255">
        <v>0.28819444444444398</v>
      </c>
      <c r="AL136" s="256"/>
      <c r="AM136" s="54">
        <v>1.04166666666672</v>
      </c>
    </row>
    <row r="137" spans="11:39" ht="14.45" customHeight="1" x14ac:dyDescent="0.25">
      <c r="K137" s="256"/>
      <c r="AL137" s="256"/>
    </row>
    <row r="138" spans="11:39" ht="14.45" customHeight="1" x14ac:dyDescent="0.25">
      <c r="K138" s="256"/>
      <c r="AL138" s="256"/>
    </row>
    <row r="139" spans="11:39" ht="14.45" customHeight="1" x14ac:dyDescent="0.25">
      <c r="K139" s="256"/>
      <c r="AL139" s="256"/>
    </row>
    <row r="140" spans="11:39" ht="14.45" customHeight="1" x14ac:dyDescent="0.25">
      <c r="K140" s="257"/>
      <c r="AL140" s="255">
        <v>0.77083333333333304</v>
      </c>
    </row>
    <row r="141" spans="11:39" ht="15.75" x14ac:dyDescent="0.25">
      <c r="K141" s="54">
        <v>0.29861111111111099</v>
      </c>
      <c r="AL141" s="256"/>
    </row>
    <row r="142" spans="11:39" ht="14.45" customHeight="1" x14ac:dyDescent="0.25">
      <c r="AL142" s="256"/>
    </row>
    <row r="143" spans="11:39" ht="14.45" customHeight="1" x14ac:dyDescent="0.25">
      <c r="AL143" s="256"/>
    </row>
    <row r="144" spans="11:39" ht="14.45" customHeight="1" x14ac:dyDescent="0.25">
      <c r="AL144" s="256"/>
    </row>
    <row r="145" spans="34:38" ht="14.45" customHeight="1" x14ac:dyDescent="0.25">
      <c r="AL145" s="256"/>
    </row>
    <row r="146" spans="34:38" ht="14.45" customHeight="1" x14ac:dyDescent="0.25">
      <c r="AL146" s="257"/>
    </row>
    <row r="147" spans="34:38" ht="14.45" customHeight="1" x14ac:dyDescent="0.25">
      <c r="AL147" s="255">
        <v>0.78472222222222199</v>
      </c>
    </row>
    <row r="148" spans="34:38" ht="14.45" customHeight="1" x14ac:dyDescent="0.25">
      <c r="AL148" s="256"/>
    </row>
    <row r="149" spans="34:38" ht="14.45" customHeight="1" x14ac:dyDescent="0.25">
      <c r="AL149" s="256"/>
    </row>
    <row r="150" spans="34:38" ht="14.45" customHeight="1" x14ac:dyDescent="0.25">
      <c r="AL150" s="256"/>
    </row>
    <row r="151" spans="34:38" ht="14.45" customHeight="1" x14ac:dyDescent="0.25">
      <c r="AL151" s="256"/>
    </row>
    <row r="152" spans="34:38" ht="14.45" customHeight="1" x14ac:dyDescent="0.25">
      <c r="AL152" s="256"/>
    </row>
    <row r="153" spans="34:38" ht="14.45" customHeight="1" x14ac:dyDescent="0.25">
      <c r="AL153" s="256"/>
    </row>
    <row r="154" spans="34:38" ht="14.45" customHeight="1" x14ac:dyDescent="0.25">
      <c r="AL154" s="255">
        <v>0.79861111111111005</v>
      </c>
    </row>
    <row r="155" spans="34:38" ht="14.45" customHeight="1" x14ac:dyDescent="0.25">
      <c r="AL155" s="256"/>
    </row>
    <row r="156" spans="34:38" ht="14.45" customHeight="1" x14ac:dyDescent="0.25">
      <c r="AL156" s="256"/>
    </row>
    <row r="157" spans="34:38" ht="14.45" customHeight="1" x14ac:dyDescent="0.25">
      <c r="AL157" s="256"/>
    </row>
    <row r="158" spans="34:38" ht="14.45" customHeight="1" x14ac:dyDescent="0.25">
      <c r="AL158" s="256"/>
    </row>
    <row r="159" spans="34:38" ht="14.45" customHeight="1" x14ac:dyDescent="0.25">
      <c r="AH159">
        <v>0</v>
      </c>
      <c r="AL159" s="256"/>
    </row>
    <row r="160" spans="34:38" ht="14.45" customHeight="1" x14ac:dyDescent="0.25">
      <c r="AL160" s="257"/>
    </row>
  </sheetData>
  <mergeCells count="232">
    <mergeCell ref="B5:B6"/>
    <mergeCell ref="C5:D5"/>
    <mergeCell ref="I5:J5"/>
    <mergeCell ref="E7:E8"/>
    <mergeCell ref="I7:I8"/>
    <mergeCell ref="P7:P8"/>
    <mergeCell ref="F8:F9"/>
    <mergeCell ref="J8:J9"/>
    <mergeCell ref="Q8:Q9"/>
    <mergeCell ref="C9:C13"/>
    <mergeCell ref="E9:E14"/>
    <mergeCell ref="I9:I10"/>
    <mergeCell ref="P9:P10"/>
    <mergeCell ref="J10:J11"/>
    <mergeCell ref="Q10:Q11"/>
    <mergeCell ref="I11:I12"/>
    <mergeCell ref="P11:P12"/>
    <mergeCell ref="J12:J13"/>
    <mergeCell ref="C19:C23"/>
    <mergeCell ref="E19:E24"/>
    <mergeCell ref="I19:I20"/>
    <mergeCell ref="P19:P20"/>
    <mergeCell ref="J20:J21"/>
    <mergeCell ref="Q12:Q13"/>
    <mergeCell ref="I13:I14"/>
    <mergeCell ref="P13:P14"/>
    <mergeCell ref="C14:C18"/>
    <mergeCell ref="F14:F19"/>
    <mergeCell ref="J14:J15"/>
    <mergeCell ref="Q14:Q15"/>
    <mergeCell ref="I15:I16"/>
    <mergeCell ref="P15:P16"/>
    <mergeCell ref="J16:J17"/>
    <mergeCell ref="Q20:Q21"/>
    <mergeCell ref="I21:I22"/>
    <mergeCell ref="P21:P22"/>
    <mergeCell ref="J22:J23"/>
    <mergeCell ref="Q22:Q23"/>
    <mergeCell ref="I23:I24"/>
    <mergeCell ref="P23:P24"/>
    <mergeCell ref="Q16:Q17"/>
    <mergeCell ref="I17:I18"/>
    <mergeCell ref="P17:P18"/>
    <mergeCell ref="J18:J19"/>
    <mergeCell ref="Q18:Q19"/>
    <mergeCell ref="J28:J29"/>
    <mergeCell ref="Q28:Q29"/>
    <mergeCell ref="I29:I30"/>
    <mergeCell ref="J30:J31"/>
    <mergeCell ref="C31:C35"/>
    <mergeCell ref="E31:E36"/>
    <mergeCell ref="I31:I32"/>
    <mergeCell ref="J32:J33"/>
    <mergeCell ref="I33:I34"/>
    <mergeCell ref="J34:J35"/>
    <mergeCell ref="C24:C30"/>
    <mergeCell ref="F24:F31"/>
    <mergeCell ref="J24:J25"/>
    <mergeCell ref="Q24:Q25"/>
    <mergeCell ref="I25:I26"/>
    <mergeCell ref="P25:P26"/>
    <mergeCell ref="J26:J27"/>
    <mergeCell ref="Q26:Q27"/>
    <mergeCell ref="I27:I28"/>
    <mergeCell ref="P27:P28"/>
    <mergeCell ref="I35:I36"/>
    <mergeCell ref="C36:C40"/>
    <mergeCell ref="F36:F41"/>
    <mergeCell ref="J36:J37"/>
    <mergeCell ref="O36:S36"/>
    <mergeCell ref="X36:AB36"/>
    <mergeCell ref="I37:I38"/>
    <mergeCell ref="O37:S37"/>
    <mergeCell ref="X37:AB37"/>
    <mergeCell ref="J38:J39"/>
    <mergeCell ref="I39:I40"/>
    <mergeCell ref="J40:J41"/>
    <mergeCell ref="K40:K44"/>
    <mergeCell ref="C41:C45"/>
    <mergeCell ref="E41:E46"/>
    <mergeCell ref="I41:I42"/>
    <mergeCell ref="J42:J43"/>
    <mergeCell ref="I43:I44"/>
    <mergeCell ref="J44:J45"/>
    <mergeCell ref="K45:K50"/>
    <mergeCell ref="C46:C50"/>
    <mergeCell ref="F46:F51"/>
    <mergeCell ref="I47:I48"/>
    <mergeCell ref="J48:J49"/>
    <mergeCell ref="I49:I50"/>
    <mergeCell ref="C56:C60"/>
    <mergeCell ref="F56:F61"/>
    <mergeCell ref="J56:J57"/>
    <mergeCell ref="K56:K60"/>
    <mergeCell ref="I57:I58"/>
    <mergeCell ref="J50:J51"/>
    <mergeCell ref="C51:C55"/>
    <mergeCell ref="E51:E56"/>
    <mergeCell ref="I51:I52"/>
    <mergeCell ref="J58:J59"/>
    <mergeCell ref="I59:I60"/>
    <mergeCell ref="J60:J61"/>
    <mergeCell ref="C61:C65"/>
    <mergeCell ref="E61:E66"/>
    <mergeCell ref="I61:I62"/>
    <mergeCell ref="C66:C70"/>
    <mergeCell ref="F66:F71"/>
    <mergeCell ref="J62:J63"/>
    <mergeCell ref="I63:I64"/>
    <mergeCell ref="J64:J65"/>
    <mergeCell ref="I65:I66"/>
    <mergeCell ref="C71:C75"/>
    <mergeCell ref="E71:E76"/>
    <mergeCell ref="J66:J67"/>
    <mergeCell ref="I73:I74"/>
    <mergeCell ref="J74:J75"/>
    <mergeCell ref="I75:I76"/>
    <mergeCell ref="K51:K55"/>
    <mergeCell ref="J52:J53"/>
    <mergeCell ref="I53:I54"/>
    <mergeCell ref="J54:J55"/>
    <mergeCell ref="I55:I56"/>
    <mergeCell ref="I67:I68"/>
    <mergeCell ref="J68:J69"/>
    <mergeCell ref="I69:I70"/>
    <mergeCell ref="J70:J71"/>
    <mergeCell ref="I71:I72"/>
    <mergeCell ref="K71:K75"/>
    <mergeCell ref="J72:J73"/>
    <mergeCell ref="I83:I84"/>
    <mergeCell ref="J84:J85"/>
    <mergeCell ref="I85:I86"/>
    <mergeCell ref="C86:C90"/>
    <mergeCell ref="F86:F91"/>
    <mergeCell ref="J86:J87"/>
    <mergeCell ref="K76:K80"/>
    <mergeCell ref="I77:I78"/>
    <mergeCell ref="J78:J79"/>
    <mergeCell ref="I79:I80"/>
    <mergeCell ref="J80:J81"/>
    <mergeCell ref="C81:C85"/>
    <mergeCell ref="E81:E86"/>
    <mergeCell ref="I81:I82"/>
    <mergeCell ref="K81:K85"/>
    <mergeCell ref="J82:J83"/>
    <mergeCell ref="C76:C80"/>
    <mergeCell ref="F76:F81"/>
    <mergeCell ref="J76:J77"/>
    <mergeCell ref="I89:I90"/>
    <mergeCell ref="J90:J91"/>
    <mergeCell ref="C91:C95"/>
    <mergeCell ref="E91:E96"/>
    <mergeCell ref="I91:I92"/>
    <mergeCell ref="J92:J93"/>
    <mergeCell ref="I97:I98"/>
    <mergeCell ref="J98:J99"/>
    <mergeCell ref="I99:I100"/>
    <mergeCell ref="J100:J101"/>
    <mergeCell ref="C101:C105"/>
    <mergeCell ref="E101:E106"/>
    <mergeCell ref="I101:I102"/>
    <mergeCell ref="K101:K105"/>
    <mergeCell ref="K136:K140"/>
    <mergeCell ref="AL42:AL48"/>
    <mergeCell ref="AL49:AL55"/>
    <mergeCell ref="AL56:AL62"/>
    <mergeCell ref="AL63:AL69"/>
    <mergeCell ref="AL70:AL76"/>
    <mergeCell ref="AL77:AL83"/>
    <mergeCell ref="K106:K110"/>
    <mergeCell ref="K96:K100"/>
    <mergeCell ref="K61:K65"/>
    <mergeCell ref="AL126:AL132"/>
    <mergeCell ref="AL133:AL139"/>
    <mergeCell ref="AL140:AL146"/>
    <mergeCell ref="K111:K115"/>
    <mergeCell ref="K116:K120"/>
    <mergeCell ref="K86:K90"/>
    <mergeCell ref="K66:K70"/>
    <mergeCell ref="O64:S64"/>
    <mergeCell ref="X64:AB64"/>
    <mergeCell ref="K91:K95"/>
    <mergeCell ref="O65:P65"/>
    <mergeCell ref="X65:Y65"/>
    <mergeCell ref="AM66:AM70"/>
    <mergeCell ref="AM71:AM75"/>
    <mergeCell ref="AM76:AM80"/>
    <mergeCell ref="C106:C110"/>
    <mergeCell ref="F106:F110"/>
    <mergeCell ref="J106:J107"/>
    <mergeCell ref="K121:K125"/>
    <mergeCell ref="K126:K130"/>
    <mergeCell ref="K131:K135"/>
    <mergeCell ref="J102:J103"/>
    <mergeCell ref="I107:I108"/>
    <mergeCell ref="J108:J109"/>
    <mergeCell ref="I109:I110"/>
    <mergeCell ref="I103:I104"/>
    <mergeCell ref="J104:J105"/>
    <mergeCell ref="I105:I106"/>
    <mergeCell ref="I93:I94"/>
    <mergeCell ref="J94:J95"/>
    <mergeCell ref="I95:I96"/>
    <mergeCell ref="C96:C100"/>
    <mergeCell ref="F96:F101"/>
    <mergeCell ref="J96:J97"/>
    <mergeCell ref="I87:I88"/>
    <mergeCell ref="J88:J89"/>
    <mergeCell ref="AM81:AM85"/>
    <mergeCell ref="AM86:AM90"/>
    <mergeCell ref="AM91:AM95"/>
    <mergeCell ref="AL147:AL153"/>
    <mergeCell ref="AL154:AL160"/>
    <mergeCell ref="AM41:AM45"/>
    <mergeCell ref="AM46:AM50"/>
    <mergeCell ref="AM51:AM55"/>
    <mergeCell ref="AM56:AM60"/>
    <mergeCell ref="AM61:AM65"/>
    <mergeCell ref="AL84:AL90"/>
    <mergeCell ref="AL91:AL97"/>
    <mergeCell ref="AL98:AL104"/>
    <mergeCell ref="AL105:AL111"/>
    <mergeCell ref="AL112:AL118"/>
    <mergeCell ref="AL119:AL125"/>
    <mergeCell ref="AM126:AM130"/>
    <mergeCell ref="AM131:AM135"/>
    <mergeCell ref="AM96:AM100"/>
    <mergeCell ref="AM101:AM105"/>
    <mergeCell ref="AM106:AM110"/>
    <mergeCell ref="AM111:AM115"/>
    <mergeCell ref="AM116:AM120"/>
    <mergeCell ref="AM121:AM1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9DF1-FA91-4725-8712-968C96261E12}">
  <dimension ref="A2:CG245"/>
  <sheetViews>
    <sheetView topLeftCell="BN221" zoomScale="55" zoomScaleNormal="55" workbookViewId="0">
      <selection activeCell="AN18" sqref="AN18"/>
    </sheetView>
  </sheetViews>
  <sheetFormatPr defaultRowHeight="15" x14ac:dyDescent="0.25"/>
  <cols>
    <col min="1" max="2" width="13.7109375" customWidth="1"/>
    <col min="3" max="3" width="17.28515625" customWidth="1"/>
    <col min="4" max="4" width="16.85546875" customWidth="1"/>
    <col min="5" max="12" width="13.7109375" customWidth="1"/>
    <col min="13" max="13" width="15.7109375" customWidth="1"/>
    <col min="14" max="14" width="16.85546875" customWidth="1"/>
    <col min="15" max="15" width="16.85546875" hidden="1" customWidth="1"/>
    <col min="16" max="16" width="16.42578125" customWidth="1"/>
    <col min="17" max="17" width="8.42578125" hidden="1" customWidth="1"/>
    <col min="18" max="18" width="13.7109375" customWidth="1"/>
    <col min="19" max="19" width="13.7109375" hidden="1" customWidth="1"/>
    <col min="20" max="24" width="13.7109375" customWidth="1"/>
    <col min="25" max="25" width="20" customWidth="1"/>
    <col min="26" max="35" width="13.7109375" customWidth="1"/>
    <col min="36" max="36" width="17.140625" customWidth="1"/>
    <col min="37" max="37" width="18.42578125" customWidth="1"/>
    <col min="38" max="38" width="16" customWidth="1"/>
    <col min="39" max="76" width="13.7109375" customWidth="1"/>
    <col min="77" max="79" width="17.28515625" customWidth="1"/>
    <col min="80" max="90" width="13.7109375" customWidth="1"/>
  </cols>
  <sheetData>
    <row r="2" spans="1:71" ht="16.5" thickBot="1" x14ac:dyDescent="0.35">
      <c r="C2" s="251" t="s">
        <v>0</v>
      </c>
      <c r="D2" s="251"/>
      <c r="E2" s="251"/>
      <c r="F2" s="251"/>
      <c r="G2" s="251"/>
      <c r="H2" s="251"/>
      <c r="I2" s="251"/>
      <c r="J2" s="251"/>
      <c r="K2" s="251"/>
      <c r="L2" s="112"/>
      <c r="M2" s="112"/>
      <c r="N2" s="112"/>
      <c r="O2" s="112"/>
      <c r="P2" s="112"/>
      <c r="Q2" s="50"/>
      <c r="R2" s="33"/>
      <c r="S2" s="33"/>
      <c r="T2" s="33"/>
      <c r="U2" s="33"/>
      <c r="V2" s="33"/>
      <c r="W2" s="33"/>
      <c r="AK2" s="43"/>
    </row>
    <row r="3" spans="1:71" ht="16.5" thickBot="1" x14ac:dyDescent="0.35">
      <c r="C3" s="4" t="s">
        <v>1</v>
      </c>
      <c r="D3" s="2">
        <f>1.05*G4</f>
        <v>69.720000000000013</v>
      </c>
      <c r="E3" s="3" t="s">
        <v>2</v>
      </c>
      <c r="F3" s="4" t="s">
        <v>3</v>
      </c>
      <c r="G3" s="2">
        <v>73.3</v>
      </c>
      <c r="H3" s="3" t="s">
        <v>2</v>
      </c>
      <c r="I3" s="14" t="s">
        <v>15</v>
      </c>
      <c r="J3" s="13">
        <f>0.5*(D3+G4)</f>
        <v>68.06</v>
      </c>
      <c r="K3" s="13" t="s">
        <v>2</v>
      </c>
      <c r="L3" s="51"/>
      <c r="O3" s="51"/>
      <c r="P3" s="51"/>
      <c r="Q3" s="51"/>
      <c r="T3" s="14" t="s">
        <v>21</v>
      </c>
      <c r="U3" s="13">
        <f>1.188*(10^-6)</f>
        <v>1.1879999999999999E-6</v>
      </c>
      <c r="V3" s="14" t="s">
        <v>17</v>
      </c>
      <c r="W3" s="13">
        <f>0.006*((D3+100)^(-0.16))-0.00205+0.003*(((D3/7.5)^0.5)*(D6^4)*1*(0.04-Y3))</f>
        <v>5.8872399734256767E-4</v>
      </c>
      <c r="X3" s="14" t="s">
        <v>20</v>
      </c>
      <c r="Y3" s="13">
        <f>IF(Y11&lt;=0.04,Y11,IF(Y11&gt;0.04,0.04,0))</f>
        <v>0.04</v>
      </c>
      <c r="Z3" s="43"/>
      <c r="AA3" s="288" t="s">
        <v>163</v>
      </c>
      <c r="AB3" s="289"/>
      <c r="AC3" s="289"/>
      <c r="AD3" s="289"/>
      <c r="AE3" s="289"/>
      <c r="AF3" s="289"/>
      <c r="AG3" s="289"/>
      <c r="AH3" s="290"/>
    </row>
    <row r="4" spans="1:71" ht="15.75" x14ac:dyDescent="0.3">
      <c r="A4">
        <v>3.2808398950000002</v>
      </c>
      <c r="C4" s="4" t="s">
        <v>4</v>
      </c>
      <c r="D4" s="2">
        <v>16.3</v>
      </c>
      <c r="E4" s="3" t="s">
        <v>2</v>
      </c>
      <c r="F4" s="4" t="s">
        <v>5</v>
      </c>
      <c r="G4" s="2">
        <v>66.400000000000006</v>
      </c>
      <c r="H4" s="3" t="s">
        <v>2</v>
      </c>
      <c r="I4" s="13" t="s">
        <v>16</v>
      </c>
      <c r="J4" s="13">
        <f>(D6*J3)/D3</f>
        <v>0.62946520229568625</v>
      </c>
      <c r="K4" s="13" t="s">
        <v>2</v>
      </c>
      <c r="L4" s="51"/>
      <c r="O4" s="51"/>
      <c r="P4" s="51"/>
      <c r="Q4" s="51"/>
      <c r="T4" s="14" t="s">
        <v>46</v>
      </c>
      <c r="U4" s="15">
        <f>1-G6</f>
        <v>0.32699999999999996</v>
      </c>
      <c r="V4" s="14" t="s">
        <v>23</v>
      </c>
      <c r="W4" s="13">
        <f>1.5+2.8</f>
        <v>4.3</v>
      </c>
      <c r="X4" s="14" t="s">
        <v>44</v>
      </c>
      <c r="Y4" s="13">
        <v>1.5</v>
      </c>
      <c r="Z4" s="43"/>
      <c r="AA4" s="57" t="s">
        <v>164</v>
      </c>
      <c r="AB4" s="58">
        <f>(0.5*D6)-0.05</f>
        <v>0.27240900605388818</v>
      </c>
      <c r="AC4" s="59"/>
      <c r="AD4" s="59"/>
      <c r="AE4" s="59"/>
      <c r="AF4" s="60" t="s">
        <v>165</v>
      </c>
      <c r="AG4" s="61">
        <v>0.98</v>
      </c>
      <c r="AH4" s="136"/>
    </row>
    <row r="5" spans="1:71" ht="13.9" customHeight="1" x14ac:dyDescent="0.3">
      <c r="C5" s="4" t="s">
        <v>6</v>
      </c>
      <c r="D5" s="2">
        <v>4.0999999999999996</v>
      </c>
      <c r="E5" s="3" t="s">
        <v>2</v>
      </c>
      <c r="F5" s="4" t="s">
        <v>7</v>
      </c>
      <c r="G5" s="2">
        <f>D9*D4*D5*G8*1.025</f>
        <v>3081.688450745</v>
      </c>
      <c r="H5" s="3" t="s">
        <v>8</v>
      </c>
      <c r="I5" s="14" t="s">
        <v>39</v>
      </c>
      <c r="J5" s="15">
        <f>D4/D3</f>
        <v>0.23379231210556509</v>
      </c>
      <c r="K5" s="13" t="s">
        <v>2</v>
      </c>
      <c r="L5" s="51"/>
      <c r="O5" s="51"/>
      <c r="P5" s="51"/>
      <c r="Q5" s="51"/>
      <c r="T5" s="14" t="s">
        <v>141</v>
      </c>
      <c r="U5" s="13">
        <f>D3/J9</f>
        <v>3.1716240823826634</v>
      </c>
      <c r="V5" s="14" t="s">
        <v>28</v>
      </c>
      <c r="W5" s="13">
        <f>W8*W9*W10*Y4*((1.75*D3*D5)/100)</f>
        <v>7.5036149999999999</v>
      </c>
      <c r="X5" s="14" t="s">
        <v>49</v>
      </c>
      <c r="Y5" s="13"/>
      <c r="Z5" s="43"/>
      <c r="AA5" s="62" t="s">
        <v>166</v>
      </c>
      <c r="AB5" s="2">
        <f>$AB$4*0.9</f>
        <v>0.24516810544849937</v>
      </c>
      <c r="AC5" s="281" t="s">
        <v>167</v>
      </c>
      <c r="AD5" s="282"/>
      <c r="AE5" s="282"/>
      <c r="AF5" s="3" t="s">
        <v>168</v>
      </c>
      <c r="AG5" s="63">
        <v>0.98</v>
      </c>
      <c r="AH5" s="137"/>
    </row>
    <row r="6" spans="1:71" ht="13.9" customHeight="1" x14ac:dyDescent="0.3">
      <c r="C6" s="4" t="s">
        <v>9</v>
      </c>
      <c r="D6" s="6">
        <f>(G5*1.025)/(G3*D4*D5)</f>
        <v>0.64481801210777634</v>
      </c>
      <c r="E6" s="3"/>
      <c r="F6" s="4" t="s">
        <v>10</v>
      </c>
      <c r="G6" s="6">
        <v>0.67300000000000004</v>
      </c>
      <c r="H6" s="3"/>
      <c r="I6" s="14" t="s">
        <v>43</v>
      </c>
      <c r="J6" s="15">
        <f>D4/D5</f>
        <v>3.9756097560975614</v>
      </c>
      <c r="K6" s="13" t="s">
        <v>2</v>
      </c>
      <c r="L6" s="51"/>
      <c r="O6" s="51"/>
      <c r="P6" s="51"/>
      <c r="Q6" s="51"/>
      <c r="T6" s="14" t="s">
        <v>27</v>
      </c>
      <c r="U6" s="13">
        <v>8</v>
      </c>
      <c r="V6" s="14" t="s">
        <v>34</v>
      </c>
      <c r="W6" s="13">
        <f>(W4*W5)/W5</f>
        <v>4.3</v>
      </c>
      <c r="X6" s="14" t="s">
        <v>18</v>
      </c>
      <c r="Y6" s="17" t="s">
        <v>19</v>
      </c>
      <c r="Z6" s="156"/>
      <c r="AA6" s="62" t="s">
        <v>169</v>
      </c>
      <c r="AB6" s="2">
        <v>0.96</v>
      </c>
      <c r="AC6" s="281" t="s">
        <v>170</v>
      </c>
      <c r="AD6" s="282"/>
      <c r="AE6" s="282"/>
      <c r="AF6" s="51"/>
      <c r="AG6" s="51"/>
      <c r="AH6" s="137"/>
      <c r="BO6" t="s">
        <v>196</v>
      </c>
      <c r="BP6">
        <f>430.03+112.82</f>
        <v>542.84999999999991</v>
      </c>
    </row>
    <row r="7" spans="1:71" ht="15.75" x14ac:dyDescent="0.3">
      <c r="C7" s="49" t="s">
        <v>11</v>
      </c>
      <c r="D7" s="2">
        <v>2877</v>
      </c>
      <c r="E7" s="3" t="s">
        <v>8</v>
      </c>
      <c r="F7" s="4" t="s">
        <v>12</v>
      </c>
      <c r="G7" s="2">
        <v>0.98060000000000003</v>
      </c>
      <c r="H7" s="3"/>
      <c r="I7" s="14" t="s">
        <v>41</v>
      </c>
      <c r="J7" s="13">
        <f>G3/D4</f>
        <v>4.4969325153374227</v>
      </c>
      <c r="K7" s="13" t="s">
        <v>2</v>
      </c>
      <c r="L7" s="51"/>
      <c r="O7" s="51"/>
      <c r="P7" s="51"/>
      <c r="Q7" s="51"/>
      <c r="T7" s="14" t="s">
        <v>140</v>
      </c>
      <c r="U7" s="13">
        <f>1+(0.011*U6)</f>
        <v>1.0880000000000001</v>
      </c>
      <c r="V7" s="14" t="s">
        <v>48</v>
      </c>
      <c r="W7" s="15">
        <f>D3/(G10)^(1/3)</f>
        <v>4.8706903776727888</v>
      </c>
      <c r="X7" s="14" t="s">
        <v>18</v>
      </c>
      <c r="Y7" s="15">
        <f>IF(J11&lt;=512,-1.69385,IF(J11&gt;=1727,J11,IF(AND(J11&gt;512,J11&lt;1727),Y6+((W7-8)/2.36),0)))</f>
        <v>-1.6938500000000001</v>
      </c>
      <c r="Z7" s="87"/>
      <c r="AA7" s="62" t="s">
        <v>171</v>
      </c>
      <c r="AB7" s="2">
        <v>1.1000000000000001</v>
      </c>
      <c r="AC7" s="51"/>
      <c r="AD7" s="51"/>
      <c r="AE7" s="51"/>
      <c r="AF7" s="51"/>
      <c r="AG7" s="51"/>
      <c r="AH7" s="137"/>
      <c r="BO7" t="s">
        <v>197</v>
      </c>
      <c r="BP7">
        <f>BP6*17.5</f>
        <v>9499.8749999999982</v>
      </c>
    </row>
    <row r="8" spans="1:71" ht="15.75" x14ac:dyDescent="0.3">
      <c r="C8" s="4" t="s">
        <v>13</v>
      </c>
      <c r="D8" s="6">
        <f>(1+(2*J4))/3</f>
        <v>0.75297680153045743</v>
      </c>
      <c r="E8" s="3"/>
      <c r="F8" s="4" t="s">
        <v>160</v>
      </c>
      <c r="G8" s="2">
        <v>0.66100000000000003</v>
      </c>
      <c r="H8" s="3"/>
      <c r="I8" s="14" t="s">
        <v>25</v>
      </c>
      <c r="J8" s="13">
        <f>D5/D3</f>
        <v>5.8806655192197348E-2</v>
      </c>
      <c r="K8" s="13" t="s">
        <v>2</v>
      </c>
      <c r="L8" s="51"/>
      <c r="O8" s="51"/>
      <c r="P8" s="51"/>
      <c r="Q8" s="51"/>
      <c r="T8" s="14" t="s">
        <v>38</v>
      </c>
      <c r="U8" s="13">
        <f>0.93+(0.487118*U7*(J10^1.06806)*(J8^0.46106)*(U5^0.121563)*(J11^0.36486)*(U4^(-0.604247)))</f>
        <v>2.2520302272242976</v>
      </c>
      <c r="V8" s="14" t="s">
        <v>30</v>
      </c>
      <c r="W8" s="13">
        <v>1</v>
      </c>
      <c r="X8" s="14" t="s">
        <v>31</v>
      </c>
      <c r="Y8" s="15">
        <f>IF(E6&lt;0.8,(8.07981*(E6))-(13.8673*(E6^2))+(6.984388*(E6^3)),IF(E6&gt;0.8,1.73014-(0.7067*E6),0))</f>
        <v>0</v>
      </c>
      <c r="Z8" s="87"/>
      <c r="AA8" s="62" t="s">
        <v>172</v>
      </c>
      <c r="AB8" s="6">
        <f>(1-$AB$5)/(1-$AB$4)</f>
        <v>1.0374398540279437</v>
      </c>
      <c r="AC8" s="51"/>
      <c r="AD8" s="51"/>
      <c r="AE8" s="51"/>
      <c r="AF8" s="51"/>
      <c r="AG8" s="51"/>
      <c r="AH8" s="137"/>
      <c r="BO8" t="s">
        <v>198</v>
      </c>
      <c r="BP8">
        <f>BP7/85%</f>
        <v>11176.323529411762</v>
      </c>
      <c r="BS8">
        <f>(13423.7*190*1.42)/1000000</f>
        <v>3.6217142599999996</v>
      </c>
    </row>
    <row r="9" spans="1:71" ht="17.25" x14ac:dyDescent="0.3">
      <c r="C9" s="4" t="s">
        <v>146</v>
      </c>
      <c r="D9" s="41">
        <f>(D3+G4)/2</f>
        <v>68.06</v>
      </c>
      <c r="E9" s="16" t="s">
        <v>2</v>
      </c>
      <c r="F9" s="4" t="s">
        <v>14</v>
      </c>
      <c r="G9" s="2">
        <f>0.25%*D9</f>
        <v>0.17015</v>
      </c>
      <c r="H9" s="3" t="s">
        <v>2</v>
      </c>
      <c r="I9" s="14" t="s">
        <v>32</v>
      </c>
      <c r="J9" s="13">
        <f>G4*((1-G6)+(0.06*G6*(G9/((4*G6)-1))))</f>
        <v>21.982428619858155</v>
      </c>
      <c r="K9" s="13" t="s">
        <v>2</v>
      </c>
      <c r="L9" s="51"/>
      <c r="O9" s="51"/>
      <c r="P9" s="51"/>
      <c r="Q9" s="51"/>
      <c r="T9" s="14" t="s">
        <v>43</v>
      </c>
      <c r="U9" s="13">
        <f>D4/D5</f>
        <v>3.9756097560975614</v>
      </c>
      <c r="V9" s="14" t="s">
        <v>35</v>
      </c>
      <c r="W9" s="13">
        <v>1</v>
      </c>
      <c r="X9" s="14" t="s">
        <v>36</v>
      </c>
      <c r="Y9" s="15" t="e">
        <f>(0.0140407*(B3/B5))-(1.75254*(((B3*B4*B5*B6)^(1/3))/B3))-4.79323*(J5)-Y8</f>
        <v>#DIV/0!</v>
      </c>
      <c r="Z9" s="87"/>
      <c r="AA9" s="62" t="s">
        <v>173</v>
      </c>
      <c r="AB9" s="63">
        <v>0.42</v>
      </c>
      <c r="AC9" s="281" t="s">
        <v>174</v>
      </c>
      <c r="AD9" s="282"/>
      <c r="AE9" s="282"/>
      <c r="AF9" s="282"/>
      <c r="AG9" s="51"/>
      <c r="AH9" s="137"/>
    </row>
    <row r="10" spans="1:71" ht="18.75" thickBot="1" x14ac:dyDescent="0.35">
      <c r="C10" s="4" t="s">
        <v>155</v>
      </c>
      <c r="D10" s="41">
        <f>D9*3.2808399</f>
        <v>223.29396359400002</v>
      </c>
      <c r="E10" s="3" t="s">
        <v>156</v>
      </c>
      <c r="F10" s="4" t="s">
        <v>147</v>
      </c>
      <c r="G10" s="16">
        <f>D4*D5*D6*D9</f>
        <v>2932.9223582080131</v>
      </c>
      <c r="H10" s="16" t="s">
        <v>148</v>
      </c>
      <c r="I10" s="14" t="s">
        <v>37</v>
      </c>
      <c r="J10" s="13">
        <f>D4/J9</f>
        <v>0.74150132734993401</v>
      </c>
      <c r="K10" s="13" t="s">
        <v>2</v>
      </c>
      <c r="T10" s="14" t="s">
        <v>47</v>
      </c>
      <c r="U10" s="13">
        <f>((D3*((2*D5)+D4))*(G7^0.5)*(0.453+(0.4425*D6)-(0.2862*G7)-(0.003467*U9)+(0.3696*D8))+(2.38*('Perhitungan Bulbous Bow'!D14/D6)))</f>
        <v>1246.0322816310556</v>
      </c>
      <c r="V10" s="14" t="s">
        <v>40</v>
      </c>
      <c r="W10" s="13">
        <v>1</v>
      </c>
      <c r="X10" s="14" t="s">
        <v>45</v>
      </c>
      <c r="Y10" s="13">
        <f>IF(J7&lt;=12,(1.446*E6)-(0.03*J7),IF(J7&gt;12,(1.446*E6)-0.36))</f>
        <v>-0.13490797546012268</v>
      </c>
      <c r="Z10" s="43"/>
      <c r="AA10" s="64" t="s">
        <v>175</v>
      </c>
      <c r="AB10" s="11">
        <f>$AB$8*$AB$6*$AB$9</f>
        <v>0.41829574914406686</v>
      </c>
      <c r="AC10" s="65"/>
      <c r="AD10" s="65"/>
      <c r="AE10" s="65"/>
      <c r="AF10" s="65"/>
      <c r="AG10" s="65"/>
      <c r="AH10" s="138"/>
    </row>
    <row r="11" spans="1:71" ht="15.75" x14ac:dyDescent="0.3">
      <c r="C11" s="49" t="s">
        <v>157</v>
      </c>
      <c r="D11" s="67">
        <f>G11/((D3*3.2808399)^0.5)</f>
        <v>0.79343259514354558</v>
      </c>
      <c r="E11" s="16"/>
      <c r="F11" s="4" t="s">
        <v>158</v>
      </c>
      <c r="G11" s="16">
        <v>12</v>
      </c>
      <c r="H11" s="3" t="s">
        <v>159</v>
      </c>
      <c r="I11" s="14" t="s">
        <v>42</v>
      </c>
      <c r="J11" s="13">
        <f>((D3^3)/(D3*D4*D5*D6))</f>
        <v>112.79923008467736</v>
      </c>
      <c r="K11" s="13" t="s">
        <v>2</v>
      </c>
      <c r="L11" s="51"/>
      <c r="M11" s="51"/>
      <c r="N11" s="51"/>
      <c r="O11" s="51"/>
      <c r="P11" s="51"/>
      <c r="Q11" s="51"/>
      <c r="X11" s="14" t="s">
        <v>50</v>
      </c>
      <c r="Y11" s="15">
        <f>D5/D3</f>
        <v>5.8806655192197348E-2</v>
      </c>
      <c r="Z11" s="87"/>
      <c r="AA11" s="87"/>
    </row>
    <row r="14" spans="1:71" ht="32.25" thickBot="1" x14ac:dyDescent="0.3">
      <c r="C14" s="14" t="s">
        <v>96</v>
      </c>
      <c r="D14" s="18" t="s">
        <v>97</v>
      </c>
      <c r="E14" s="296" t="s">
        <v>101</v>
      </c>
      <c r="F14" s="296"/>
      <c r="G14" s="296"/>
      <c r="H14" s="42"/>
      <c r="I14" s="42"/>
      <c r="T14" s="301" t="s">
        <v>102</v>
      </c>
      <c r="U14" s="301"/>
      <c r="V14" s="301"/>
      <c r="W14" s="30" t="s">
        <v>103</v>
      </c>
      <c r="X14" s="304" t="s">
        <v>104</v>
      </c>
      <c r="Y14" s="305"/>
      <c r="Z14" s="131"/>
      <c r="AA14" s="286" t="s">
        <v>176</v>
      </c>
      <c r="AB14" s="286"/>
      <c r="AC14" s="286"/>
      <c r="AD14" s="286"/>
      <c r="AE14" s="287"/>
      <c r="AF14" s="287"/>
      <c r="AG14" s="287"/>
      <c r="AH14" s="287"/>
    </row>
    <row r="15" spans="1:71" ht="18" x14ac:dyDescent="0.3">
      <c r="C15" s="13">
        <v>0.55000000000000004</v>
      </c>
      <c r="D15" s="13" t="s">
        <v>98</v>
      </c>
      <c r="E15" s="297" t="s">
        <v>114</v>
      </c>
      <c r="F15" s="297"/>
      <c r="G15" s="297"/>
      <c r="H15" s="43"/>
      <c r="I15" s="43"/>
      <c r="T15" s="300" t="s">
        <v>105</v>
      </c>
      <c r="U15" s="300"/>
      <c r="V15" s="300"/>
      <c r="W15" s="31" t="s">
        <v>109</v>
      </c>
      <c r="X15" s="302" t="s">
        <v>113</v>
      </c>
      <c r="Y15" s="303"/>
      <c r="Z15" s="132"/>
      <c r="AA15" s="291" t="s">
        <v>177</v>
      </c>
      <c r="AB15" s="292"/>
      <c r="AC15" s="292"/>
      <c r="AD15" s="293"/>
      <c r="AE15" s="294" t="s">
        <v>178</v>
      </c>
      <c r="AF15" s="294"/>
      <c r="AG15" s="294"/>
      <c r="AH15" s="295"/>
    </row>
    <row r="16" spans="1:71" ht="18" x14ac:dyDescent="0.3">
      <c r="C16" s="13">
        <v>0.6</v>
      </c>
      <c r="D16" s="13" t="s">
        <v>98</v>
      </c>
      <c r="E16" s="297" t="s">
        <v>115</v>
      </c>
      <c r="F16" s="297"/>
      <c r="G16" s="297"/>
      <c r="H16" s="43"/>
      <c r="I16" s="43"/>
      <c r="T16" s="300" t="s">
        <v>106</v>
      </c>
      <c r="U16" s="300"/>
      <c r="V16" s="300"/>
      <c r="W16" s="31" t="s">
        <v>110</v>
      </c>
      <c r="X16" s="302" t="s">
        <v>124</v>
      </c>
      <c r="Y16" s="303"/>
      <c r="Z16" s="132"/>
      <c r="AA16" s="283" t="s">
        <v>179</v>
      </c>
      <c r="AB16" s="284"/>
      <c r="AC16" s="2" t="s">
        <v>194</v>
      </c>
      <c r="AD16" s="5"/>
      <c r="AE16" s="285" t="s">
        <v>179</v>
      </c>
      <c r="AF16" s="284"/>
      <c r="AG16" s="2" t="s">
        <v>180</v>
      </c>
      <c r="AH16" s="5"/>
    </row>
    <row r="17" spans="1:83" ht="18" x14ac:dyDescent="0.3">
      <c r="C17" s="13">
        <v>0.65</v>
      </c>
      <c r="D17" s="13" t="s">
        <v>98</v>
      </c>
      <c r="E17" s="297" t="s">
        <v>116</v>
      </c>
      <c r="F17" s="297"/>
      <c r="G17" s="297"/>
      <c r="H17" s="43"/>
      <c r="I17" s="43"/>
      <c r="T17" s="300" t="s">
        <v>107</v>
      </c>
      <c r="U17" s="300"/>
      <c r="V17" s="300"/>
      <c r="W17" s="31" t="s">
        <v>111</v>
      </c>
      <c r="X17" s="302" t="s">
        <v>125</v>
      </c>
      <c r="Y17" s="303"/>
      <c r="Z17" s="132"/>
      <c r="AA17" s="283" t="s">
        <v>181</v>
      </c>
      <c r="AB17" s="284"/>
      <c r="AC17" s="2" t="s">
        <v>195</v>
      </c>
      <c r="AD17" s="5"/>
      <c r="AE17" s="285" t="s">
        <v>181</v>
      </c>
      <c r="AF17" s="284"/>
      <c r="AG17" s="2" t="s">
        <v>182</v>
      </c>
      <c r="AH17" s="5"/>
    </row>
    <row r="18" spans="1:83" ht="18" x14ac:dyDescent="0.3">
      <c r="C18" s="13">
        <v>0.7</v>
      </c>
      <c r="D18" s="13" t="s">
        <v>98</v>
      </c>
      <c r="E18" s="297" t="s">
        <v>117</v>
      </c>
      <c r="F18" s="297"/>
      <c r="G18" s="297"/>
      <c r="H18" s="43"/>
      <c r="I18" s="43"/>
      <c r="T18" s="300" t="s">
        <v>108</v>
      </c>
      <c r="U18" s="300"/>
      <c r="V18" s="300"/>
      <c r="W18" s="31" t="s">
        <v>112</v>
      </c>
      <c r="X18" s="302" t="s">
        <v>126</v>
      </c>
      <c r="Y18" s="303"/>
      <c r="Z18" s="132"/>
      <c r="AA18" s="283" t="s">
        <v>183</v>
      </c>
      <c r="AB18" s="284"/>
      <c r="AC18" s="2">
        <v>390</v>
      </c>
      <c r="AD18" s="5" t="s">
        <v>183</v>
      </c>
      <c r="AE18" s="285" t="s">
        <v>183</v>
      </c>
      <c r="AF18" s="284"/>
      <c r="AG18" s="2">
        <v>1800</v>
      </c>
      <c r="AH18" s="5" t="s">
        <v>183</v>
      </c>
    </row>
    <row r="19" spans="1:83" ht="18" x14ac:dyDescent="0.3">
      <c r="C19" s="13">
        <v>0.75</v>
      </c>
      <c r="D19" s="13" t="s">
        <v>99</v>
      </c>
      <c r="E19" s="297" t="s">
        <v>118</v>
      </c>
      <c r="F19" s="297"/>
      <c r="G19" s="297"/>
      <c r="H19" s="43"/>
      <c r="I19" s="43"/>
      <c r="AA19" s="283" t="s">
        <v>184</v>
      </c>
      <c r="AB19" s="284"/>
      <c r="AC19" s="2">
        <f>1050*2</f>
        <v>2100</v>
      </c>
      <c r="AD19" s="5" t="s">
        <v>185</v>
      </c>
      <c r="AE19" s="285" t="s">
        <v>184</v>
      </c>
      <c r="AF19" s="284"/>
      <c r="AG19" s="2">
        <v>276</v>
      </c>
      <c r="AH19" s="5" t="s">
        <v>186</v>
      </c>
    </row>
    <row r="20" spans="1:83" ht="18.75" thickBot="1" x14ac:dyDescent="0.35">
      <c r="C20" s="13">
        <v>0.8</v>
      </c>
      <c r="D20" s="13" t="s">
        <v>99</v>
      </c>
      <c r="E20" s="297" t="s">
        <v>119</v>
      </c>
      <c r="F20" s="297"/>
      <c r="G20" s="297"/>
      <c r="H20" s="43"/>
      <c r="I20" s="43"/>
      <c r="T20" s="275" t="s">
        <v>132</v>
      </c>
      <c r="U20" s="275"/>
      <c r="V20" s="275"/>
      <c r="W20" s="275"/>
      <c r="X20" s="266" t="s">
        <v>133</v>
      </c>
      <c r="Y20" s="268"/>
      <c r="Z20" s="32"/>
      <c r="AA20" s="283" t="s">
        <v>191</v>
      </c>
      <c r="AB20" s="284"/>
      <c r="AC20" s="2">
        <v>179.2</v>
      </c>
      <c r="AD20" s="5" t="s">
        <v>188</v>
      </c>
      <c r="AE20" s="298" t="s">
        <v>189</v>
      </c>
      <c r="AF20" s="299"/>
      <c r="AG20" s="11">
        <v>207</v>
      </c>
      <c r="AH20" s="12" t="s">
        <v>190</v>
      </c>
    </row>
    <row r="21" spans="1:83" ht="18" x14ac:dyDescent="0.3">
      <c r="C21" s="13">
        <v>0.85</v>
      </c>
      <c r="D21" s="13" t="s">
        <v>99</v>
      </c>
      <c r="E21" s="297" t="s">
        <v>120</v>
      </c>
      <c r="F21" s="297"/>
      <c r="G21" s="297"/>
      <c r="H21" s="43"/>
      <c r="I21" s="43"/>
      <c r="T21" s="275" t="s">
        <v>137</v>
      </c>
      <c r="U21" s="275"/>
      <c r="V21" s="275"/>
      <c r="W21" s="275"/>
      <c r="X21" s="266" t="s">
        <v>134</v>
      </c>
      <c r="Y21" s="268"/>
      <c r="Z21" s="32"/>
      <c r="AE21" s="282"/>
      <c r="AF21" s="282"/>
      <c r="AG21" s="34"/>
      <c r="AH21" s="51"/>
    </row>
    <row r="22" spans="1:83" ht="18" x14ac:dyDescent="0.3">
      <c r="C22" s="13">
        <v>0.75</v>
      </c>
      <c r="D22" s="13" t="s">
        <v>100</v>
      </c>
      <c r="E22" s="297" t="s">
        <v>121</v>
      </c>
      <c r="F22" s="297"/>
      <c r="G22" s="297"/>
      <c r="H22" s="43"/>
      <c r="I22" s="43"/>
      <c r="T22" s="275" t="s">
        <v>138</v>
      </c>
      <c r="U22" s="275"/>
      <c r="V22" s="275"/>
      <c r="W22" s="275"/>
      <c r="X22" s="266" t="s">
        <v>135</v>
      </c>
      <c r="Y22" s="268"/>
      <c r="Z22" s="32"/>
      <c r="AA22" s="282"/>
      <c r="AB22" s="282"/>
      <c r="AC22" s="34"/>
      <c r="AD22" s="51"/>
      <c r="AE22" s="282"/>
      <c r="AF22" s="282"/>
      <c r="AG22" s="34"/>
      <c r="AH22" s="51"/>
    </row>
    <row r="23" spans="1:83" ht="18" x14ac:dyDescent="0.3">
      <c r="C23" s="13">
        <v>0.8</v>
      </c>
      <c r="D23" s="13" t="s">
        <v>100</v>
      </c>
      <c r="E23" s="297" t="s">
        <v>122</v>
      </c>
      <c r="F23" s="297"/>
      <c r="G23" s="297"/>
      <c r="H23" s="43"/>
      <c r="I23" s="43"/>
      <c r="T23" s="275" t="s">
        <v>139</v>
      </c>
      <c r="U23" s="275"/>
      <c r="V23" s="275"/>
      <c r="W23" s="275"/>
      <c r="X23" s="266" t="s">
        <v>136</v>
      </c>
      <c r="Y23" s="268"/>
      <c r="Z23" s="32"/>
      <c r="AA23" s="282"/>
      <c r="AB23" s="282"/>
      <c r="AC23" s="34"/>
      <c r="AD23" s="51"/>
      <c r="AE23" s="282"/>
      <c r="AF23" s="282"/>
      <c r="AG23" s="34"/>
      <c r="AH23" s="51"/>
    </row>
    <row r="24" spans="1:83" ht="18" x14ac:dyDescent="0.25">
      <c r="C24" s="13">
        <v>0.85</v>
      </c>
      <c r="D24" s="13" t="s">
        <v>100</v>
      </c>
      <c r="E24" s="297" t="s">
        <v>123</v>
      </c>
      <c r="F24" s="297"/>
      <c r="G24" s="297"/>
      <c r="H24" s="43"/>
      <c r="I24" s="43"/>
      <c r="N24" t="e">
        <f>DEGREES(#REF!)</f>
        <v>#REF!</v>
      </c>
    </row>
    <row r="27" spans="1:83" x14ac:dyDescent="0.25">
      <c r="G27" s="312" t="s">
        <v>129</v>
      </c>
      <c r="H27" s="312"/>
      <c r="I27" s="312"/>
      <c r="J27" s="312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40"/>
      <c r="V27" s="40"/>
      <c r="W27" s="40"/>
      <c r="X27" s="321" t="s">
        <v>130</v>
      </c>
      <c r="Y27" s="321"/>
      <c r="Z27" s="321"/>
      <c r="AA27" s="321"/>
      <c r="AB27" s="321"/>
      <c r="AC27" s="321"/>
      <c r="AD27" s="321"/>
      <c r="AI27" s="40" t="s">
        <v>129</v>
      </c>
      <c r="AJ27" s="270" t="s">
        <v>131</v>
      </c>
      <c r="AK27" s="270"/>
      <c r="AL27" s="270"/>
      <c r="AM27" s="270"/>
    </row>
    <row r="28" spans="1:83" ht="15.75" x14ac:dyDescent="0.3">
      <c r="A28" t="s">
        <v>83</v>
      </c>
      <c r="C28" s="25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4" t="s">
        <v>51</v>
      </c>
      <c r="AM28" s="314"/>
      <c r="AN28" s="314"/>
      <c r="AO28" s="314"/>
      <c r="AP28" s="314"/>
      <c r="AQ28" s="314"/>
      <c r="AR28" s="314"/>
      <c r="AS28" s="314"/>
      <c r="AT28" s="314"/>
      <c r="AU28" s="314"/>
      <c r="AV28" s="314"/>
      <c r="AW28" s="314"/>
      <c r="AX28" s="314"/>
      <c r="AY28" s="314"/>
      <c r="AZ28" s="314"/>
      <c r="BA28" s="314"/>
      <c r="BB28" s="314"/>
      <c r="BC28" s="314"/>
      <c r="BD28" s="314"/>
      <c r="BE28" s="314"/>
      <c r="BF28" s="314"/>
      <c r="BG28" s="314"/>
      <c r="BH28" s="314"/>
      <c r="BI28" s="314"/>
      <c r="BJ28" s="314"/>
      <c r="BK28" s="314"/>
      <c r="BL28" s="314"/>
      <c r="BM28" s="314"/>
      <c r="BN28" s="314"/>
      <c r="BO28" s="314"/>
      <c r="BP28" s="314"/>
      <c r="BQ28" s="314"/>
      <c r="BR28" s="314"/>
      <c r="BS28" s="314"/>
      <c r="BT28" s="314"/>
      <c r="BU28" s="314"/>
      <c r="BV28" s="314"/>
      <c r="BW28" s="314"/>
      <c r="BX28" s="314"/>
      <c r="BY28" s="314"/>
      <c r="BZ28" s="314"/>
      <c r="CA28" s="314"/>
      <c r="CB28" s="315"/>
    </row>
    <row r="29" spans="1:83" ht="47.25" x14ac:dyDescent="0.25">
      <c r="C29" s="272" t="s">
        <v>52</v>
      </c>
      <c r="D29" s="306" t="s">
        <v>53</v>
      </c>
      <c r="E29" s="306" t="s">
        <v>54</v>
      </c>
      <c r="F29" s="308" t="s">
        <v>127</v>
      </c>
      <c r="G29" s="273" t="s">
        <v>152</v>
      </c>
      <c r="H29" s="274"/>
      <c r="I29" s="273" t="s">
        <v>84</v>
      </c>
      <c r="J29" s="274"/>
      <c r="K29" s="310" t="s">
        <v>204</v>
      </c>
      <c r="L29" s="311"/>
      <c r="M29" s="144" t="s">
        <v>205</v>
      </c>
      <c r="N29" s="151" t="s">
        <v>206</v>
      </c>
      <c r="O29" s="145" t="s">
        <v>206</v>
      </c>
      <c r="P29" s="145" t="s">
        <v>152</v>
      </c>
      <c r="Q29" s="143" t="s">
        <v>152</v>
      </c>
      <c r="R29" s="146" t="s">
        <v>241</v>
      </c>
      <c r="S29" s="146" t="s">
        <v>211</v>
      </c>
      <c r="T29" s="147" t="s">
        <v>153</v>
      </c>
      <c r="U29" s="278" t="s">
        <v>55</v>
      </c>
      <c r="V29" s="279"/>
      <c r="W29" s="279"/>
      <c r="X29" s="279"/>
      <c r="Y29" s="279"/>
      <c r="Z29" s="279"/>
      <c r="AA29" s="280"/>
      <c r="AB29" s="322" t="s">
        <v>90</v>
      </c>
      <c r="AC29" s="36" t="s">
        <v>88</v>
      </c>
      <c r="AD29" s="324" t="s">
        <v>91</v>
      </c>
      <c r="AE29" s="18" t="s">
        <v>103</v>
      </c>
      <c r="AF29" s="326" t="s">
        <v>56</v>
      </c>
      <c r="AG29" s="328" t="s">
        <v>57</v>
      </c>
      <c r="AH29" s="328" t="s">
        <v>9</v>
      </c>
      <c r="AI29" s="317" t="s">
        <v>58</v>
      </c>
      <c r="AJ29" s="319" t="s">
        <v>93</v>
      </c>
      <c r="AK29" s="319" t="s">
        <v>94</v>
      </c>
      <c r="AL29" s="319" t="s">
        <v>95</v>
      </c>
      <c r="AM29" s="306" t="s">
        <v>59</v>
      </c>
      <c r="AN29" s="306" t="s">
        <v>242</v>
      </c>
      <c r="AO29" s="306" t="s">
        <v>243</v>
      </c>
      <c r="AP29" s="306" t="s">
        <v>56</v>
      </c>
      <c r="AQ29" s="306" t="s">
        <v>62</v>
      </c>
      <c r="AR29" s="306" t="s">
        <v>63</v>
      </c>
      <c r="AS29" s="26" t="s">
        <v>64</v>
      </c>
      <c r="AT29" s="27" t="s">
        <v>150</v>
      </c>
      <c r="AU29" s="26" t="s">
        <v>65</v>
      </c>
      <c r="AV29" s="306" t="s">
        <v>50</v>
      </c>
      <c r="AW29" s="306" t="s">
        <v>42</v>
      </c>
      <c r="AX29" s="306" t="s">
        <v>43</v>
      </c>
      <c r="AY29" s="14" t="s">
        <v>66</v>
      </c>
      <c r="AZ29" s="306" t="s">
        <v>34</v>
      </c>
      <c r="BA29" s="306" t="s">
        <v>48</v>
      </c>
      <c r="BB29" s="306" t="s">
        <v>24</v>
      </c>
      <c r="BC29" s="306" t="s">
        <v>30</v>
      </c>
      <c r="BD29" s="306" t="s">
        <v>35</v>
      </c>
      <c r="BE29" s="306" t="s">
        <v>40</v>
      </c>
      <c r="BF29" s="306" t="s">
        <v>20</v>
      </c>
      <c r="BG29" s="306" t="s">
        <v>44</v>
      </c>
      <c r="BH29" s="306" t="s">
        <v>49</v>
      </c>
      <c r="BI29" s="306" t="s">
        <v>18</v>
      </c>
      <c r="BJ29" s="306" t="s">
        <v>31</v>
      </c>
      <c r="BK29" s="306" t="s">
        <v>36</v>
      </c>
      <c r="BL29" s="306" t="s">
        <v>67</v>
      </c>
      <c r="BM29" s="306" t="s">
        <v>68</v>
      </c>
      <c r="BN29" s="306" t="s">
        <v>69</v>
      </c>
      <c r="BO29" s="306" t="s">
        <v>70</v>
      </c>
      <c r="BP29" s="308" t="s">
        <v>240</v>
      </c>
      <c r="BQ29" s="306" t="s">
        <v>72</v>
      </c>
      <c r="BR29" s="308" t="s">
        <v>73</v>
      </c>
      <c r="BS29" s="306" t="s">
        <v>74</v>
      </c>
      <c r="BT29" s="306" t="s">
        <v>75</v>
      </c>
      <c r="BU29" s="308" t="s">
        <v>76</v>
      </c>
      <c r="BV29" s="27" t="s">
        <v>199</v>
      </c>
      <c r="BW29" s="27" t="s">
        <v>200</v>
      </c>
      <c r="BX29" s="306" t="s">
        <v>77</v>
      </c>
      <c r="BY29" s="308" t="s">
        <v>201</v>
      </c>
      <c r="BZ29" s="308" t="s">
        <v>202</v>
      </c>
      <c r="CA29" s="308" t="s">
        <v>78</v>
      </c>
      <c r="CB29" s="296" t="s">
        <v>79</v>
      </c>
      <c r="CC29" s="16"/>
      <c r="CD29" s="16"/>
      <c r="CE29" s="16"/>
    </row>
    <row r="30" spans="1:83" ht="33" customHeight="1" x14ac:dyDescent="0.25">
      <c r="A30" t="s">
        <v>86</v>
      </c>
      <c r="C30" s="272"/>
      <c r="D30" s="307"/>
      <c r="E30" s="307"/>
      <c r="F30" s="309"/>
      <c r="G30" s="36" t="s">
        <v>229</v>
      </c>
      <c r="H30" s="36" t="s">
        <v>230</v>
      </c>
      <c r="I30" s="36" t="s">
        <v>85</v>
      </c>
      <c r="J30" s="36" t="s">
        <v>87</v>
      </c>
      <c r="K30" s="148" t="s">
        <v>85</v>
      </c>
      <c r="L30" s="148" t="s">
        <v>87</v>
      </c>
      <c r="M30" s="148" t="s">
        <v>161</v>
      </c>
      <c r="N30" s="152" t="s">
        <v>244</v>
      </c>
      <c r="O30" s="149" t="s">
        <v>245</v>
      </c>
      <c r="P30" s="148" t="s">
        <v>244</v>
      </c>
      <c r="Q30" s="149" t="s">
        <v>245</v>
      </c>
      <c r="R30" s="150" t="s">
        <v>89</v>
      </c>
      <c r="S30" s="150" t="s">
        <v>89</v>
      </c>
      <c r="T30" s="147" t="s">
        <v>92</v>
      </c>
      <c r="U30" s="134" t="s">
        <v>246</v>
      </c>
      <c r="V30" s="134" t="s">
        <v>249</v>
      </c>
      <c r="W30" s="134" t="s">
        <v>247</v>
      </c>
      <c r="X30" s="135" t="s">
        <v>248</v>
      </c>
      <c r="Y30" s="159" t="s">
        <v>266</v>
      </c>
      <c r="Z30" s="160" t="s">
        <v>267</v>
      </c>
      <c r="AA30" s="158" t="s">
        <v>248</v>
      </c>
      <c r="AB30" s="323"/>
      <c r="AC30" s="36" t="s">
        <v>89</v>
      </c>
      <c r="AD30" s="325"/>
      <c r="AE30" s="14" t="s">
        <v>80</v>
      </c>
      <c r="AF30" s="327"/>
      <c r="AG30" s="329"/>
      <c r="AH30" s="330"/>
      <c r="AI30" s="318"/>
      <c r="AJ30" s="320"/>
      <c r="AK30" s="320"/>
      <c r="AL30" s="320"/>
      <c r="AM30" s="307"/>
      <c r="AN30" s="307"/>
      <c r="AO30" s="307"/>
      <c r="AP30" s="307"/>
      <c r="AQ30" s="307"/>
      <c r="AR30" s="307"/>
      <c r="AS30" s="28" t="s">
        <v>149</v>
      </c>
      <c r="AT30" s="28" t="s">
        <v>151</v>
      </c>
      <c r="AU30" s="28" t="s">
        <v>149</v>
      </c>
      <c r="AV30" s="316"/>
      <c r="AW30" s="307"/>
      <c r="AX30" s="307"/>
      <c r="AY30" s="48" t="s">
        <v>154</v>
      </c>
      <c r="AZ30" s="307"/>
      <c r="BA30" s="307"/>
      <c r="BB30" s="307"/>
      <c r="BC30" s="307"/>
      <c r="BD30" s="307"/>
      <c r="BE30" s="307"/>
      <c r="BF30" s="307"/>
      <c r="BG30" s="307"/>
      <c r="BH30" s="307"/>
      <c r="BI30" s="307"/>
      <c r="BJ30" s="307"/>
      <c r="BK30" s="307"/>
      <c r="BL30" s="307"/>
      <c r="BM30" s="307"/>
      <c r="BN30" s="307"/>
      <c r="BO30" s="307"/>
      <c r="BP30" s="309"/>
      <c r="BQ30" s="307"/>
      <c r="BR30" s="309"/>
      <c r="BS30" s="307"/>
      <c r="BT30" s="307"/>
      <c r="BU30" s="309"/>
      <c r="BV30" s="28"/>
      <c r="BW30" s="28"/>
      <c r="BX30" s="307"/>
      <c r="BY30" s="309"/>
      <c r="BZ30" s="309"/>
      <c r="CA30" s="309"/>
      <c r="CB30" s="296"/>
      <c r="CC30" s="16" t="s">
        <v>268</v>
      </c>
      <c r="CD30" s="16" t="s">
        <v>269</v>
      </c>
      <c r="CE30" s="16" t="s">
        <v>270</v>
      </c>
    </row>
    <row r="31" spans="1:83" ht="15" customHeight="1" x14ac:dyDescent="0.3">
      <c r="C31" s="13">
        <v>1</v>
      </c>
      <c r="D31" s="378" t="s">
        <v>81</v>
      </c>
      <c r="E31" s="378" t="s">
        <v>82</v>
      </c>
      <c r="F31" s="19" t="s">
        <v>128</v>
      </c>
      <c r="G31" s="54">
        <v>0.82638888888888884</v>
      </c>
      <c r="H31" s="54">
        <v>0.82638888888888884</v>
      </c>
      <c r="I31" s="46">
        <v>-8.7301459999999995</v>
      </c>
      <c r="J31" s="46">
        <v>116.076857</v>
      </c>
      <c r="K31" s="13">
        <f>RADIANS(I31)</f>
        <v>-0.15236979187981287</v>
      </c>
      <c r="L31" s="13">
        <f>RADIANS(J31)</f>
        <v>2.0259233400166274</v>
      </c>
      <c r="M31" s="13">
        <v>3443</v>
      </c>
      <c r="N31" s="69">
        <v>0</v>
      </c>
      <c r="O31" s="13">
        <v>0</v>
      </c>
      <c r="P31" s="89">
        <v>0</v>
      </c>
      <c r="Q31" s="15">
        <v>0</v>
      </c>
      <c r="R31" s="20">
        <v>0</v>
      </c>
      <c r="S31" s="20">
        <v>0</v>
      </c>
      <c r="T31" s="15">
        <f>R31*0.5144</f>
        <v>0</v>
      </c>
      <c r="U31" s="15"/>
      <c r="V31" s="15"/>
      <c r="X31" s="15"/>
      <c r="Y31" s="15"/>
      <c r="Z31" s="15"/>
      <c r="AA31" s="15"/>
      <c r="AB31" s="13">
        <v>200</v>
      </c>
      <c r="AC31" s="13">
        <v>13</v>
      </c>
      <c r="AD31" s="13">
        <v>3</v>
      </c>
      <c r="AE31" s="161">
        <f>IF(AND(AA31&lt;=AB31,AB31&gt;AA31,(AB31-AA31)&lt;=180),AB31-AA31,IF(AND(AA31&lt;=AB31,AB31&gt;AA31,(AB31-AA31)&gt;180),360-AB31+AA31,IF(AND(AA31&lt;=180,AB31&lt;AA31),AA31-AB31,IF(AND(AA31&gt;180,AB31&lt;AA31,(AA31-AB31)&lt;=180),AA31-AB31,IF(AND(AA31&gt;180,AB31&lt;AA31,(AA31-AB31)&gt;180),360-AA31+AB31,IF(AND(AA31&gt;180,AB31&gt;AA31),AB31-AA31,0))))))</f>
        <v>160</v>
      </c>
      <c r="AF31" s="15">
        <f t="shared" ref="AF31:AF62" si="0">T31/((9.81*$D$3)^0.5)</f>
        <v>0</v>
      </c>
      <c r="AG31" s="365">
        <v>2877</v>
      </c>
      <c r="AH31" s="357">
        <f>($G$5*1.025)/(G$3*$D$4*AI31)</f>
        <v>0.64481801210777634</v>
      </c>
      <c r="AI31" s="338">
        <v>4.0999999999999996</v>
      </c>
      <c r="AJ31" s="13">
        <f t="shared" ref="AJ31:AJ62" si="1">IF(AND(F31="NORMAL",AND($D$6&gt;=0.55,$D$6&lt;0.6)),1.7-1.4*AF31-7.4*AF31^2,IF(AND(F31="NORMAL",AND($D$6&gt;=0.6,$D$6&lt;0.65)),2.2-2.5*AF31-9.7*AF31^2,IF(AND(F31="NORMAL",AND($D$6&gt;=0.65,$D$6&lt;0.7)),2.6-3.7*AF31-11.6*AF31^2,IF(AND(F31="NORMAL",AND($D$6&gt;=0.7,$D$6&lt;0.75)),3.1-5.3*AF31-12.4*AF31^2,IF(AND(F31="NORMAL OR LOADED",AND($D$6&gt;=0.75,$D$6&lt;0.8)),2.4-10.6*AF31-9.5*AF31^2,IF(AND(F31="NORMAL OR LOADED",AND($D$6&gt;=0.8,$D$6&lt;0.85)),2.6-13.1*AF31-15.1*AF31^2,IF(AND(F31="NORMAL OR LOADED",AND($D$6&gt;=0.85,$D$6&lt;0.9)),3.1-18.7*AF31+28*AF31^2,IF(AND(F31="BALLAST",AND($D$6&gt;=0.75,$D$6&lt;0.8)),2.6-12.5*AF31-13.5*AF31^2,IF(AND(F31="BALLAST",AND($D$6&gt;=0.8,$D$6&lt;0.85)),IF(AND(F31="BALLAST",AND($D$6&gt;=0.85,$D$6&lt;0.9)),3.4-20.9*AF31+31.8*AF31^2))))))))))</f>
        <v>2.2000000000000002</v>
      </c>
      <c r="AK31" s="13">
        <f t="shared" ref="AK31:AK94" si="2">IF(AND(AE31&gt;=0,AE31&lt;=30),2/2,IF(AND(AE31&gt;30,AE31&lt;=60),(1.7-0.03*(AD31-4)^2)/2,IF(AND(AE31&gt;60,AE31&lt;=150),(0.9-0.06*(AD31-6)^2)/2,IF(AND(AE31&gt;150,AE31&lt;=180),(0.4-0.03*(AD31-8)^2)/2))))</f>
        <v>-0.17499999999999999</v>
      </c>
      <c r="AL31" s="15">
        <f>((0.5*AD31)+AD31^6.5)/(2.7*$G$5^(2/3))</f>
        <v>2.2109598571533655</v>
      </c>
      <c r="AM31" s="15">
        <f>AJ31*AK31*AL31</f>
        <v>-0.85121954500404573</v>
      </c>
      <c r="AN31" s="15">
        <f t="shared" ref="AN31:AN62" si="3">R31/(1-(0.01*AM31))</f>
        <v>0</v>
      </c>
      <c r="AO31" s="15">
        <f>AN31*0.5144</f>
        <v>0</v>
      </c>
      <c r="AP31" s="15">
        <f>AO31/((9.81*$D$3)^0.5)</f>
        <v>0</v>
      </c>
      <c r="AQ31" s="20" t="e">
        <f t="shared" ref="AQ31:AQ62" si="4">N31/AN31</f>
        <v>#DIV/0!</v>
      </c>
      <c r="AR31" s="13">
        <f t="shared" ref="AR31:AR62" si="5">(AO31*$D$3)/$U$3</f>
        <v>0</v>
      </c>
      <c r="AS31" s="13" t="e">
        <f>0.075/((LOG(AR31)-2)^2)</f>
        <v>#NUM!</v>
      </c>
      <c r="AT31" s="15" t="e">
        <f t="shared" ref="AT31:AT62" si="6">0.5*1024*(AO31^2)*$W$5*$W$6*AS31</f>
        <v>#NUM!</v>
      </c>
      <c r="AU31" s="13" t="e">
        <f t="shared" ref="AU31:AU62" si="7">0.5*1024*AS31*$U$10*(AO31)^2</f>
        <v>#NUM!</v>
      </c>
      <c r="AV31" s="338">
        <f>AI31/$D$3</f>
        <v>5.8806655192197348E-2</v>
      </c>
      <c r="AW31" s="338">
        <f>($D$3^3)/($D$3*$D$4*$D$6*AI31)</f>
        <v>112.79923008467735</v>
      </c>
      <c r="AX31" s="355">
        <f>$D$4/AI31</f>
        <v>3.9756097560975614</v>
      </c>
      <c r="AY31" s="338">
        <f>$D$3*((2*AI31)+$D$4)*($G$7^0.5)*(0.453+(0.4425*AH31)-(0.2862*$G$7)-(0.003467*AX31)+(0.3696*$D$8))+(2.38*('Perhitungan Bulbous Bow'!$D$14/AH31))</f>
        <v>1246.0322816310556</v>
      </c>
      <c r="AZ31" s="338">
        <f>W6</f>
        <v>4.3</v>
      </c>
      <c r="BA31" s="357">
        <f>$D$3/($D$3*$D$4*AH31*AI31)^(1/3)</f>
        <v>4.8317231853112652</v>
      </c>
      <c r="BB31" s="357">
        <f>1+89*EXP(-(($D$3/$D$4)^0.80856)*((1-$D$8)^0.30484)*((1-$G$6-(0.0225*$G$9))^0.6367)*(($J$9/$D$4)^0.34574)*((100*AI31*$D$3*$D$4*AH31)/$D$3^3)^0.16302)</f>
        <v>30.035945948122961</v>
      </c>
      <c r="BC31" s="357">
        <f>2223105*(BH31^3.78613)*((AI31/$D$4)^1.07961)*((90-BB31)^-1.37565)</f>
        <v>7.3179787261487803</v>
      </c>
      <c r="BD31" s="338">
        <f>EXP(-1.89*((BE31^0.5)))</f>
        <v>1</v>
      </c>
      <c r="BE31" s="338">
        <f>0.56*(0^1.5)/($D$4*AI31*((0.31*(0^0.5))+AI31-0))</f>
        <v>0</v>
      </c>
      <c r="BF31" s="338">
        <f>IF(AV31&lt;=0.04,AV31,IF(AV31&gt;0.04,0.04,0))</f>
        <v>0.04</v>
      </c>
      <c r="BG31" s="338">
        <f>1-((0.8*0)/($D$4*AI31*$G$7))</f>
        <v>1</v>
      </c>
      <c r="BH31" s="336">
        <f>IF($J$5&lt;=0.11,0.229577*($J$5^0.33333),IF(AND($J$5&gt;0.11,$J$5&lt;0.25),$J$5,IF($J$5&gt;=0.25,0.5-(0.0625*AX31),0)))</f>
        <v>0.23379231210556509</v>
      </c>
      <c r="BI31" s="357">
        <f>IF(AW31&lt;=512,-1.69385,IF(AW31&gt;=1727,#REF!,IF(AND(AW31&gt;512,AW31&lt;1727),$Y$6+((BA31-8)/2.36),0)))</f>
        <v>-1.6938500000000001</v>
      </c>
      <c r="BJ31" s="357">
        <f>IF($G$6&lt;0.8,(8.07981*($G$6))-(13.8673*($G$6^2))+(6.984388*($G$6^3)),IF($G$6&gt;0.8,1.73014-(0.7067*$G$6),0))</f>
        <v>1.2857994584601959</v>
      </c>
      <c r="BK31" s="357">
        <f>(0.0140407*($D$3/AI31)-(1.75254*((($D$3*$D$4*AI31*$D$6)^(1/3))/$D$3))-4.79323*($J$5)-BJ31)</f>
        <v>-2.5303747069836766</v>
      </c>
      <c r="BL31" s="15" t="e">
        <f t="shared" ref="BL31:BL62" si="8">$BI$31*($G$6^2)*EXP(-0.1*(AP31^-2))</f>
        <v>#DIV/0!</v>
      </c>
      <c r="BN31" s="20">
        <f t="shared" ref="BN31:BN62" si="9">0.5*1025*(AO31^2)*$AY$31*$W$3</f>
        <v>0</v>
      </c>
      <c r="BO31" s="20" t="e">
        <f t="shared" ref="BO31:BO62" si="10">((AU31*$U$8)+AT31+BM31+BN31)/1000</f>
        <v>#NUM!</v>
      </c>
      <c r="BP31" s="20" t="e">
        <f>BO31+(BO31*15%)</f>
        <v>#NUM!</v>
      </c>
      <c r="BQ31" s="15" t="e">
        <f>BP31*AO31</f>
        <v>#NUM!</v>
      </c>
      <c r="BR31" s="15">
        <f t="shared" ref="BR31:BR62" si="11">(1-$AB$4)*AO31</f>
        <v>0</v>
      </c>
      <c r="BS31" s="6" t="e">
        <f t="shared" ref="BS31:BS62" si="12">BQ31/$AB$10</f>
        <v>#NUM!</v>
      </c>
      <c r="BT31" s="15" t="e">
        <f t="shared" ref="BT31:BT62" si="13">BS31/$AG$4</f>
        <v>#NUM!</v>
      </c>
      <c r="BU31" s="13" t="e">
        <f t="shared" ref="BU31:BU62" si="14">((BT31/$AG$5)/85%)</f>
        <v>#NUM!</v>
      </c>
      <c r="BV31" s="13" t="e">
        <f>BU31/2</f>
        <v>#NUM!</v>
      </c>
      <c r="BW31" s="13" t="e">
        <f>BU31/2</f>
        <v>#NUM!</v>
      </c>
      <c r="BX31" s="13" t="e">
        <f t="shared" ref="BX31:BX62" si="15">(BU31/$AC$19)*100</f>
        <v>#NUM!</v>
      </c>
      <c r="BY31" s="15">
        <v>0</v>
      </c>
      <c r="BZ31" s="15">
        <v>0</v>
      </c>
      <c r="CA31" s="70"/>
      <c r="CB31" s="331"/>
      <c r="CC31" s="54">
        <f>CA31</f>
        <v>0</v>
      </c>
      <c r="CD31" s="189">
        <f>CB31</f>
        <v>0</v>
      </c>
      <c r="CE31" s="209">
        <f>AVERAGE(AN31)</f>
        <v>0</v>
      </c>
    </row>
    <row r="32" spans="1:83" s="210" customFormat="1" ht="15.75" x14ac:dyDescent="0.3">
      <c r="C32" s="211">
        <v>2</v>
      </c>
      <c r="D32" s="379"/>
      <c r="E32" s="379"/>
      <c r="F32" s="212" t="s">
        <v>128</v>
      </c>
      <c r="G32" s="213">
        <v>0.84027777777777779</v>
      </c>
      <c r="H32" s="213">
        <v>0.84027777777777779</v>
      </c>
      <c r="I32" s="214">
        <v>-8.7301459999999995</v>
      </c>
      <c r="J32" s="214">
        <v>116.076857</v>
      </c>
      <c r="K32" s="211">
        <f t="shared" ref="K32:L109" si="16">RADIANS(I32)</f>
        <v>-0.15236979187981287</v>
      </c>
      <c r="L32" s="211">
        <f t="shared" si="16"/>
        <v>2.0259233400166274</v>
      </c>
      <c r="M32" s="211">
        <v>3443</v>
      </c>
      <c r="N32" s="215">
        <v>0</v>
      </c>
      <c r="O32" s="332">
        <f>SUM(N32:N33)</f>
        <v>6.3954858739204715E-2</v>
      </c>
      <c r="P32" s="216">
        <f t="shared" ref="P32:P63" si="17">(H32-H31)*24</f>
        <v>0.33333333333333481</v>
      </c>
      <c r="Q32" s="334">
        <f>(G32-G31)*24</f>
        <v>0.33333333333333481</v>
      </c>
      <c r="R32" s="217">
        <f t="shared" ref="R32:R63" si="18">N32/P32</f>
        <v>0</v>
      </c>
      <c r="S32" s="367">
        <f>AVERAGE(R32:R33)</f>
        <v>0.38372915243522965</v>
      </c>
      <c r="T32" s="218">
        <f t="shared" ref="T32:T130" si="19">R32*0.5144</f>
        <v>0</v>
      </c>
      <c r="U32" s="219">
        <f t="shared" ref="U32:U63" si="20">LN(TAN((K32/2)+(3.14/4))/(TAN((K31/2)+(3.14/4))))</f>
        <v>0</v>
      </c>
      <c r="V32" s="211">
        <f t="shared" ref="V32:V63" si="21">ABS(L31-L32)</f>
        <v>0</v>
      </c>
      <c r="W32" s="211" t="e">
        <f>ATAN2(U32,V32)</f>
        <v>#DIV/0!</v>
      </c>
      <c r="X32" s="211" t="e">
        <f>DEGREES(W32)</f>
        <v>#DIV/0!</v>
      </c>
      <c r="Y32" s="219">
        <f>K32-K31</f>
        <v>0</v>
      </c>
      <c r="Z32" s="220">
        <f>J32-J31</f>
        <v>0</v>
      </c>
      <c r="AA32" s="221" t="e">
        <f>IF(AND(Y32&gt;0,Z32&gt;0),X32,IF(AND(Y32&lt;0,Z32&gt;0),X32,IF(AND(Y32&lt;0,Z32&lt;0),360-X32,360-X32)))</f>
        <v>#DIV/0!</v>
      </c>
      <c r="AB32" s="211">
        <v>200</v>
      </c>
      <c r="AC32" s="211">
        <v>13</v>
      </c>
      <c r="AD32" s="211">
        <f t="shared" ref="AD32:AD95" si="22">IF(AC32&lt;=0.6,0,IF(AC32&lt;=3,1,IF(AC32&lt;=6.4,2,IF(AC32&lt;=10.6,3,IF(AC32&lt;=15.5,4,IF(AC32&lt;=21,5,IF(AC32&lt;=26.9,IF(AC32&lt;=33.4,7,8))))))))</f>
        <v>4</v>
      </c>
      <c r="AE32" s="222" t="e">
        <f t="shared" ref="AE32:AE95" si="23">IF(AND(AA32&lt;=AB32,AB32&gt;AA32,(AB32-AA32)&lt;=180),AB32-AA32,IF(AND(AA32&lt;=AB32,AB32&gt;AA32,(AB32-AA32)&gt;180),360-AB32+AA32,IF(AND(AA32&lt;=180,AB32&lt;AA32),AA32-AB32,IF(AND(AA32&gt;180,AB32&lt;AA32,(AA32-AB32)&lt;=180),AA32-AB32,IF(AND(AA32&gt;180,AB32&lt;AA32,(AA32-AB32)&gt;180),360-AA32+AB32,IF(AND(AA32&gt;180,AB32&gt;AA32),AB32-AA32,0))))))</f>
        <v>#DIV/0!</v>
      </c>
      <c r="AF32" s="218">
        <f t="shared" si="0"/>
        <v>0</v>
      </c>
      <c r="AG32" s="366"/>
      <c r="AH32" s="331"/>
      <c r="AI32" s="339"/>
      <c r="AJ32" s="223">
        <f t="shared" si="1"/>
        <v>2.2000000000000002</v>
      </c>
      <c r="AK32" s="211" t="e">
        <f t="shared" si="2"/>
        <v>#DIV/0!</v>
      </c>
      <c r="AL32" s="218">
        <f t="shared" ref="AL32:AL95" si="24">((0.5*AD32)+AD32^6.5)/(2.7*$G$5^(2/3))</f>
        <v>14.330886011442766</v>
      </c>
      <c r="AM32" s="218" t="e">
        <f t="shared" ref="AM32:AM95" si="25">AJ32*AK32*AL32</f>
        <v>#DIV/0!</v>
      </c>
      <c r="AN32" s="218" t="e">
        <f t="shared" si="3"/>
        <v>#DIV/0!</v>
      </c>
      <c r="AO32" s="218" t="e">
        <f t="shared" ref="AO32:AO95" si="26">AN32*0.5144</f>
        <v>#DIV/0!</v>
      </c>
      <c r="AP32" s="218" t="e">
        <f t="shared" ref="AP32:AP95" si="27">AO32/((9.81*$D$3)^0.5)</f>
        <v>#DIV/0!</v>
      </c>
      <c r="AQ32" s="217" t="e">
        <f t="shared" si="4"/>
        <v>#DIV/0!</v>
      </c>
      <c r="AR32" s="211" t="e">
        <f t="shared" si="5"/>
        <v>#DIV/0!</v>
      </c>
      <c r="AS32" s="211" t="e">
        <f t="shared" ref="AS32:AS95" si="28">0.075/((LOG(AR32)-2)^2)</f>
        <v>#DIV/0!</v>
      </c>
      <c r="AT32" s="218" t="e">
        <f t="shared" si="6"/>
        <v>#DIV/0!</v>
      </c>
      <c r="AU32" s="211" t="e">
        <f t="shared" si="7"/>
        <v>#DIV/0!</v>
      </c>
      <c r="AV32" s="339"/>
      <c r="AW32" s="339"/>
      <c r="AX32" s="356"/>
      <c r="AY32" s="339"/>
      <c r="AZ32" s="339"/>
      <c r="BA32" s="331"/>
      <c r="BB32" s="331"/>
      <c r="BC32" s="331"/>
      <c r="BD32" s="339"/>
      <c r="BE32" s="339"/>
      <c r="BF32" s="339"/>
      <c r="BG32" s="339"/>
      <c r="BH32" s="337"/>
      <c r="BI32" s="331"/>
      <c r="BJ32" s="331"/>
      <c r="BK32" s="331"/>
      <c r="BL32" s="218" t="e">
        <f t="shared" si="8"/>
        <v>#DIV/0!</v>
      </c>
      <c r="BM32" s="217" t="e">
        <f t="shared" ref="BM32:BM63" si="29">$BC$31*$BD$31*$BG$31*($D$3*$D$4*$AI$31*$AH$31)*1025*9.81*(EXP(($BK$31*(AP32^-0.9))+(BL32*COS($Y$10*(AP32^-2)))))</f>
        <v>#DIV/0!</v>
      </c>
      <c r="BN32" s="217" t="e">
        <f t="shared" si="9"/>
        <v>#DIV/0!</v>
      </c>
      <c r="BO32" s="217" t="e">
        <f t="shared" si="10"/>
        <v>#DIV/0!</v>
      </c>
      <c r="BP32" s="217" t="e">
        <f t="shared" ref="BP32:BP95" si="30">BO32+(BO32*15%)</f>
        <v>#DIV/0!</v>
      </c>
      <c r="BQ32" s="218" t="e">
        <f t="shared" ref="BQ32:BQ95" si="31">BP32*AO32</f>
        <v>#DIV/0!</v>
      </c>
      <c r="BR32" s="218" t="e">
        <f t="shared" si="11"/>
        <v>#DIV/0!</v>
      </c>
      <c r="BS32" s="224" t="e">
        <f t="shared" si="12"/>
        <v>#DIV/0!</v>
      </c>
      <c r="BT32" s="218" t="e">
        <f t="shared" si="13"/>
        <v>#DIV/0!</v>
      </c>
      <c r="BU32" s="211" t="e">
        <f t="shared" si="14"/>
        <v>#DIV/0!</v>
      </c>
      <c r="BV32" s="211" t="e">
        <f t="shared" ref="BV32:BV95" si="32">BU32/2</f>
        <v>#DIV/0!</v>
      </c>
      <c r="BW32" s="211" t="e">
        <f t="shared" ref="BW32:BW95" si="33">BU32/2</f>
        <v>#DIV/0!</v>
      </c>
      <c r="BX32" s="218" t="e">
        <f t="shared" si="15"/>
        <v>#DIV/0!</v>
      </c>
      <c r="BY32" s="218" t="e">
        <f t="shared" ref="BY32:BY63" si="34">((($AC$20*BV32*AQ32)/1000000))</f>
        <v>#DIV/0!</v>
      </c>
      <c r="BZ32" s="218" t="e">
        <f t="shared" ref="BZ32:BZ63" si="35">((($AC$20*BV32*AQ32)/1000000))</f>
        <v>#DIV/0!</v>
      </c>
      <c r="CA32" s="225" t="e">
        <f>((($AC$20*BU32*AQ32)/1000000))</f>
        <v>#DIV/0!</v>
      </c>
      <c r="CB32" s="331"/>
      <c r="CC32" s="213" t="e">
        <f>CA32</f>
        <v>#DIV/0!</v>
      </c>
      <c r="CD32" s="226">
        <f>CB32</f>
        <v>0</v>
      </c>
      <c r="CE32" s="227" t="e">
        <f>AVERAGE(AN32)</f>
        <v>#DIV/0!</v>
      </c>
    </row>
    <row r="33" spans="3:84" s="210" customFormat="1" ht="15.75" x14ac:dyDescent="0.3">
      <c r="C33" s="211">
        <v>3</v>
      </c>
      <c r="D33" s="379"/>
      <c r="E33" s="379"/>
      <c r="F33" s="212" t="s">
        <v>128</v>
      </c>
      <c r="G33" s="255">
        <v>0.84375</v>
      </c>
      <c r="H33" s="228">
        <v>0.84375</v>
      </c>
      <c r="I33" s="214">
        <v>-8.7306989999999995</v>
      </c>
      <c r="J33" s="214">
        <v>116.075937</v>
      </c>
      <c r="K33" s="211">
        <f t="shared" si="16"/>
        <v>-0.15237944355057639</v>
      </c>
      <c r="L33" s="211">
        <f t="shared" si="16"/>
        <v>2.0259072829875091</v>
      </c>
      <c r="M33" s="211">
        <v>3443</v>
      </c>
      <c r="N33" s="216">
        <f t="shared" ref="N33:N64" si="36">2*M33*ASIN(((SIN((K33-K32)/2))^2+COS(K32)*COS(K33)*(SIN((L33-L32)/2))^2)^0.5)</f>
        <v>6.3954858739204715E-2</v>
      </c>
      <c r="O33" s="333"/>
      <c r="P33" s="216">
        <f t="shared" si="17"/>
        <v>8.3333333333333037E-2</v>
      </c>
      <c r="Q33" s="335"/>
      <c r="R33" s="217">
        <f t="shared" si="18"/>
        <v>0.7674583048704593</v>
      </c>
      <c r="S33" s="368"/>
      <c r="T33" s="218">
        <f t="shared" si="19"/>
        <v>0.39478055202536422</v>
      </c>
      <c r="U33" s="219">
        <f t="shared" si="20"/>
        <v>-9.7660087751238154E-6</v>
      </c>
      <c r="V33" s="231">
        <f t="shared" si="21"/>
        <v>1.6057029118332622E-5</v>
      </c>
      <c r="W33" s="211">
        <f t="shared" ref="W33:W50" si="37">ATAN2(U33,V33)</f>
        <v>2.1172290548877051</v>
      </c>
      <c r="X33" s="211">
        <f t="shared" ref="X33:X96" si="38">DEGREES(W33)</f>
        <v>121.30828910753762</v>
      </c>
      <c r="Y33" s="219">
        <f t="shared" ref="Y33:Y96" si="39">K33-K32</f>
        <v>-9.6516707635274646E-6</v>
      </c>
      <c r="Z33" s="220">
        <f t="shared" ref="Z33:Z96" si="40">J33-J32</f>
        <v>-9.2000000000780346E-4</v>
      </c>
      <c r="AA33" s="142">
        <f t="shared" ref="AA33:AA96" si="41">IF(AND(Y33&gt;0,Z33&gt;0),X33,IF(AND(Y33&lt;0,Z33&gt;0),X33,IF(AND(Y33&lt;0,Z33&lt;0),360-X33,360-X33)))</f>
        <v>238.69171089246237</v>
      </c>
      <c r="AB33" s="211">
        <v>200</v>
      </c>
      <c r="AC33" s="211">
        <v>13</v>
      </c>
      <c r="AD33" s="211">
        <f t="shared" si="22"/>
        <v>4</v>
      </c>
      <c r="AE33" s="222">
        <f t="shared" si="23"/>
        <v>38.691710892462368</v>
      </c>
      <c r="AF33" s="218">
        <f t="shared" si="0"/>
        <v>1.5095328104740562E-2</v>
      </c>
      <c r="AG33" s="366"/>
      <c r="AH33" s="331"/>
      <c r="AI33" s="339"/>
      <c r="AJ33" s="223">
        <f t="shared" si="1"/>
        <v>2.1600513511114281</v>
      </c>
      <c r="AK33" s="211">
        <f t="shared" si="2"/>
        <v>0.85</v>
      </c>
      <c r="AL33" s="218">
        <f t="shared" si="24"/>
        <v>14.330886011442766</v>
      </c>
      <c r="AM33" s="218">
        <f t="shared" si="25"/>
        <v>26.312132237894691</v>
      </c>
      <c r="AN33" s="218">
        <f t="shared" si="3"/>
        <v>1.0414988629446162</v>
      </c>
      <c r="AO33" s="218">
        <f t="shared" si="26"/>
        <v>0.53574701509871059</v>
      </c>
      <c r="AP33" s="218">
        <f t="shared" si="27"/>
        <v>2.048549993802844E-2</v>
      </c>
      <c r="AQ33" s="217">
        <f t="shared" si="4"/>
        <v>6.140655646842088E-2</v>
      </c>
      <c r="AR33" s="211">
        <f t="shared" si="5"/>
        <v>31441314.724479891</v>
      </c>
      <c r="AS33" s="211">
        <f t="shared" si="28"/>
        <v>2.4815936950632884E-3</v>
      </c>
      <c r="AT33" s="218">
        <f t="shared" si="6"/>
        <v>11.766821263910169</v>
      </c>
      <c r="AU33" s="211">
        <f t="shared" si="7"/>
        <v>454.41164481246574</v>
      </c>
      <c r="AV33" s="339"/>
      <c r="AW33" s="339"/>
      <c r="AX33" s="356"/>
      <c r="AY33" s="339"/>
      <c r="AZ33" s="339"/>
      <c r="BA33" s="331"/>
      <c r="BB33" s="331"/>
      <c r="BC33" s="331"/>
      <c r="BD33" s="339"/>
      <c r="BE33" s="339"/>
      <c r="BF33" s="339"/>
      <c r="BG33" s="339"/>
      <c r="BH33" s="337"/>
      <c r="BI33" s="331"/>
      <c r="BJ33" s="331"/>
      <c r="BK33" s="331"/>
      <c r="BL33" s="218">
        <f t="shared" si="8"/>
        <v>-2.4924310537406995E-104</v>
      </c>
      <c r="BM33" s="217">
        <f t="shared" si="29"/>
        <v>9.5701622711639867E-29</v>
      </c>
      <c r="BN33" s="217">
        <f t="shared" si="9"/>
        <v>107.90819362349332</v>
      </c>
      <c r="BO33" s="217">
        <f t="shared" si="10"/>
        <v>1.1430237746077876</v>
      </c>
      <c r="BP33" s="217">
        <f t="shared" si="30"/>
        <v>1.3144773407989558</v>
      </c>
      <c r="BQ33" s="218">
        <f t="shared" si="31"/>
        <v>0.70422731174793118</v>
      </c>
      <c r="BR33" s="218">
        <f t="shared" si="11"/>
        <v>0.38980470321933341</v>
      </c>
      <c r="BS33" s="224">
        <f t="shared" si="12"/>
        <v>1.6835631564244884</v>
      </c>
      <c r="BT33" s="218">
        <f t="shared" si="13"/>
        <v>1.7179215881882535</v>
      </c>
      <c r="BU33" s="211">
        <f t="shared" si="14"/>
        <v>2.0623308381611687</v>
      </c>
      <c r="BV33" s="211">
        <f t="shared" si="32"/>
        <v>1.0311654190805843</v>
      </c>
      <c r="BW33" s="211">
        <f t="shared" si="33"/>
        <v>1.0311654190805843</v>
      </c>
      <c r="BX33" s="229">
        <f t="shared" si="15"/>
        <v>9.820623038862708E-2</v>
      </c>
      <c r="BY33" s="218">
        <f t="shared" si="34"/>
        <v>1.1347000902281816E-5</v>
      </c>
      <c r="BZ33" s="218">
        <f t="shared" si="35"/>
        <v>1.1347000902281816E-5</v>
      </c>
      <c r="CA33" s="225" t="s">
        <v>317</v>
      </c>
      <c r="CB33" s="331"/>
      <c r="CC33" s="390">
        <f>SUM(CA33:CA37)*1000</f>
        <v>3.6200806449991213E-2</v>
      </c>
      <c r="CD33" s="409">
        <f>SUM(CB33:CB37)</f>
        <v>0</v>
      </c>
      <c r="CE33" s="414">
        <f>AVERAGE(AN33:AN37)</f>
        <v>0.93043842297181401</v>
      </c>
      <c r="CF33" s="230"/>
    </row>
    <row r="34" spans="3:84" ht="15.75" x14ac:dyDescent="0.3">
      <c r="C34" s="13">
        <v>4</v>
      </c>
      <c r="D34" s="379"/>
      <c r="E34" s="379"/>
      <c r="F34" s="19" t="s">
        <v>128</v>
      </c>
      <c r="G34" s="256"/>
      <c r="H34" s="55">
        <v>0.84583333333333333</v>
      </c>
      <c r="I34" s="46">
        <v>-8.730969</v>
      </c>
      <c r="J34" s="46">
        <v>116.075441</v>
      </c>
      <c r="K34" s="13">
        <f t="shared" si="16"/>
        <v>-0.15238415593955679</v>
      </c>
      <c r="L34" s="13">
        <f t="shared" si="16"/>
        <v>2.0258986261544192</v>
      </c>
      <c r="M34" s="13">
        <v>3443</v>
      </c>
      <c r="N34" s="89">
        <f t="shared" si="36"/>
        <v>3.3632428014500879E-2</v>
      </c>
      <c r="O34" s="331">
        <f>SUM(N34:N38)</f>
        <v>0.17021416636215272</v>
      </c>
      <c r="P34" s="89">
        <f t="shared" si="17"/>
        <v>4.9999999999999822E-2</v>
      </c>
      <c r="Q34" s="343">
        <f>SUM(P34:P38)</f>
        <v>0.24999999999999911</v>
      </c>
      <c r="R34" s="20">
        <f t="shared" si="18"/>
        <v>0.67264856029001996</v>
      </c>
      <c r="S34" s="346">
        <f>AVERAGE(R34:R38)</f>
        <v>0.6808566654486129</v>
      </c>
      <c r="T34" s="15">
        <f t="shared" si="19"/>
        <v>0.34601041941318622</v>
      </c>
      <c r="U34" s="130">
        <f t="shared" si="20"/>
        <v>-4.7682193361818167E-6</v>
      </c>
      <c r="V34" s="13">
        <f t="shared" si="21"/>
        <v>8.6568330899261525E-6</v>
      </c>
      <c r="W34" s="13">
        <f t="shared" si="37"/>
        <v>2.0742566950536174</v>
      </c>
      <c r="X34" s="13">
        <f t="shared" si="38"/>
        <v>118.8461542533269</v>
      </c>
      <c r="Y34" s="130">
        <f t="shared" si="39"/>
        <v>-4.7123889803935004E-6</v>
      </c>
      <c r="Z34" s="141">
        <f t="shared" si="40"/>
        <v>-4.959999999982756E-4</v>
      </c>
      <c r="AA34" s="142">
        <f t="shared" si="41"/>
        <v>241.15384574667308</v>
      </c>
      <c r="AB34" s="13">
        <v>200</v>
      </c>
      <c r="AC34" s="13">
        <v>13</v>
      </c>
      <c r="AD34" s="13">
        <f t="shared" si="22"/>
        <v>4</v>
      </c>
      <c r="AE34" s="161">
        <f t="shared" si="23"/>
        <v>41.153845746673085</v>
      </c>
      <c r="AF34" s="15">
        <f t="shared" si="0"/>
        <v>1.3230491679249078E-2</v>
      </c>
      <c r="AG34" s="366"/>
      <c r="AH34" s="331"/>
      <c r="AI34" s="339"/>
      <c r="AJ34" s="85">
        <f t="shared" si="1"/>
        <v>2.165225825474153</v>
      </c>
      <c r="AK34" s="13">
        <f t="shared" si="2"/>
        <v>0.85</v>
      </c>
      <c r="AL34" s="15">
        <f t="shared" si="24"/>
        <v>14.330886011442766</v>
      </c>
      <c r="AM34" s="15">
        <f t="shared" si="25"/>
        <v>26.37516381981683</v>
      </c>
      <c r="AN34" s="15">
        <f t="shared" si="3"/>
        <v>0.91361637619652847</v>
      </c>
      <c r="AO34" s="15">
        <f t="shared" si="26"/>
        <v>0.46996426391549423</v>
      </c>
      <c r="AP34" s="15">
        <f t="shared" si="27"/>
        <v>1.7970147528572965E-2</v>
      </c>
      <c r="AQ34" s="20">
        <f t="shared" si="4"/>
        <v>3.6812418090091448E-2</v>
      </c>
      <c r="AR34" s="13">
        <f t="shared" si="5"/>
        <v>27580731.043929517</v>
      </c>
      <c r="AS34" s="13">
        <f t="shared" si="28"/>
        <v>2.5337674187533707E-3</v>
      </c>
      <c r="AT34" s="15">
        <f t="shared" si="6"/>
        <v>9.2449672635734697</v>
      </c>
      <c r="AU34" s="13">
        <f t="shared" si="7"/>
        <v>357.02257102882203</v>
      </c>
      <c r="AV34" s="339"/>
      <c r="AW34" s="339"/>
      <c r="AX34" s="356"/>
      <c r="AY34" s="339"/>
      <c r="AZ34" s="339"/>
      <c r="BA34" s="331"/>
      <c r="BB34" s="331"/>
      <c r="BC34" s="331"/>
      <c r="BD34" s="339"/>
      <c r="BE34" s="339"/>
      <c r="BF34" s="339"/>
      <c r="BG34" s="339"/>
      <c r="BH34" s="337"/>
      <c r="BI34" s="331"/>
      <c r="BJ34" s="331"/>
      <c r="BK34" s="331"/>
      <c r="BL34" s="15">
        <f t="shared" si="8"/>
        <v>-2.4985152620548907E-135</v>
      </c>
      <c r="BM34" s="20">
        <f t="shared" si="29"/>
        <v>2.6945189440529431E-33</v>
      </c>
      <c r="BN34" s="20">
        <f t="shared" si="9"/>
        <v>83.035646871159813</v>
      </c>
      <c r="BO34" s="20">
        <f t="shared" si="10"/>
        <v>0.8963062358929742</v>
      </c>
      <c r="BP34" s="20">
        <f t="shared" si="30"/>
        <v>1.0307521712769203</v>
      </c>
      <c r="BQ34" s="15">
        <f t="shared" si="31"/>
        <v>0.48441668545345529</v>
      </c>
      <c r="BR34" s="15">
        <f t="shared" si="11"/>
        <v>0.34194176590142727</v>
      </c>
      <c r="BS34" s="6">
        <f t="shared" si="12"/>
        <v>1.1580722167143407</v>
      </c>
      <c r="BT34" s="15">
        <f t="shared" si="13"/>
        <v>1.181706343586062</v>
      </c>
      <c r="BU34" s="13">
        <f t="shared" si="14"/>
        <v>1.4186150583266051</v>
      </c>
      <c r="BV34" s="13">
        <f t="shared" si="32"/>
        <v>0.70930752916330253</v>
      </c>
      <c r="BW34" s="13">
        <f t="shared" si="33"/>
        <v>0.70930752916330253</v>
      </c>
      <c r="BX34" s="139">
        <f t="shared" si="15"/>
        <v>6.7553098015552621E-2</v>
      </c>
      <c r="BY34" s="15">
        <f t="shared" si="34"/>
        <v>4.6791494969872531E-6</v>
      </c>
      <c r="BZ34" s="15">
        <f t="shared" si="35"/>
        <v>4.6791494969872531E-6</v>
      </c>
      <c r="CA34" s="66">
        <f t="shared" ref="CA34:CA65" si="42">((($AC$20*BU34*AQ34)/1000000))</f>
        <v>9.3582989939745062E-6</v>
      </c>
      <c r="CB34" s="331"/>
      <c r="CC34" s="390"/>
      <c r="CD34" s="409"/>
      <c r="CE34" s="414"/>
      <c r="CF34" s="115"/>
    </row>
    <row r="35" spans="3:84" ht="15.75" x14ac:dyDescent="0.3">
      <c r="C35" s="13">
        <v>5</v>
      </c>
      <c r="D35" s="379"/>
      <c r="E35" s="379"/>
      <c r="F35" s="19" t="s">
        <v>128</v>
      </c>
      <c r="G35" s="256"/>
      <c r="H35" s="55">
        <v>0.84791666666666676</v>
      </c>
      <c r="I35" s="46">
        <v>-8.7312550000000009</v>
      </c>
      <c r="J35" s="46">
        <v>116.074958</v>
      </c>
      <c r="K35" s="13">
        <f t="shared" si="16"/>
        <v>-0.15238914758121752</v>
      </c>
      <c r="L35" s="13">
        <f t="shared" si="16"/>
        <v>2.025890196214132</v>
      </c>
      <c r="M35" s="13">
        <v>3443</v>
      </c>
      <c r="N35" s="89">
        <f t="shared" si="36"/>
        <v>3.344195135383863E-2</v>
      </c>
      <c r="O35" s="331"/>
      <c r="P35" s="89">
        <f t="shared" si="17"/>
        <v>5.0000000000002487E-2</v>
      </c>
      <c r="Q35" s="344"/>
      <c r="R35" s="20">
        <f t="shared" si="18"/>
        <v>0.66883902707673937</v>
      </c>
      <c r="S35" s="347"/>
      <c r="T35" s="15">
        <f t="shared" si="19"/>
        <v>0.34405079552827472</v>
      </c>
      <c r="U35" s="130">
        <f t="shared" si="20"/>
        <v>-5.0507842658844828E-6</v>
      </c>
      <c r="V35" s="13">
        <f t="shared" si="21"/>
        <v>8.4299402871579332E-6</v>
      </c>
      <c r="W35" s="13">
        <f t="shared" si="37"/>
        <v>2.1105893307236863</v>
      </c>
      <c r="X35" s="13">
        <f t="shared" si="38"/>
        <v>120.92786093580831</v>
      </c>
      <c r="Y35" s="130">
        <f t="shared" si="39"/>
        <v>-4.9916416607342917E-6</v>
      </c>
      <c r="Z35" s="141">
        <f t="shared" si="40"/>
        <v>-4.8300000000267573E-4</v>
      </c>
      <c r="AA35" s="142">
        <f t="shared" si="41"/>
        <v>239.07213906419167</v>
      </c>
      <c r="AB35" s="13">
        <v>200</v>
      </c>
      <c r="AC35" s="13">
        <v>13</v>
      </c>
      <c r="AD35" s="13">
        <f t="shared" si="22"/>
        <v>4</v>
      </c>
      <c r="AE35" s="161">
        <f t="shared" si="23"/>
        <v>39.072139064191674</v>
      </c>
      <c r="AF35" s="15">
        <f t="shared" si="0"/>
        <v>1.3155561023843527E-2</v>
      </c>
      <c r="AG35" s="366"/>
      <c r="AH35" s="331"/>
      <c r="AI35" s="339"/>
      <c r="AJ35" s="85">
        <f t="shared" si="1"/>
        <v>2.1654323302176266</v>
      </c>
      <c r="AK35" s="13">
        <f t="shared" si="2"/>
        <v>0.85</v>
      </c>
      <c r="AL35" s="15">
        <f t="shared" si="24"/>
        <v>14.330886011442766</v>
      </c>
      <c r="AM35" s="15">
        <f t="shared" si="25"/>
        <v>26.377679306365444</v>
      </c>
      <c r="AN35" s="15">
        <f>R35/(1-(0.01*AM35))</f>
        <v>0.90847316516955123</v>
      </c>
      <c r="AO35" s="15">
        <f t="shared" si="26"/>
        <v>0.46731859616321714</v>
      </c>
      <c r="AP35" s="15">
        <f t="shared" si="27"/>
        <v>1.7868984432843297E-2</v>
      </c>
      <c r="AQ35" s="20">
        <f t="shared" si="4"/>
        <v>3.6811160346819104E-2</v>
      </c>
      <c r="AR35" s="13">
        <f t="shared" si="5"/>
        <v>27425465.087962549</v>
      </c>
      <c r="AS35" s="13">
        <f t="shared" si="28"/>
        <v>2.5360526135100397E-3</v>
      </c>
      <c r="AT35" s="15">
        <f t="shared" si="6"/>
        <v>9.1494153939888143</v>
      </c>
      <c r="AU35" s="13">
        <f t="shared" si="7"/>
        <v>353.33254453406749</v>
      </c>
      <c r="AV35" s="339"/>
      <c r="AW35" s="339"/>
      <c r="AX35" s="356"/>
      <c r="AY35" s="339"/>
      <c r="AZ35" s="339"/>
      <c r="BA35" s="331"/>
      <c r="BB35" s="331"/>
      <c r="BC35" s="331"/>
      <c r="BD35" s="339"/>
      <c r="BE35" s="339"/>
      <c r="BF35" s="339"/>
      <c r="BG35" s="339"/>
      <c r="BH35" s="337"/>
      <c r="BI35" s="331"/>
      <c r="BJ35" s="331"/>
      <c r="BK35" s="331"/>
      <c r="BL35" s="15">
        <f t="shared" si="8"/>
        <v>-7.4234401114652757E-137</v>
      </c>
      <c r="BM35" s="15">
        <f t="shared" si="29"/>
        <v>1.6675277877383775E-33</v>
      </c>
      <c r="BN35" s="20">
        <f t="shared" si="9"/>
        <v>82.103378647740769</v>
      </c>
      <c r="BO35" s="20">
        <f t="shared" si="10"/>
        <v>0.88696836459452477</v>
      </c>
      <c r="BP35" s="20">
        <f t="shared" si="30"/>
        <v>1.0200136192837035</v>
      </c>
      <c r="BQ35" s="15">
        <f t="shared" si="31"/>
        <v>0.47667133263102252</v>
      </c>
      <c r="BR35" s="15">
        <f t="shared" si="11"/>
        <v>0.34001680187189681</v>
      </c>
      <c r="BS35" s="6">
        <f t="shared" si="12"/>
        <v>1.1395557655233315</v>
      </c>
      <c r="BT35" s="15">
        <f t="shared" si="13"/>
        <v>1.1628120056360525</v>
      </c>
      <c r="BU35" s="13">
        <f t="shared" si="14"/>
        <v>1.3959327798752132</v>
      </c>
      <c r="BV35" s="13">
        <f t="shared" si="32"/>
        <v>0.69796638993760662</v>
      </c>
      <c r="BW35" s="13">
        <f t="shared" si="33"/>
        <v>0.69796638993760662</v>
      </c>
      <c r="BX35" s="139">
        <f t="shared" si="15"/>
        <v>6.6472989517867301E-2</v>
      </c>
      <c r="BY35" s="15">
        <f t="shared" si="34"/>
        <v>4.6041771232457192E-6</v>
      </c>
      <c r="BZ35" s="15">
        <f t="shared" si="35"/>
        <v>4.6041771232457192E-6</v>
      </c>
      <c r="CA35" s="66">
        <f t="shared" si="42"/>
        <v>9.2083542464914384E-6</v>
      </c>
      <c r="CB35" s="331"/>
      <c r="CC35" s="390"/>
      <c r="CD35" s="409"/>
      <c r="CE35" s="414"/>
      <c r="CF35" s="115"/>
    </row>
    <row r="36" spans="3:84" ht="15.75" x14ac:dyDescent="0.3">
      <c r="C36" s="13">
        <v>6</v>
      </c>
      <c r="D36" s="379"/>
      <c r="E36" s="379"/>
      <c r="F36" s="19" t="s">
        <v>128</v>
      </c>
      <c r="G36" s="256"/>
      <c r="H36" s="55">
        <v>0.85</v>
      </c>
      <c r="I36" s="46">
        <v>-8.731503</v>
      </c>
      <c r="J36" s="46">
        <v>116.074479</v>
      </c>
      <c r="K36" s="13">
        <f t="shared" si="16"/>
        <v>-0.15239347599776246</v>
      </c>
      <c r="L36" s="13">
        <f t="shared" si="16"/>
        <v>2.0258818360870152</v>
      </c>
      <c r="M36" s="13">
        <v>3443</v>
      </c>
      <c r="N36" s="89">
        <f t="shared" si="36"/>
        <v>3.2117181255037659E-2</v>
      </c>
      <c r="O36" s="331"/>
      <c r="P36" s="89">
        <f t="shared" si="17"/>
        <v>4.9999999999997158E-2</v>
      </c>
      <c r="Q36" s="344"/>
      <c r="R36" s="20">
        <f t="shared" si="18"/>
        <v>0.64234362510078968</v>
      </c>
      <c r="S36" s="347"/>
      <c r="T36" s="15">
        <f t="shared" si="19"/>
        <v>0.3304215607518462</v>
      </c>
      <c r="U36" s="130">
        <f t="shared" si="20"/>
        <v>-4.3797041927652237E-6</v>
      </c>
      <c r="V36" s="13">
        <f t="shared" si="21"/>
        <v>8.3601271168021185E-6</v>
      </c>
      <c r="W36" s="13">
        <f t="shared" si="37"/>
        <v>2.0533649976804149</v>
      </c>
      <c r="X36" s="13">
        <f t="shared" si="38"/>
        <v>117.64914816697785</v>
      </c>
      <c r="Y36" s="130">
        <f t="shared" si="39"/>
        <v>-4.3284165449353207E-6</v>
      </c>
      <c r="Z36" s="141">
        <f t="shared" si="40"/>
        <v>-4.7899999999856391E-4</v>
      </c>
      <c r="AA36" s="142">
        <f t="shared" si="41"/>
        <v>242.35085183302215</v>
      </c>
      <c r="AB36" s="13">
        <v>200</v>
      </c>
      <c r="AC36" s="13">
        <v>13</v>
      </c>
      <c r="AD36" s="13">
        <f t="shared" si="22"/>
        <v>4</v>
      </c>
      <c r="AE36" s="161">
        <f t="shared" si="23"/>
        <v>42.350851833022148</v>
      </c>
      <c r="AF36" s="15">
        <f t="shared" si="0"/>
        <v>1.2634416378517862E-2</v>
      </c>
      <c r="AG36" s="366"/>
      <c r="AH36" s="331"/>
      <c r="AI36" s="339"/>
      <c r="AJ36" s="85">
        <f t="shared" si="1"/>
        <v>2.1668655628246154</v>
      </c>
      <c r="AK36" s="13">
        <f t="shared" si="2"/>
        <v>0.85</v>
      </c>
      <c r="AL36" s="15">
        <f t="shared" si="24"/>
        <v>14.330886011442766</v>
      </c>
      <c r="AM36" s="15">
        <f t="shared" si="25"/>
        <v>26.395137875516287</v>
      </c>
      <c r="AN36" s="15">
        <f t="shared" si="3"/>
        <v>0.87269183931685168</v>
      </c>
      <c r="AO36" s="15">
        <f t="shared" si="26"/>
        <v>0.44891268214458846</v>
      </c>
      <c r="AP36" s="15">
        <f t="shared" si="27"/>
        <v>1.7165192643320209E-2</v>
      </c>
      <c r="AQ36" s="20">
        <f t="shared" si="4"/>
        <v>3.6802431062239765E-2</v>
      </c>
      <c r="AR36" s="13">
        <f t="shared" si="5"/>
        <v>26345279.62888949</v>
      </c>
      <c r="AS36" s="13">
        <f t="shared" si="28"/>
        <v>2.5524078257079586E-3</v>
      </c>
      <c r="AT36" s="15">
        <f t="shared" si="6"/>
        <v>8.4973357078001701</v>
      </c>
      <c r="AU36" s="13">
        <f t="shared" si="7"/>
        <v>328.15050121888657</v>
      </c>
      <c r="AV36" s="339"/>
      <c r="AW36" s="339"/>
      <c r="AX36" s="356"/>
      <c r="AY36" s="339"/>
      <c r="AZ36" s="339"/>
      <c r="BA36" s="331"/>
      <c r="BB36" s="331"/>
      <c r="BC36" s="331"/>
      <c r="BD36" s="339"/>
      <c r="BE36" s="339"/>
      <c r="BF36" s="339"/>
      <c r="BG36" s="339"/>
      <c r="BH36" s="337"/>
      <c r="BI36" s="331"/>
      <c r="BJ36" s="331"/>
      <c r="BK36" s="331"/>
      <c r="BL36" s="15">
        <f t="shared" si="8"/>
        <v>-3.0795050897215943E-148</v>
      </c>
      <c r="BM36" s="20">
        <f t="shared" si="29"/>
        <v>5.1012668195472365E-35</v>
      </c>
      <c r="BN36" s="20">
        <f t="shared" si="9"/>
        <v>75.763259711970989</v>
      </c>
      <c r="BO36" s="20">
        <f t="shared" si="10"/>
        <v>0.82326544324350748</v>
      </c>
      <c r="BP36" s="20">
        <f t="shared" si="30"/>
        <v>0.9467552597300336</v>
      </c>
      <c r="BQ36" s="15">
        <f t="shared" si="31"/>
        <v>0.42501044297990587</v>
      </c>
      <c r="BR36" s="15">
        <f t="shared" si="11"/>
        <v>0.32662482459659609</v>
      </c>
      <c r="BS36" s="6">
        <f t="shared" si="12"/>
        <v>1.0160525031621259</v>
      </c>
      <c r="BT36" s="15">
        <f t="shared" si="13"/>
        <v>1.0367882685327816</v>
      </c>
      <c r="BU36" s="13">
        <f t="shared" si="14"/>
        <v>1.2446437797512386</v>
      </c>
      <c r="BV36" s="13">
        <f t="shared" si="32"/>
        <v>0.62232188987561932</v>
      </c>
      <c r="BW36" s="13">
        <f t="shared" si="33"/>
        <v>0.62232188987561932</v>
      </c>
      <c r="BX36" s="139">
        <f t="shared" si="15"/>
        <v>5.9268751416725649E-2</v>
      </c>
      <c r="BY36" s="15">
        <f t="shared" si="34"/>
        <v>4.1042101543601082E-6</v>
      </c>
      <c r="BZ36" s="15">
        <f t="shared" si="35"/>
        <v>4.1042101543601082E-6</v>
      </c>
      <c r="CA36" s="66">
        <f t="shared" si="42"/>
        <v>8.2084203087202165E-6</v>
      </c>
      <c r="CB36" s="331"/>
      <c r="CC36" s="390"/>
      <c r="CD36" s="409"/>
      <c r="CE36" s="414"/>
      <c r="CF36" s="115"/>
    </row>
    <row r="37" spans="3:84" ht="15.75" x14ac:dyDescent="0.3">
      <c r="C37" s="13">
        <v>7</v>
      </c>
      <c r="D37" s="379"/>
      <c r="E37" s="379"/>
      <c r="F37" s="19" t="s">
        <v>128</v>
      </c>
      <c r="G37" s="257"/>
      <c r="H37" s="55">
        <v>0.8520833333333333</v>
      </c>
      <c r="I37" s="46">
        <v>-8.7318010000000008</v>
      </c>
      <c r="J37" s="46">
        <v>116.073998</v>
      </c>
      <c r="K37" s="13">
        <f t="shared" si="16"/>
        <v>-0.1523986770789334</v>
      </c>
      <c r="L37" s="13">
        <f t="shared" si="16"/>
        <v>2.0258734410533132</v>
      </c>
      <c r="M37" s="13">
        <v>3443</v>
      </c>
      <c r="N37" s="89">
        <f t="shared" si="36"/>
        <v>3.3717445107655633E-2</v>
      </c>
      <c r="O37" s="331"/>
      <c r="P37" s="89">
        <f t="shared" si="17"/>
        <v>4.9999999999999822E-2</v>
      </c>
      <c r="Q37" s="344"/>
      <c r="R37" s="20">
        <f t="shared" si="18"/>
        <v>0.67434890215311505</v>
      </c>
      <c r="S37" s="347"/>
      <c r="T37" s="15">
        <f t="shared" si="19"/>
        <v>0.34688507526756235</v>
      </c>
      <c r="U37" s="130">
        <f t="shared" si="20"/>
        <v>-5.2627129416716631E-6</v>
      </c>
      <c r="V37" s="13">
        <f t="shared" si="21"/>
        <v>8.3950337019800259E-6</v>
      </c>
      <c r="W37" s="13">
        <f t="shared" si="37"/>
        <v>2.1307493358977525</v>
      </c>
      <c r="X37" s="13">
        <f t="shared" si="38"/>
        <v>122.08294414724422</v>
      </c>
      <c r="Y37" s="130">
        <f t="shared" si="39"/>
        <v>-5.2010811709413129E-6</v>
      </c>
      <c r="Z37" s="141">
        <f t="shared" si="40"/>
        <v>-4.8099999999351439E-4</v>
      </c>
      <c r="AA37" s="142">
        <f t="shared" si="41"/>
        <v>237.91705585275577</v>
      </c>
      <c r="AB37" s="13">
        <v>200</v>
      </c>
      <c r="AC37" s="13">
        <v>13</v>
      </c>
      <c r="AD37" s="13">
        <f t="shared" si="22"/>
        <v>4</v>
      </c>
      <c r="AE37" s="161">
        <f t="shared" si="23"/>
        <v>37.917055852755766</v>
      </c>
      <c r="AF37" s="15">
        <f t="shared" si="0"/>
        <v>1.3263936125873418E-2</v>
      </c>
      <c r="AG37" s="366"/>
      <c r="AH37" s="331"/>
      <c r="AI37" s="339"/>
      <c r="AJ37" s="85">
        <f t="shared" si="1"/>
        <v>2.1651336192702697</v>
      </c>
      <c r="AK37" s="13">
        <f t="shared" si="2"/>
        <v>0.85</v>
      </c>
      <c r="AL37" s="15">
        <f t="shared" si="24"/>
        <v>14.330886011442766</v>
      </c>
      <c r="AM37" s="15">
        <f t="shared" si="25"/>
        <v>26.374040632709043</v>
      </c>
      <c r="AN37" s="15">
        <f t="shared" si="3"/>
        <v>0.91591187123152262</v>
      </c>
      <c r="AO37" s="15">
        <f t="shared" si="26"/>
        <v>0.47114506656149518</v>
      </c>
      <c r="AP37" s="15">
        <f t="shared" si="27"/>
        <v>1.801529819082541E-2</v>
      </c>
      <c r="AQ37" s="20">
        <f t="shared" si="4"/>
        <v>3.6812979683645344E-2</v>
      </c>
      <c r="AR37" s="13">
        <f t="shared" si="5"/>
        <v>27650028.653760482</v>
      </c>
      <c r="AS37" s="13">
        <f t="shared" si="28"/>
        <v>2.5327526413623166E-3</v>
      </c>
      <c r="AT37" s="15">
        <f t="shared" si="6"/>
        <v>9.2877610203337611</v>
      </c>
      <c r="AU37" s="13">
        <f t="shared" si="7"/>
        <v>358.67518229579105</v>
      </c>
      <c r="AV37" s="339"/>
      <c r="AW37" s="339"/>
      <c r="AX37" s="356"/>
      <c r="AY37" s="339"/>
      <c r="AZ37" s="339"/>
      <c r="BA37" s="331"/>
      <c r="BB37" s="331"/>
      <c r="BC37" s="331"/>
      <c r="BD37" s="339"/>
      <c r="BE37" s="339"/>
      <c r="BF37" s="339"/>
      <c r="BG37" s="339"/>
      <c r="BH37" s="337"/>
      <c r="BI37" s="331"/>
      <c r="BJ37" s="331"/>
      <c r="BK37" s="331"/>
      <c r="BL37" s="15">
        <f t="shared" si="8"/>
        <v>-1.177475273107336E-134</v>
      </c>
      <c r="BM37" s="20">
        <f t="shared" si="29"/>
        <v>3.3325697460948441E-33</v>
      </c>
      <c r="BN37" s="20">
        <f t="shared" si="9"/>
        <v>83.453431347929765</v>
      </c>
      <c r="BO37" s="20">
        <f t="shared" si="10"/>
        <v>0.90048854465357009</v>
      </c>
      <c r="BP37" s="20">
        <f t="shared" si="30"/>
        <v>1.0355618263516055</v>
      </c>
      <c r="BQ37" s="15">
        <f t="shared" si="31"/>
        <v>0.48789984560497068</v>
      </c>
      <c r="BR37" s="15">
        <f t="shared" si="11"/>
        <v>0.34280090727228529</v>
      </c>
      <c r="BS37" s="6">
        <f t="shared" si="12"/>
        <v>1.1663992440834754</v>
      </c>
      <c r="BT37" s="15">
        <f t="shared" si="13"/>
        <v>1.1902033102892606</v>
      </c>
      <c r="BU37" s="13">
        <f t="shared" si="14"/>
        <v>1.4288154985465313</v>
      </c>
      <c r="BV37" s="13">
        <f t="shared" si="32"/>
        <v>0.71440774927326567</v>
      </c>
      <c r="BW37" s="13">
        <f t="shared" si="33"/>
        <v>0.71440774927326567</v>
      </c>
      <c r="BX37" s="139">
        <f t="shared" si="15"/>
        <v>6.8038833264120538E-2</v>
      </c>
      <c r="BY37" s="15">
        <f t="shared" si="34"/>
        <v>4.7128664504025256E-6</v>
      </c>
      <c r="BZ37" s="15">
        <f t="shared" si="35"/>
        <v>4.7128664504025256E-6</v>
      </c>
      <c r="CA37" s="66">
        <f t="shared" si="42"/>
        <v>9.4257329008050512E-6</v>
      </c>
      <c r="CB37" s="331"/>
      <c r="CC37" s="390"/>
      <c r="CD37" s="409"/>
      <c r="CE37" s="414"/>
      <c r="CF37" s="115"/>
    </row>
    <row r="38" spans="3:84" s="109" customFormat="1" ht="15.75" x14ac:dyDescent="0.3">
      <c r="C38" s="100">
        <v>8</v>
      </c>
      <c r="D38" s="379"/>
      <c r="E38" s="379"/>
      <c r="F38" s="163" t="s">
        <v>128</v>
      </c>
      <c r="G38" s="340">
        <v>0.85416666666666663</v>
      </c>
      <c r="H38" s="110">
        <v>0.85416666666666663</v>
      </c>
      <c r="I38" s="164">
        <v>-8.732113</v>
      </c>
      <c r="J38" s="100">
        <v>116.073455</v>
      </c>
      <c r="K38" s="100">
        <f t="shared" si="16"/>
        <v>-0.15240412250619961</v>
      </c>
      <c r="L38" s="100">
        <f t="shared" si="16"/>
        <v>2.0258639639154747</v>
      </c>
      <c r="M38" s="100">
        <v>3443</v>
      </c>
      <c r="N38" s="102">
        <f t="shared" si="36"/>
        <v>3.7305160631119903E-2</v>
      </c>
      <c r="O38" s="331"/>
      <c r="P38" s="102">
        <f t="shared" si="17"/>
        <v>4.9999999999999822E-2</v>
      </c>
      <c r="Q38" s="345"/>
      <c r="R38" s="103">
        <f t="shared" si="18"/>
        <v>0.74610321262240076</v>
      </c>
      <c r="S38" s="348"/>
      <c r="T38" s="104">
        <f t="shared" si="19"/>
        <v>0.38379549257296292</v>
      </c>
      <c r="U38" s="165">
        <f t="shared" si="20"/>
        <v>-5.5099590184293262E-6</v>
      </c>
      <c r="V38" s="100">
        <f t="shared" si="21"/>
        <v>9.4771378384983507E-6</v>
      </c>
      <c r="W38" s="100">
        <f t="shared" si="37"/>
        <v>2.0974232164516158</v>
      </c>
      <c r="X38" s="100">
        <f t="shared" si="38"/>
        <v>120.17349815543172</v>
      </c>
      <c r="Y38" s="165">
        <f t="shared" si="39"/>
        <v>-5.4454272662152192E-6</v>
      </c>
      <c r="Z38" s="166">
        <f t="shared" si="40"/>
        <v>-5.430000000075097E-4</v>
      </c>
      <c r="AA38" s="167">
        <f t="shared" si="41"/>
        <v>239.82650184456827</v>
      </c>
      <c r="AB38" s="13">
        <v>200</v>
      </c>
      <c r="AC38" s="13">
        <v>13</v>
      </c>
      <c r="AD38" s="13">
        <f t="shared" si="22"/>
        <v>4</v>
      </c>
      <c r="AE38" s="161">
        <f t="shared" si="23"/>
        <v>39.82650184456827</v>
      </c>
      <c r="AF38" s="104">
        <f t="shared" si="0"/>
        <v>1.4675289488771897E-2</v>
      </c>
      <c r="AG38" s="366"/>
      <c r="AH38" s="331"/>
      <c r="AI38" s="339"/>
      <c r="AJ38" s="106">
        <f t="shared" si="1"/>
        <v>2.1612227442987515</v>
      </c>
      <c r="AK38" s="100">
        <f t="shared" si="2"/>
        <v>0.85</v>
      </c>
      <c r="AL38" s="104">
        <f t="shared" si="24"/>
        <v>14.330886011442766</v>
      </c>
      <c r="AM38" s="104">
        <f t="shared" si="25"/>
        <v>26.326401274800485</v>
      </c>
      <c r="AN38" s="104">
        <f t="shared" si="3"/>
        <v>1.0127144941098167</v>
      </c>
      <c r="AO38" s="104">
        <f t="shared" si="26"/>
        <v>0.52094033577008969</v>
      </c>
      <c r="AP38" s="104">
        <f t="shared" si="27"/>
        <v>1.9919333034769102E-2</v>
      </c>
      <c r="AQ38" s="103">
        <f t="shared" si="4"/>
        <v>3.6836799362599627E-2</v>
      </c>
      <c r="AR38" s="100">
        <f t="shared" si="5"/>
        <v>30572357.079032544</v>
      </c>
      <c r="AS38" s="100">
        <f t="shared" si="28"/>
        <v>2.4926190725905501E-3</v>
      </c>
      <c r="AT38" s="104">
        <f t="shared" si="6"/>
        <v>11.174827926629055</v>
      </c>
      <c r="AU38" s="100">
        <f t="shared" si="7"/>
        <v>431.55001888320965</v>
      </c>
      <c r="AV38" s="339"/>
      <c r="AW38" s="339"/>
      <c r="AX38" s="356"/>
      <c r="AY38" s="339"/>
      <c r="AZ38" s="339"/>
      <c r="BA38" s="331"/>
      <c r="BB38" s="331"/>
      <c r="BC38" s="331"/>
      <c r="BD38" s="339"/>
      <c r="BE38" s="339"/>
      <c r="BF38" s="339"/>
      <c r="BG38" s="339"/>
      <c r="BH38" s="337"/>
      <c r="BI38" s="331"/>
      <c r="BJ38" s="331"/>
      <c r="BK38" s="331"/>
      <c r="BL38" s="104">
        <f t="shared" si="8"/>
        <v>-2.6923202659547956E-110</v>
      </c>
      <c r="BM38" s="103">
        <f t="shared" si="29"/>
        <v>1.1272521000222766E-29</v>
      </c>
      <c r="BN38" s="103">
        <f t="shared" si="9"/>
        <v>102.02600316963604</v>
      </c>
      <c r="BO38" s="103">
        <f t="shared" si="10"/>
        <v>1.0850645181804697</v>
      </c>
      <c r="BP38" s="103">
        <f t="shared" si="30"/>
        <v>1.24782419590754</v>
      </c>
      <c r="BQ38" s="104">
        <f t="shared" si="31"/>
        <v>0.65004195559811606</v>
      </c>
      <c r="BR38" s="104">
        <f t="shared" si="11"/>
        <v>0.3790314966895808</v>
      </c>
      <c r="BS38" s="107">
        <f t="shared" si="12"/>
        <v>1.5540247705798047</v>
      </c>
      <c r="BT38" s="104">
        <f t="shared" si="13"/>
        <v>1.5857395618161272</v>
      </c>
      <c r="BU38" s="100">
        <f t="shared" si="14"/>
        <v>1.9036489337528537</v>
      </c>
      <c r="BV38" s="100">
        <f t="shared" si="32"/>
        <v>0.95182446687642686</v>
      </c>
      <c r="BW38" s="100">
        <f t="shared" si="33"/>
        <v>0.95182446687642686</v>
      </c>
      <c r="BX38" s="168">
        <f t="shared" si="15"/>
        <v>9.0649949226326368E-2</v>
      </c>
      <c r="BY38" s="104">
        <f t="shared" si="34"/>
        <v>6.2831403111214597E-6</v>
      </c>
      <c r="BZ38" s="104">
        <f t="shared" si="35"/>
        <v>6.2831403111214597E-6</v>
      </c>
      <c r="CA38" s="208">
        <f t="shared" si="42"/>
        <v>1.2566280622242919E-5</v>
      </c>
      <c r="CB38" s="331"/>
      <c r="CC38" s="390">
        <f t="shared" ref="CC38" si="43">SUM(CA38:CA42)*1000</f>
        <v>13.81474925947524</v>
      </c>
      <c r="CD38" s="410">
        <v>26</v>
      </c>
      <c r="CE38" s="414">
        <f t="shared" ref="CE38" si="44">AVERAGE(AN38:AN42)</f>
        <v>4.2529751812625438</v>
      </c>
      <c r="CF38" s="117"/>
    </row>
    <row r="39" spans="3:84" s="109" customFormat="1" ht="15.75" x14ac:dyDescent="0.3">
      <c r="C39" s="100">
        <v>9</v>
      </c>
      <c r="D39" s="379"/>
      <c r="E39" s="379"/>
      <c r="F39" s="163" t="s">
        <v>128</v>
      </c>
      <c r="G39" s="341"/>
      <c r="H39" s="110">
        <v>0.85624999999999996</v>
      </c>
      <c r="I39" s="164">
        <v>-8.7324230000000007</v>
      </c>
      <c r="J39" s="100">
        <v>116.072926</v>
      </c>
      <c r="K39" s="100">
        <f t="shared" si="16"/>
        <v>-0.15240953302688082</v>
      </c>
      <c r="L39" s="100">
        <f t="shared" si="16"/>
        <v>2.0258547311237316</v>
      </c>
      <c r="M39" s="100">
        <v>3443</v>
      </c>
      <c r="N39" s="102">
        <f t="shared" si="36"/>
        <v>3.6527198402232182E-2</v>
      </c>
      <c r="O39" s="359">
        <f>SUM(N39:N43)</f>
        <v>1.1841056421592533</v>
      </c>
      <c r="P39" s="102">
        <f t="shared" si="17"/>
        <v>4.9999999999999822E-2</v>
      </c>
      <c r="Q39" s="349">
        <f t="shared" ref="Q39" si="45">SUM(P39:P43)</f>
        <v>0.25000000000004174</v>
      </c>
      <c r="R39" s="103">
        <f t="shared" si="18"/>
        <v>0.73054396804464627</v>
      </c>
      <c r="S39" s="352">
        <f t="shared" ref="S39" si="46">AVERAGE(R39:R43)</f>
        <v>4.7364225686355201</v>
      </c>
      <c r="T39" s="104">
        <f t="shared" si="19"/>
        <v>0.37579181716216603</v>
      </c>
      <c r="U39" s="165">
        <f t="shared" si="20"/>
        <v>-5.4746433566932509E-6</v>
      </c>
      <c r="V39" s="100">
        <f t="shared" si="21"/>
        <v>9.2327917431411777E-6</v>
      </c>
      <c r="W39" s="100">
        <f t="shared" si="37"/>
        <v>2.1060206443084617</v>
      </c>
      <c r="X39" s="100">
        <f t="shared" si="38"/>
        <v>120.6660944862972</v>
      </c>
      <c r="Y39" s="165">
        <f t="shared" si="39"/>
        <v>-5.4105206812038453E-6</v>
      </c>
      <c r="Z39" s="166">
        <f t="shared" si="40"/>
        <v>-5.2900000000022374E-4</v>
      </c>
      <c r="AA39" s="167">
        <f t="shared" si="41"/>
        <v>239.3339055137028</v>
      </c>
      <c r="AB39" s="13">
        <v>200</v>
      </c>
      <c r="AC39" s="13">
        <v>13</v>
      </c>
      <c r="AD39" s="13">
        <f t="shared" si="22"/>
        <v>4</v>
      </c>
      <c r="AE39" s="161">
        <f t="shared" si="23"/>
        <v>39.333905513702803</v>
      </c>
      <c r="AF39" s="104">
        <f t="shared" si="0"/>
        <v>1.4369250840844628E-2</v>
      </c>
      <c r="AG39" s="366"/>
      <c r="AH39" s="331"/>
      <c r="AI39" s="339"/>
      <c r="AJ39" s="106">
        <f t="shared" si="1"/>
        <v>2.1620740618115359</v>
      </c>
      <c r="AK39" s="100">
        <f t="shared" si="2"/>
        <v>0.85</v>
      </c>
      <c r="AL39" s="104">
        <f t="shared" si="24"/>
        <v>14.330886011442766</v>
      </c>
      <c r="AM39" s="104">
        <f t="shared" si="25"/>
        <v>26.336771388900456</v>
      </c>
      <c r="AN39" s="104">
        <f t="shared" si="3"/>
        <v>0.99173492910758487</v>
      </c>
      <c r="AO39" s="104">
        <f t="shared" si="26"/>
        <v>0.51014844753294164</v>
      </c>
      <c r="AP39" s="104">
        <f t="shared" si="27"/>
        <v>1.9506680757513627E-2</v>
      </c>
      <c r="AQ39" s="103">
        <f t="shared" si="4"/>
        <v>3.683161430554964E-2</v>
      </c>
      <c r="AR39" s="100">
        <f t="shared" si="5"/>
        <v>29939014.951175671</v>
      </c>
      <c r="AS39" s="100">
        <f t="shared" si="28"/>
        <v>2.5009022225895104E-3</v>
      </c>
      <c r="AT39" s="104">
        <f t="shared" si="6"/>
        <v>10.752236558987731</v>
      </c>
      <c r="AU39" s="100">
        <f t="shared" si="7"/>
        <v>415.23036600954725</v>
      </c>
      <c r="AV39" s="339"/>
      <c r="AW39" s="339"/>
      <c r="AX39" s="356"/>
      <c r="AY39" s="339"/>
      <c r="AZ39" s="339"/>
      <c r="BA39" s="331"/>
      <c r="BB39" s="331"/>
      <c r="BC39" s="331"/>
      <c r="BD39" s="339"/>
      <c r="BE39" s="339"/>
      <c r="BF39" s="339"/>
      <c r="BG39" s="339"/>
      <c r="BH39" s="337"/>
      <c r="BI39" s="331"/>
      <c r="BJ39" s="331"/>
      <c r="BK39" s="331"/>
      <c r="BL39" s="104">
        <f t="shared" si="8"/>
        <v>-5.6265569332874566E-115</v>
      </c>
      <c r="BM39" s="103">
        <f t="shared" si="29"/>
        <v>2.2016843737364955E-30</v>
      </c>
      <c r="BN39" s="103">
        <f t="shared" si="9"/>
        <v>97.842612688509178</v>
      </c>
      <c r="BO39" s="103">
        <f t="shared" si="10"/>
        <v>1.0437061847624058</v>
      </c>
      <c r="BP39" s="103">
        <f t="shared" si="30"/>
        <v>1.2002621124767667</v>
      </c>
      <c r="BQ39" s="104">
        <f t="shared" si="31"/>
        <v>0.61231185331263149</v>
      </c>
      <c r="BR39" s="104">
        <f t="shared" si="11"/>
        <v>0.37117941600055887</v>
      </c>
      <c r="BS39" s="107">
        <f t="shared" si="12"/>
        <v>1.463825187240291</v>
      </c>
      <c r="BT39" s="104">
        <f t="shared" si="13"/>
        <v>1.4936991706533582</v>
      </c>
      <c r="BU39" s="100">
        <f t="shared" si="14"/>
        <v>1.7931562672909465</v>
      </c>
      <c r="BV39" s="100">
        <f t="shared" si="32"/>
        <v>0.89657813364547323</v>
      </c>
      <c r="BW39" s="100">
        <f t="shared" si="33"/>
        <v>0.89657813364547323</v>
      </c>
      <c r="BX39" s="168">
        <f t="shared" si="15"/>
        <v>8.5388393680521257E-2</v>
      </c>
      <c r="BY39" s="104">
        <f t="shared" si="34"/>
        <v>5.9176176663689534E-6</v>
      </c>
      <c r="BZ39" s="104">
        <f t="shared" si="35"/>
        <v>5.9176176663689534E-6</v>
      </c>
      <c r="CA39" s="208">
        <f t="shared" si="42"/>
        <v>1.1835235332737907E-5</v>
      </c>
      <c r="CB39" s="331"/>
      <c r="CC39" s="390"/>
      <c r="CD39" s="410"/>
      <c r="CE39" s="414"/>
      <c r="CF39" s="117"/>
    </row>
    <row r="40" spans="3:84" s="109" customFormat="1" ht="15.75" x14ac:dyDescent="0.3">
      <c r="C40" s="100">
        <v>10</v>
      </c>
      <c r="D40" s="379"/>
      <c r="E40" s="379"/>
      <c r="F40" s="163" t="s">
        <v>128</v>
      </c>
      <c r="G40" s="341"/>
      <c r="H40" s="110">
        <v>0.85833333333333295</v>
      </c>
      <c r="I40" s="164">
        <v>-8.7328320000000001</v>
      </c>
      <c r="J40" s="100">
        <v>116.07198699999999</v>
      </c>
      <c r="K40" s="100">
        <f t="shared" si="16"/>
        <v>-0.15241667142352144</v>
      </c>
      <c r="L40" s="100">
        <f t="shared" si="16"/>
        <v>2.0258383424820554</v>
      </c>
      <c r="M40" s="100">
        <v>3443</v>
      </c>
      <c r="N40" s="102">
        <f t="shared" si="36"/>
        <v>6.0947248637642545E-2</v>
      </c>
      <c r="O40" s="359"/>
      <c r="P40" s="102">
        <f t="shared" si="17"/>
        <v>4.9999999999991829E-2</v>
      </c>
      <c r="Q40" s="350"/>
      <c r="R40" s="103">
        <f t="shared" si="18"/>
        <v>1.2189449727530501</v>
      </c>
      <c r="S40" s="353"/>
      <c r="T40" s="104">
        <f t="shared" si="19"/>
        <v>0.62702529398416895</v>
      </c>
      <c r="U40" s="165">
        <f t="shared" si="20"/>
        <v>-7.2230042011164226E-6</v>
      </c>
      <c r="V40" s="100">
        <f t="shared" si="21"/>
        <v>1.6388641676190474E-5</v>
      </c>
      <c r="W40" s="100">
        <f t="shared" si="37"/>
        <v>1.9859165814142652</v>
      </c>
      <c r="X40" s="100">
        <f t="shared" si="38"/>
        <v>113.78463858008594</v>
      </c>
      <c r="Y40" s="165">
        <f t="shared" si="39"/>
        <v>-7.1383966406268762E-6</v>
      </c>
      <c r="Z40" s="166">
        <f t="shared" si="40"/>
        <v>-9.3900000000246564E-4</v>
      </c>
      <c r="AA40" s="167">
        <f t="shared" si="41"/>
        <v>246.21536141991407</v>
      </c>
      <c r="AB40" s="13">
        <v>200</v>
      </c>
      <c r="AC40" s="13">
        <v>13</v>
      </c>
      <c r="AD40" s="13">
        <f t="shared" si="22"/>
        <v>4</v>
      </c>
      <c r="AE40" s="161">
        <f t="shared" si="23"/>
        <v>46.215361419914075</v>
      </c>
      <c r="AF40" s="104">
        <f t="shared" si="0"/>
        <v>2.3975731565556737E-2</v>
      </c>
      <c r="AG40" s="366"/>
      <c r="AH40" s="331"/>
      <c r="AI40" s="339"/>
      <c r="AJ40" s="106">
        <f t="shared" si="1"/>
        <v>2.1344847647563032</v>
      </c>
      <c r="AK40" s="100">
        <f t="shared" si="2"/>
        <v>0.85</v>
      </c>
      <c r="AL40" s="104">
        <f t="shared" si="24"/>
        <v>14.330886011442766</v>
      </c>
      <c r="AM40" s="104">
        <f t="shared" si="25"/>
        <v>26.00069917835124</v>
      </c>
      <c r="AN40" s="104">
        <f t="shared" si="3"/>
        <v>1.6472384998486951</v>
      </c>
      <c r="AO40" s="104">
        <f t="shared" si="26"/>
        <v>0.84733948432216866</v>
      </c>
      <c r="AP40" s="104">
        <f t="shared" si="27"/>
        <v>3.2399943376954919E-2</v>
      </c>
      <c r="AQ40" s="103">
        <f t="shared" si="4"/>
        <v>3.6999650410818333E-2</v>
      </c>
      <c r="AR40" s="100">
        <f t="shared" si="5"/>
        <v>49727701.049614154</v>
      </c>
      <c r="AS40" s="100">
        <f t="shared" si="28"/>
        <v>2.3111602480944092E-3</v>
      </c>
      <c r="AT40" s="104">
        <f t="shared" si="6"/>
        <v>27.412832142246771</v>
      </c>
      <c r="AU40" s="100">
        <f t="shared" si="7"/>
        <v>1058.6300125873556</v>
      </c>
      <c r="AV40" s="339"/>
      <c r="AW40" s="339"/>
      <c r="AX40" s="356"/>
      <c r="AY40" s="339"/>
      <c r="AZ40" s="339"/>
      <c r="BA40" s="331"/>
      <c r="BB40" s="331"/>
      <c r="BC40" s="331"/>
      <c r="BD40" s="339"/>
      <c r="BE40" s="339"/>
      <c r="BF40" s="339"/>
      <c r="BG40" s="339"/>
      <c r="BH40" s="337"/>
      <c r="BI40" s="331"/>
      <c r="BJ40" s="331"/>
      <c r="BK40" s="331"/>
      <c r="BL40" s="104">
        <f t="shared" si="8"/>
        <v>-3.2653147889885894E-42</v>
      </c>
      <c r="BM40" s="103">
        <f t="shared" si="29"/>
        <v>1.8809222555243114E-16</v>
      </c>
      <c r="BN40" s="103">
        <f t="shared" si="9"/>
        <v>269.92915221517393</v>
      </c>
      <c r="BO40" s="103">
        <f t="shared" si="10"/>
        <v>2.6814087721509843</v>
      </c>
      <c r="BP40" s="103">
        <f t="shared" si="30"/>
        <v>3.0836200879736317</v>
      </c>
      <c r="BQ40" s="104">
        <f t="shared" si="31"/>
        <v>2.6128730551890573</v>
      </c>
      <c r="BR40" s="104">
        <f t="shared" si="11"/>
        <v>0.61651657760775258</v>
      </c>
      <c r="BS40" s="107">
        <f t="shared" si="12"/>
        <v>6.2464728855973801</v>
      </c>
      <c r="BT40" s="104">
        <f t="shared" si="13"/>
        <v>6.3739519240789591</v>
      </c>
      <c r="BU40" s="100">
        <f t="shared" si="14"/>
        <v>7.6518030301067936</v>
      </c>
      <c r="BV40" s="100">
        <f t="shared" si="32"/>
        <v>3.8259015150533968</v>
      </c>
      <c r="BW40" s="100">
        <f t="shared" si="33"/>
        <v>3.8259015150533968</v>
      </c>
      <c r="BX40" s="168">
        <f t="shared" si="15"/>
        <v>0.36437157286222827</v>
      </c>
      <c r="BY40" s="104">
        <f t="shared" si="34"/>
        <v>2.5367017726524705E-5</v>
      </c>
      <c r="BZ40" s="104">
        <f t="shared" si="35"/>
        <v>2.5367017726524705E-5</v>
      </c>
      <c r="CA40" s="208">
        <f t="shared" si="42"/>
        <v>5.0734035453049411E-5</v>
      </c>
      <c r="CB40" s="331"/>
      <c r="CC40" s="390"/>
      <c r="CD40" s="410"/>
      <c r="CE40" s="414"/>
      <c r="CF40" s="117"/>
    </row>
    <row r="41" spans="3:84" s="109" customFormat="1" ht="15.75" x14ac:dyDescent="0.3">
      <c r="C41" s="100">
        <v>11</v>
      </c>
      <c r="D41" s="379"/>
      <c r="E41" s="379"/>
      <c r="F41" s="163" t="s">
        <v>128</v>
      </c>
      <c r="G41" s="341"/>
      <c r="H41" s="110">
        <v>0.86041666666666705</v>
      </c>
      <c r="I41" s="164">
        <v>-8.7350410000000007</v>
      </c>
      <c r="J41" s="100">
        <v>116.06636</v>
      </c>
      <c r="K41" s="100">
        <f t="shared" si="16"/>
        <v>-0.15245522574669801</v>
      </c>
      <c r="L41" s="100">
        <f t="shared" si="16"/>
        <v>2.0257401328050459</v>
      </c>
      <c r="M41" s="100">
        <v>3443</v>
      </c>
      <c r="N41" s="102">
        <f t="shared" si="36"/>
        <v>0.35961118326867875</v>
      </c>
      <c r="O41" s="359"/>
      <c r="P41" s="102">
        <f t="shared" si="17"/>
        <v>5.0000000000018474E-2</v>
      </c>
      <c r="Q41" s="350"/>
      <c r="R41" s="103">
        <f t="shared" si="18"/>
        <v>7.1922236653709177</v>
      </c>
      <c r="S41" s="353"/>
      <c r="T41" s="104">
        <f t="shared" si="19"/>
        <v>3.6996798534668001</v>
      </c>
      <c r="U41" s="165">
        <f t="shared" si="20"/>
        <v>-3.9011424390740537E-5</v>
      </c>
      <c r="V41" s="100">
        <f t="shared" si="21"/>
        <v>9.8209677009464258E-5</v>
      </c>
      <c r="W41" s="100">
        <f t="shared" si="37"/>
        <v>1.948908927201803</v>
      </c>
      <c r="X41" s="100">
        <f t="shared" si="38"/>
        <v>111.66425618403231</v>
      </c>
      <c r="Y41" s="165">
        <f t="shared" si="39"/>
        <v>-3.8554323176565042E-5</v>
      </c>
      <c r="Z41" s="166">
        <f t="shared" si="40"/>
        <v>-5.6269999999898346E-3</v>
      </c>
      <c r="AA41" s="167">
        <f t="shared" si="41"/>
        <v>248.3357438159677</v>
      </c>
      <c r="AB41" s="13">
        <v>200</v>
      </c>
      <c r="AC41" s="13">
        <v>13</v>
      </c>
      <c r="AD41" s="13">
        <f t="shared" si="22"/>
        <v>4</v>
      </c>
      <c r="AE41" s="161">
        <f t="shared" si="23"/>
        <v>48.335743815967703</v>
      </c>
      <c r="AF41" s="104">
        <f t="shared" si="0"/>
        <v>0.14146563447479971</v>
      </c>
      <c r="AG41" s="366"/>
      <c r="AH41" s="331"/>
      <c r="AI41" s="339"/>
      <c r="AJ41" s="106">
        <f t="shared" si="1"/>
        <v>1.6522144141606319</v>
      </c>
      <c r="AK41" s="100">
        <f t="shared" si="2"/>
        <v>0.85</v>
      </c>
      <c r="AL41" s="104">
        <f t="shared" si="24"/>
        <v>14.330886011442766</v>
      </c>
      <c r="AM41" s="104">
        <f t="shared" si="25"/>
        <v>20.126041970428897</v>
      </c>
      <c r="AN41" s="104">
        <f t="shared" si="3"/>
        <v>9.0044663402159166</v>
      </c>
      <c r="AO41" s="104">
        <f t="shared" si="26"/>
        <v>4.6318974854070669</v>
      </c>
      <c r="AP41" s="104">
        <f t="shared" si="27"/>
        <v>0.17711108597175818</v>
      </c>
      <c r="AQ41" s="103">
        <f t="shared" si="4"/>
        <v>3.9936979014800304E-2</v>
      </c>
      <c r="AR41" s="100">
        <f t="shared" si="5"/>
        <v>271831559.49712187</v>
      </c>
      <c r="AS41" s="100">
        <f t="shared" si="28"/>
        <v>1.8115847991534459E-3</v>
      </c>
      <c r="AT41" s="104">
        <f t="shared" si="6"/>
        <v>642.07462253223048</v>
      </c>
      <c r="AU41" s="100">
        <f t="shared" si="7"/>
        <v>24795.667306691012</v>
      </c>
      <c r="AV41" s="339"/>
      <c r="AW41" s="339"/>
      <c r="AX41" s="356"/>
      <c r="AY41" s="339"/>
      <c r="AZ41" s="339"/>
      <c r="BA41" s="331"/>
      <c r="BB41" s="331"/>
      <c r="BC41" s="331"/>
      <c r="BD41" s="339"/>
      <c r="BE41" s="339"/>
      <c r="BF41" s="339"/>
      <c r="BG41" s="339"/>
      <c r="BH41" s="337"/>
      <c r="BI41" s="331"/>
      <c r="BJ41" s="331"/>
      <c r="BK41" s="331"/>
      <c r="BL41" s="104">
        <f t="shared" si="8"/>
        <v>-3.1652318384599809E-2</v>
      </c>
      <c r="BM41" s="103">
        <f t="shared" si="29"/>
        <v>1353.6998082499447</v>
      </c>
      <c r="BN41" s="103">
        <f t="shared" si="9"/>
        <v>8065.8990121430343</v>
      </c>
      <c r="BO41" s="103">
        <f t="shared" si="10"/>
        <v>65.902265721790656</v>
      </c>
      <c r="BP41" s="103">
        <f t="shared" si="30"/>
        <v>75.78760558005925</v>
      </c>
      <c r="BQ41" s="104">
        <f t="shared" si="31"/>
        <v>351.04041971129902</v>
      </c>
      <c r="BR41" s="104">
        <f t="shared" si="11"/>
        <v>3.3701268952638239</v>
      </c>
      <c r="BS41" s="107">
        <f t="shared" si="12"/>
        <v>839.21584292838656</v>
      </c>
      <c r="BT41" s="104">
        <f t="shared" si="13"/>
        <v>856.34269686570065</v>
      </c>
      <c r="BU41" s="100">
        <f t="shared" si="14"/>
        <v>1028.0224452169275</v>
      </c>
      <c r="BV41" s="100">
        <f t="shared" si="32"/>
        <v>514.01122260846375</v>
      </c>
      <c r="BW41" s="100">
        <f t="shared" si="33"/>
        <v>514.01122260846375</v>
      </c>
      <c r="BX41" s="168">
        <f t="shared" si="15"/>
        <v>48.953449772234642</v>
      </c>
      <c r="BY41" s="104">
        <f t="shared" si="34"/>
        <v>3.6786275295949428E-3</v>
      </c>
      <c r="BZ41" s="104">
        <f t="shared" si="35"/>
        <v>3.6786275295949428E-3</v>
      </c>
      <c r="CA41" s="208">
        <f t="shared" si="42"/>
        <v>7.3572550591898857E-3</v>
      </c>
      <c r="CB41" s="331"/>
      <c r="CC41" s="390"/>
      <c r="CD41" s="410"/>
      <c r="CE41" s="414"/>
      <c r="CF41" s="117"/>
    </row>
    <row r="42" spans="3:84" s="109" customFormat="1" ht="15.75" x14ac:dyDescent="0.3">
      <c r="C42" s="100">
        <v>12</v>
      </c>
      <c r="D42" s="379"/>
      <c r="E42" s="379"/>
      <c r="F42" s="163" t="s">
        <v>128</v>
      </c>
      <c r="G42" s="342"/>
      <c r="H42" s="110">
        <v>0.86250000000000004</v>
      </c>
      <c r="I42" s="164">
        <v>-8.7385970000000004</v>
      </c>
      <c r="J42" s="100">
        <v>116.06186599999999</v>
      </c>
      <c r="K42" s="100">
        <f t="shared" si="16"/>
        <v>-0.15251728965489894</v>
      </c>
      <c r="L42" s="100">
        <f t="shared" si="16"/>
        <v>2.0256616977084612</v>
      </c>
      <c r="M42" s="100">
        <v>3443</v>
      </c>
      <c r="N42" s="102">
        <f t="shared" si="36"/>
        <v>0.34191694715460402</v>
      </c>
      <c r="O42" s="359"/>
      <c r="P42" s="102">
        <f t="shared" si="17"/>
        <v>4.9999999999991829E-2</v>
      </c>
      <c r="Q42" s="350"/>
      <c r="R42" s="103">
        <f t="shared" si="18"/>
        <v>6.8383389430931985</v>
      </c>
      <c r="S42" s="353"/>
      <c r="T42" s="104">
        <f t="shared" si="19"/>
        <v>3.5176415523271412</v>
      </c>
      <c r="U42" s="165">
        <f t="shared" si="20"/>
        <v>-6.2800227798410121E-5</v>
      </c>
      <c r="V42" s="100">
        <f t="shared" si="21"/>
        <v>7.8435096584783537E-5</v>
      </c>
      <c r="W42" s="100">
        <f t="shared" si="37"/>
        <v>2.2459425568733091</v>
      </c>
      <c r="X42" s="100">
        <f t="shared" si="38"/>
        <v>128.68302953766147</v>
      </c>
      <c r="Y42" s="165">
        <f t="shared" si="39"/>
        <v>-6.2063908200932216E-5</v>
      </c>
      <c r="Z42" s="166">
        <f t="shared" si="40"/>
        <v>-4.4940000000082136E-3</v>
      </c>
      <c r="AA42" s="167">
        <f t="shared" si="41"/>
        <v>231.31697046233853</v>
      </c>
      <c r="AB42" s="13">
        <v>200</v>
      </c>
      <c r="AC42" s="13">
        <v>13</v>
      </c>
      <c r="AD42" s="13">
        <f t="shared" si="22"/>
        <v>4</v>
      </c>
      <c r="AE42" s="161">
        <f t="shared" si="23"/>
        <v>31.316970462338531</v>
      </c>
      <c r="AF42" s="104">
        <f t="shared" si="0"/>
        <v>0.13450498793526053</v>
      </c>
      <c r="AG42" s="366"/>
      <c r="AH42" s="331"/>
      <c r="AI42" s="339"/>
      <c r="AJ42" s="106">
        <f t="shared" si="1"/>
        <v>1.6882490899010425</v>
      </c>
      <c r="AK42" s="100">
        <f t="shared" si="2"/>
        <v>0.85</v>
      </c>
      <c r="AL42" s="104">
        <f t="shared" si="24"/>
        <v>14.330886011442766</v>
      </c>
      <c r="AM42" s="104">
        <f t="shared" si="25"/>
        <v>20.564989476349758</v>
      </c>
      <c r="AN42" s="104">
        <f t="shared" si="3"/>
        <v>8.608721643030707</v>
      </c>
      <c r="AO42" s="104">
        <f t="shared" si="26"/>
        <v>4.4283264131749958</v>
      </c>
      <c r="AP42" s="104">
        <f t="shared" si="27"/>
        <v>0.16932708518394957</v>
      </c>
      <c r="AQ42" s="103">
        <f t="shared" si="4"/>
        <v>3.9717505261818629E-2</v>
      </c>
      <c r="AR42" s="100">
        <f t="shared" si="5"/>
        <v>259884610.71259326</v>
      </c>
      <c r="AS42" s="100">
        <f t="shared" si="28"/>
        <v>1.8226263899143787E-3</v>
      </c>
      <c r="AT42" s="104">
        <f t="shared" si="6"/>
        <v>590.45372165031119</v>
      </c>
      <c r="AU42" s="100">
        <f t="shared" si="7"/>
        <v>22802.168982007588</v>
      </c>
      <c r="AV42" s="339"/>
      <c r="AW42" s="339"/>
      <c r="AX42" s="356"/>
      <c r="AY42" s="339"/>
      <c r="AZ42" s="339"/>
      <c r="BA42" s="331"/>
      <c r="BB42" s="331"/>
      <c r="BC42" s="331"/>
      <c r="BD42" s="339"/>
      <c r="BE42" s="339"/>
      <c r="BF42" s="339"/>
      <c r="BG42" s="339"/>
      <c r="BH42" s="337"/>
      <c r="BI42" s="331"/>
      <c r="BJ42" s="331"/>
      <c r="BK42" s="331"/>
      <c r="BL42" s="104">
        <f t="shared" si="8"/>
        <v>-2.3452452364076299E-2</v>
      </c>
      <c r="BM42" s="103">
        <f t="shared" si="29"/>
        <v>814.09667179997598</v>
      </c>
      <c r="BN42" s="103">
        <f t="shared" si="9"/>
        <v>7372.4893375193888</v>
      </c>
      <c r="BO42" s="103">
        <f t="shared" si="10"/>
        <v>60.128213524727052</v>
      </c>
      <c r="BP42" s="103">
        <f t="shared" si="30"/>
        <v>69.147445553436114</v>
      </c>
      <c r="BQ42" s="104">
        <f t="shared" si="31"/>
        <v>306.20745954786105</v>
      </c>
      <c r="BR42" s="104">
        <f t="shared" si="11"/>
        <v>3.2220104164798156</v>
      </c>
      <c r="BS42" s="107">
        <f t="shared" si="12"/>
        <v>732.03579088344725</v>
      </c>
      <c r="BT42" s="104">
        <f t="shared" si="13"/>
        <v>746.97529681984417</v>
      </c>
      <c r="BU42" s="100">
        <f t="shared" si="14"/>
        <v>896.72904780293425</v>
      </c>
      <c r="BV42" s="100">
        <f t="shared" si="32"/>
        <v>448.36452390146712</v>
      </c>
      <c r="BW42" s="100">
        <f t="shared" si="33"/>
        <v>448.36452390146712</v>
      </c>
      <c r="BX42" s="168">
        <f t="shared" si="15"/>
        <v>42.701383228711151</v>
      </c>
      <c r="BY42" s="104">
        <f t="shared" si="34"/>
        <v>3.1911793244386627E-3</v>
      </c>
      <c r="BZ42" s="104">
        <f t="shared" si="35"/>
        <v>3.1911793244386627E-3</v>
      </c>
      <c r="CA42" s="208">
        <f t="shared" si="42"/>
        <v>6.3823586488773254E-3</v>
      </c>
      <c r="CB42" s="331"/>
      <c r="CC42" s="390"/>
      <c r="CD42" s="410"/>
      <c r="CE42" s="414"/>
      <c r="CF42" s="117"/>
    </row>
    <row r="43" spans="3:84" s="109" customFormat="1" ht="15.75" x14ac:dyDescent="0.3">
      <c r="C43" s="100">
        <v>13</v>
      </c>
      <c r="D43" s="379"/>
      <c r="E43" s="379"/>
      <c r="F43" s="163" t="s">
        <v>128</v>
      </c>
      <c r="G43" s="340">
        <v>0.86458333333333337</v>
      </c>
      <c r="H43" s="110">
        <v>0.86458333333333504</v>
      </c>
      <c r="I43" s="100">
        <v>-8.7412220000000005</v>
      </c>
      <c r="J43" s="100">
        <v>116.05595099999999</v>
      </c>
      <c r="K43" s="100">
        <f t="shared" si="16"/>
        <v>-0.15256310454776378</v>
      </c>
      <c r="L43" s="100">
        <f t="shared" si="16"/>
        <v>2.0255584614832056</v>
      </c>
      <c r="M43" s="100">
        <v>3443</v>
      </c>
      <c r="N43" s="102">
        <f t="shared" si="36"/>
        <v>0.38510306469609584</v>
      </c>
      <c r="O43" s="359"/>
      <c r="P43" s="102">
        <f t="shared" si="17"/>
        <v>5.000000000003979E-2</v>
      </c>
      <c r="Q43" s="351"/>
      <c r="R43" s="103">
        <f t="shared" si="18"/>
        <v>7.7020612939157873</v>
      </c>
      <c r="S43" s="354"/>
      <c r="T43" s="104">
        <f t="shared" si="19"/>
        <v>3.9619403295902806</v>
      </c>
      <c r="U43" s="165">
        <f t="shared" si="20"/>
        <v>-4.6358822262376351E-5</v>
      </c>
      <c r="V43" s="100">
        <f t="shared" si="21"/>
        <v>1.0323622525554299E-4</v>
      </c>
      <c r="W43" s="100">
        <f t="shared" si="37"/>
        <v>1.9928647501644345</v>
      </c>
      <c r="X43" s="100">
        <f t="shared" si="38"/>
        <v>114.18273932481533</v>
      </c>
      <c r="Y43" s="165">
        <f t="shared" si="39"/>
        <v>-4.5814892864842749E-5</v>
      </c>
      <c r="Z43" s="166">
        <f t="shared" si="40"/>
        <v>-5.9150000000016689E-3</v>
      </c>
      <c r="AA43" s="167">
        <f t="shared" si="41"/>
        <v>245.81726067518468</v>
      </c>
      <c r="AB43" s="13">
        <v>200</v>
      </c>
      <c r="AC43" s="13">
        <v>13</v>
      </c>
      <c r="AD43" s="13">
        <f t="shared" si="22"/>
        <v>4</v>
      </c>
      <c r="AE43" s="161">
        <f t="shared" si="23"/>
        <v>45.817260675184684</v>
      </c>
      <c r="AF43" s="104">
        <f t="shared" si="0"/>
        <v>0.15149375748055272</v>
      </c>
      <c r="AG43" s="366"/>
      <c r="AH43" s="331"/>
      <c r="AI43" s="339"/>
      <c r="AJ43" s="106">
        <f t="shared" si="1"/>
        <v>1.598647128309526</v>
      </c>
      <c r="AK43" s="100">
        <f t="shared" si="2"/>
        <v>0.85</v>
      </c>
      <c r="AL43" s="104">
        <f t="shared" si="24"/>
        <v>14.330886011442766</v>
      </c>
      <c r="AM43" s="104">
        <f t="shared" si="25"/>
        <v>19.473525303075515</v>
      </c>
      <c r="AN43" s="104">
        <f t="shared" si="3"/>
        <v>9.5646324055583527</v>
      </c>
      <c r="AO43" s="104">
        <f t="shared" si="26"/>
        <v>4.9200469094192165</v>
      </c>
      <c r="AP43" s="104">
        <f t="shared" si="27"/>
        <v>0.18812913150703051</v>
      </c>
      <c r="AQ43" s="103">
        <f t="shared" si="4"/>
        <v>4.0263237348494289E-2</v>
      </c>
      <c r="AR43" s="100">
        <f t="shared" si="5"/>
        <v>288742146.90631974</v>
      </c>
      <c r="AS43" s="100">
        <f t="shared" si="28"/>
        <v>1.7969154091469089E-3</v>
      </c>
      <c r="AT43" s="104">
        <f t="shared" si="6"/>
        <v>718.57992374736352</v>
      </c>
      <c r="AU43" s="100">
        <f t="shared" si="7"/>
        <v>27750.152548059352</v>
      </c>
      <c r="AV43" s="339"/>
      <c r="AW43" s="339"/>
      <c r="AX43" s="356"/>
      <c r="AY43" s="339"/>
      <c r="AZ43" s="339"/>
      <c r="BA43" s="331"/>
      <c r="BB43" s="331"/>
      <c r="BC43" s="331"/>
      <c r="BD43" s="339"/>
      <c r="BE43" s="339"/>
      <c r="BF43" s="339"/>
      <c r="BG43" s="339"/>
      <c r="BH43" s="337"/>
      <c r="BI43" s="331"/>
      <c r="BJ43" s="331"/>
      <c r="BK43" s="331"/>
      <c r="BL43" s="104">
        <f t="shared" si="8"/>
        <v>-4.5480681429613028E-2</v>
      </c>
      <c r="BM43" s="103">
        <f t="shared" si="29"/>
        <v>2614.5271623123649</v>
      </c>
      <c r="BN43" s="103">
        <f t="shared" si="9"/>
        <v>9100.6704766279036</v>
      </c>
      <c r="BO43" s="103">
        <f t="shared" si="10"/>
        <v>74.927959911002645</v>
      </c>
      <c r="BP43" s="103">
        <f t="shared" si="30"/>
        <v>86.167153897653037</v>
      </c>
      <c r="BQ43" s="104">
        <f t="shared" si="31"/>
        <v>423.94643922759781</v>
      </c>
      <c r="BR43" s="104">
        <f t="shared" si="11"/>
        <v>3.5797818210858234</v>
      </c>
      <c r="BS43" s="107">
        <f t="shared" si="12"/>
        <v>1013.5088393680634</v>
      </c>
      <c r="BT43" s="104">
        <f t="shared" si="13"/>
        <v>1034.1926932327178</v>
      </c>
      <c r="BU43" s="100">
        <f t="shared" si="14"/>
        <v>1241.5278430164681</v>
      </c>
      <c r="BV43" s="100">
        <f t="shared" si="32"/>
        <v>620.76392150823403</v>
      </c>
      <c r="BW43" s="100">
        <f t="shared" si="33"/>
        <v>620.76392150823403</v>
      </c>
      <c r="BX43" s="168">
        <f t="shared" si="15"/>
        <v>59.120373476974677</v>
      </c>
      <c r="BY43" s="104">
        <f t="shared" si="34"/>
        <v>4.4789185475450043E-3</v>
      </c>
      <c r="BZ43" s="104">
        <f t="shared" si="35"/>
        <v>4.4789185475450043E-3</v>
      </c>
      <c r="CA43" s="208">
        <f t="shared" si="42"/>
        <v>8.9578370950900085E-3</v>
      </c>
      <c r="CB43" s="331"/>
      <c r="CC43" s="336">
        <f t="shared" ref="CC43" si="47">SUM(CA43:CA47)*1000</f>
        <v>25.402923898519312</v>
      </c>
      <c r="CD43" s="411">
        <v>26</v>
      </c>
      <c r="CE43" s="360">
        <f t="shared" ref="CE43" si="48">AVERAGE(AN43:AN47)</f>
        <v>7.3658858396883691</v>
      </c>
      <c r="CF43" s="117"/>
    </row>
    <row r="44" spans="3:84" s="109" customFormat="1" ht="15.75" x14ac:dyDescent="0.3">
      <c r="C44" s="100">
        <v>14</v>
      </c>
      <c r="D44" s="379"/>
      <c r="E44" s="379"/>
      <c r="F44" s="163" t="s">
        <v>128</v>
      </c>
      <c r="G44" s="341"/>
      <c r="H44" s="110">
        <v>0.86666666666666903</v>
      </c>
      <c r="I44" s="100">
        <v>-8.7375559999999997</v>
      </c>
      <c r="J44" s="100">
        <v>116.05293399999999</v>
      </c>
      <c r="K44" s="100">
        <f t="shared" si="16"/>
        <v>-0.15249912077738564</v>
      </c>
      <c r="L44" s="100">
        <f t="shared" si="16"/>
        <v>2.025505804899673</v>
      </c>
      <c r="M44" s="100">
        <v>3443</v>
      </c>
      <c r="N44" s="102">
        <f t="shared" si="36"/>
        <v>0.28397191318476422</v>
      </c>
      <c r="O44" s="359">
        <f>SUM(N44:N48)</f>
        <v>1.7374592956286681</v>
      </c>
      <c r="P44" s="102">
        <f t="shared" si="17"/>
        <v>5.000000000001581E-2</v>
      </c>
      <c r="Q44" s="349">
        <f t="shared" ref="Q44" si="49">SUM(P44:P48)</f>
        <v>0.25000000000015099</v>
      </c>
      <c r="R44" s="103">
        <f t="shared" si="18"/>
        <v>5.6794382636934886</v>
      </c>
      <c r="S44" s="352">
        <f t="shared" ref="S44" si="50">AVERAGE(R44:R48)</f>
        <v>6.949837182510274</v>
      </c>
      <c r="T44" s="104">
        <f t="shared" si="19"/>
        <v>2.9215030428439301</v>
      </c>
      <c r="U44" s="165">
        <f t="shared" si="20"/>
        <v>6.4743315743003737E-5</v>
      </c>
      <c r="V44" s="100">
        <f t="shared" si="21"/>
        <v>5.2656583532595391E-5</v>
      </c>
      <c r="W44" s="100">
        <f t="shared" si="37"/>
        <v>0.68280610252391227</v>
      </c>
      <c r="X44" s="100">
        <f t="shared" si="38"/>
        <v>39.121907900397161</v>
      </c>
      <c r="Y44" s="165">
        <f t="shared" si="39"/>
        <v>6.3983770378139848E-5</v>
      </c>
      <c r="Z44" s="166">
        <f t="shared" si="40"/>
        <v>-3.0169999999998254E-3</v>
      </c>
      <c r="AA44" s="167">
        <f t="shared" si="41"/>
        <v>320.87809209960284</v>
      </c>
      <c r="AB44" s="13">
        <v>200</v>
      </c>
      <c r="AC44" s="13">
        <v>13</v>
      </c>
      <c r="AD44" s="13">
        <f t="shared" si="22"/>
        <v>4</v>
      </c>
      <c r="AE44" s="161">
        <f t="shared" si="23"/>
        <v>120.87809209960284</v>
      </c>
      <c r="AF44" s="104">
        <f t="shared" si="0"/>
        <v>0.11171028249611852</v>
      </c>
      <c r="AG44" s="366"/>
      <c r="AH44" s="331"/>
      <c r="AI44" s="339"/>
      <c r="AJ44" s="106">
        <f t="shared" si="1"/>
        <v>1.7996761777706867</v>
      </c>
      <c r="AK44" s="100">
        <f t="shared" si="2"/>
        <v>0.33</v>
      </c>
      <c r="AL44" s="104">
        <f t="shared" si="24"/>
        <v>14.330886011442766</v>
      </c>
      <c r="AM44" s="104">
        <f t="shared" si="25"/>
        <v>8.5110148731764372</v>
      </c>
      <c r="AN44" s="104">
        <f t="shared" si="3"/>
        <v>6.2077836537595825</v>
      </c>
      <c r="AO44" s="104">
        <f t="shared" si="26"/>
        <v>3.1932839114939289</v>
      </c>
      <c r="AP44" s="104">
        <f t="shared" si="27"/>
        <v>0.12210243926223889</v>
      </c>
      <c r="AQ44" s="103">
        <f t="shared" si="4"/>
        <v>4.5744492563426248E-2</v>
      </c>
      <c r="AR44" s="100">
        <f t="shared" si="5"/>
        <v>187403833.59373468</v>
      </c>
      <c r="AS44" s="100">
        <f t="shared" si="28"/>
        <v>1.9060810463261237E-3</v>
      </c>
      <c r="AT44" s="104">
        <f t="shared" si="6"/>
        <v>321.08897083584122</v>
      </c>
      <c r="AU44" s="100">
        <f t="shared" si="7"/>
        <v>12399.828644985388</v>
      </c>
      <c r="AV44" s="339"/>
      <c r="AW44" s="339"/>
      <c r="AX44" s="356"/>
      <c r="AY44" s="339"/>
      <c r="AZ44" s="339"/>
      <c r="BA44" s="331"/>
      <c r="BB44" s="331"/>
      <c r="BC44" s="331"/>
      <c r="BD44" s="339"/>
      <c r="BE44" s="339"/>
      <c r="BF44" s="339"/>
      <c r="BG44" s="339"/>
      <c r="BH44" s="337"/>
      <c r="BI44" s="331"/>
      <c r="BJ44" s="331"/>
      <c r="BK44" s="331"/>
      <c r="BL44" s="104">
        <f t="shared" si="8"/>
        <v>-9.3742737169162844E-4</v>
      </c>
      <c r="BM44" s="103">
        <f t="shared" si="29"/>
        <v>11.265318421783006</v>
      </c>
      <c r="BN44" s="103">
        <f t="shared" si="9"/>
        <v>3833.6279989047957</v>
      </c>
      <c r="BO44" s="103">
        <f t="shared" si="10"/>
        <v>32.090771209071214</v>
      </c>
      <c r="BP44" s="103">
        <f t="shared" si="30"/>
        <v>36.904386890431894</v>
      </c>
      <c r="BQ44" s="104">
        <f t="shared" si="31"/>
        <v>117.84618492076363</v>
      </c>
      <c r="BR44" s="104">
        <f t="shared" si="11"/>
        <v>2.3234046151159955</v>
      </c>
      <c r="BS44" s="107">
        <f t="shared" si="12"/>
        <v>281.72933901887626</v>
      </c>
      <c r="BT44" s="104">
        <f t="shared" si="13"/>
        <v>287.47891736620028</v>
      </c>
      <c r="BU44" s="100">
        <f t="shared" si="14"/>
        <v>345.11274593781553</v>
      </c>
      <c r="BV44" s="100">
        <f t="shared" si="32"/>
        <v>172.55637296890777</v>
      </c>
      <c r="BW44" s="100">
        <f t="shared" si="33"/>
        <v>172.55637296890777</v>
      </c>
      <c r="BX44" s="168">
        <f t="shared" si="15"/>
        <v>16.43394028275312</v>
      </c>
      <c r="BY44" s="104">
        <f t="shared" si="34"/>
        <v>1.4145158666326028E-3</v>
      </c>
      <c r="BZ44" s="104">
        <f t="shared" si="35"/>
        <v>1.4145158666326028E-3</v>
      </c>
      <c r="CA44" s="208">
        <f t="shared" si="42"/>
        <v>2.8290317332652056E-3</v>
      </c>
      <c r="CB44" s="331"/>
      <c r="CC44" s="337"/>
      <c r="CD44" s="412"/>
      <c r="CE44" s="361"/>
      <c r="CF44" s="117"/>
    </row>
    <row r="45" spans="3:84" s="109" customFormat="1" ht="15.75" x14ac:dyDescent="0.3">
      <c r="C45" s="100">
        <v>15</v>
      </c>
      <c r="D45" s="379"/>
      <c r="E45" s="379"/>
      <c r="F45" s="163" t="s">
        <v>128</v>
      </c>
      <c r="G45" s="341"/>
      <c r="H45" s="110">
        <v>0.86875000000000302</v>
      </c>
      <c r="I45" s="100">
        <v>-8.732367</v>
      </c>
      <c r="J45" s="100">
        <v>116.052353</v>
      </c>
      <c r="K45" s="100">
        <f t="shared" si="16"/>
        <v>-0.15240855564249967</v>
      </c>
      <c r="L45" s="100">
        <f t="shared" si="16"/>
        <v>2.0254956645367188</v>
      </c>
      <c r="M45" s="100">
        <v>3443</v>
      </c>
      <c r="N45" s="102">
        <f t="shared" si="36"/>
        <v>0.31371944838443833</v>
      </c>
      <c r="O45" s="359"/>
      <c r="P45" s="102">
        <f t="shared" si="17"/>
        <v>5.000000000001581E-2</v>
      </c>
      <c r="Q45" s="350"/>
      <c r="R45" s="103">
        <f t="shared" si="18"/>
        <v>6.2743889676867823</v>
      </c>
      <c r="S45" s="353"/>
      <c r="T45" s="104">
        <f t="shared" si="19"/>
        <v>3.2275456849780806</v>
      </c>
      <c r="U45" s="165">
        <f t="shared" si="20"/>
        <v>9.1639131080507107E-5</v>
      </c>
      <c r="V45" s="100">
        <f t="shared" si="21"/>
        <v>1.0140362954214055E-5</v>
      </c>
      <c r="W45" s="100">
        <f t="shared" si="37"/>
        <v>0.11020702615121429</v>
      </c>
      <c r="X45" s="100">
        <f t="shared" si="38"/>
        <v>6.3143974711524713</v>
      </c>
      <c r="Y45" s="165">
        <f t="shared" si="39"/>
        <v>9.0565134885978171E-5</v>
      </c>
      <c r="Z45" s="166">
        <f t="shared" si="40"/>
        <v>-5.8099999999683405E-4</v>
      </c>
      <c r="AA45" s="167">
        <f t="shared" si="41"/>
        <v>353.68560252884754</v>
      </c>
      <c r="AB45" s="13">
        <v>200</v>
      </c>
      <c r="AC45" s="13">
        <v>13</v>
      </c>
      <c r="AD45" s="13">
        <f t="shared" si="22"/>
        <v>4</v>
      </c>
      <c r="AE45" s="161">
        <f t="shared" si="23"/>
        <v>153.68560252884754</v>
      </c>
      <c r="AF45" s="104">
        <f t="shared" si="0"/>
        <v>0.12341251573267338</v>
      </c>
      <c r="AG45" s="366"/>
      <c r="AH45" s="331"/>
      <c r="AI45" s="339"/>
      <c r="AJ45" s="106">
        <f t="shared" si="1"/>
        <v>1.7437314149854835</v>
      </c>
      <c r="AK45" s="100">
        <f t="shared" si="2"/>
        <v>-3.999999999999998E-2</v>
      </c>
      <c r="AL45" s="104">
        <f t="shared" si="24"/>
        <v>14.330886011442766</v>
      </c>
      <c r="AM45" s="104">
        <f t="shared" si="25"/>
        <v>-0.99956864570915016</v>
      </c>
      <c r="AN45" s="104">
        <f t="shared" si="3"/>
        <v>6.2122928363153376</v>
      </c>
      <c r="AO45" s="104">
        <f t="shared" si="26"/>
        <v>3.1956034350006095</v>
      </c>
      <c r="AP45" s="104">
        <f t="shared" si="27"/>
        <v>0.12219113149441793</v>
      </c>
      <c r="AQ45" s="103">
        <f t="shared" si="4"/>
        <v>5.0499784322870556E-2</v>
      </c>
      <c r="AR45" s="100">
        <f t="shared" si="5"/>
        <v>187539959.16518733</v>
      </c>
      <c r="AS45" s="100">
        <f t="shared" si="28"/>
        <v>1.9058894149874019E-3</v>
      </c>
      <c r="AT45" s="104">
        <f t="shared" si="6"/>
        <v>321.52327445515527</v>
      </c>
      <c r="AU45" s="100">
        <f t="shared" si="7"/>
        <v>12416.600602132881</v>
      </c>
      <c r="AV45" s="339"/>
      <c r="AW45" s="339"/>
      <c r="AX45" s="356"/>
      <c r="AY45" s="339"/>
      <c r="AZ45" s="339"/>
      <c r="BA45" s="331"/>
      <c r="BB45" s="331"/>
      <c r="BC45" s="331"/>
      <c r="BD45" s="339"/>
      <c r="BE45" s="339"/>
      <c r="BF45" s="339"/>
      <c r="BG45" s="339"/>
      <c r="BH45" s="337"/>
      <c r="BI45" s="331"/>
      <c r="BJ45" s="331"/>
      <c r="BK45" s="331"/>
      <c r="BL45" s="104">
        <f t="shared" si="8"/>
        <v>-9.4659638324128795E-4</v>
      </c>
      <c r="BM45" s="103">
        <f t="shared" si="29"/>
        <v>11.389632341575924</v>
      </c>
      <c r="BN45" s="103">
        <f t="shared" si="9"/>
        <v>3839.1993292599282</v>
      </c>
      <c r="BO45" s="103">
        <f t="shared" si="10"/>
        <v>32.134672111431321</v>
      </c>
      <c r="BP45" s="103">
        <f t="shared" si="30"/>
        <v>36.954872928146017</v>
      </c>
      <c r="BQ45" s="104">
        <f t="shared" si="31"/>
        <v>118.09311886919444</v>
      </c>
      <c r="BR45" s="104">
        <f t="shared" si="11"/>
        <v>2.3250922795297027</v>
      </c>
      <c r="BS45" s="107">
        <f t="shared" si="12"/>
        <v>282.31967241082702</v>
      </c>
      <c r="BT45" s="104">
        <f t="shared" si="13"/>
        <v>288.08129837839493</v>
      </c>
      <c r="BU45" s="100">
        <f t="shared" si="14"/>
        <v>345.8358924110384</v>
      </c>
      <c r="BV45" s="100">
        <f t="shared" si="32"/>
        <v>172.9179462055192</v>
      </c>
      <c r="BW45" s="100">
        <f t="shared" si="33"/>
        <v>172.9179462055192</v>
      </c>
      <c r="BX45" s="168">
        <f t="shared" si="15"/>
        <v>16.468375829097067</v>
      </c>
      <c r="BY45" s="104">
        <f t="shared" si="34"/>
        <v>1.5648315628166954E-3</v>
      </c>
      <c r="BZ45" s="104">
        <f t="shared" si="35"/>
        <v>1.5648315628166954E-3</v>
      </c>
      <c r="CA45" s="208">
        <f t="shared" si="42"/>
        <v>3.1296631256333908E-3</v>
      </c>
      <c r="CB45" s="331"/>
      <c r="CC45" s="337"/>
      <c r="CD45" s="412"/>
      <c r="CE45" s="361"/>
      <c r="CF45" s="117"/>
    </row>
    <row r="46" spans="3:84" s="109" customFormat="1" ht="15.75" x14ac:dyDescent="0.3">
      <c r="C46" s="100">
        <v>16</v>
      </c>
      <c r="D46" s="379"/>
      <c r="E46" s="379"/>
      <c r="F46" s="163" t="s">
        <v>128</v>
      </c>
      <c r="G46" s="341"/>
      <c r="H46" s="110">
        <v>0.87083333333333801</v>
      </c>
      <c r="I46" s="100">
        <v>-8.7262819999999994</v>
      </c>
      <c r="J46" s="100">
        <v>116.05232599999999</v>
      </c>
      <c r="K46" s="100">
        <f t="shared" si="16"/>
        <v>-0.1523023523575158</v>
      </c>
      <c r="L46" s="100">
        <f t="shared" si="16"/>
        <v>2.0254951932978207</v>
      </c>
      <c r="M46" s="100">
        <v>3443</v>
      </c>
      <c r="N46" s="102">
        <f t="shared" si="36"/>
        <v>0.36566142684896175</v>
      </c>
      <c r="O46" s="359"/>
      <c r="P46" s="102">
        <f t="shared" si="17"/>
        <v>5.000000000003979E-2</v>
      </c>
      <c r="Q46" s="350"/>
      <c r="R46" s="103">
        <f t="shared" si="18"/>
        <v>7.3132285369734147</v>
      </c>
      <c r="S46" s="353"/>
      <c r="T46" s="104">
        <f t="shared" si="19"/>
        <v>3.7619247594191241</v>
      </c>
      <c r="U46" s="165">
        <f t="shared" si="20"/>
        <v>1.0746109877902327E-4</v>
      </c>
      <c r="V46" s="100">
        <f t="shared" si="21"/>
        <v>4.7123889812539232E-7</v>
      </c>
      <c r="W46" s="100">
        <f t="shared" si="37"/>
        <v>4.3851764300769742E-3</v>
      </c>
      <c r="X46" s="100">
        <f t="shared" si="38"/>
        <v>0.25125210186365576</v>
      </c>
      <c r="Y46" s="165">
        <f t="shared" si="39"/>
        <v>1.06203284983869E-4</v>
      </c>
      <c r="Z46" s="166">
        <f t="shared" si="40"/>
        <v>-2.7000000002885827E-5</v>
      </c>
      <c r="AA46" s="167">
        <f t="shared" si="41"/>
        <v>359.74874789813634</v>
      </c>
      <c r="AB46" s="13">
        <v>200</v>
      </c>
      <c r="AC46" s="13">
        <v>13</v>
      </c>
      <c r="AD46" s="13">
        <f t="shared" si="22"/>
        <v>4</v>
      </c>
      <c r="AE46" s="161">
        <f t="shared" si="23"/>
        <v>159.74874789813634</v>
      </c>
      <c r="AF46" s="104">
        <f t="shared" si="0"/>
        <v>0.14384570936293323</v>
      </c>
      <c r="AG46" s="366"/>
      <c r="AH46" s="331"/>
      <c r="AI46" s="339"/>
      <c r="AJ46" s="106">
        <f t="shared" si="1"/>
        <v>1.6396773220020502</v>
      </c>
      <c r="AK46" s="100">
        <f t="shared" si="2"/>
        <v>-3.999999999999998E-2</v>
      </c>
      <c r="AL46" s="104">
        <f t="shared" si="24"/>
        <v>14.330886011442766</v>
      </c>
      <c r="AM46" s="104">
        <f t="shared" si="25"/>
        <v>-0.93992115188636427</v>
      </c>
      <c r="AN46" s="104">
        <f t="shared" si="3"/>
        <v>7.2451300273645449</v>
      </c>
      <c r="AO46" s="104">
        <f t="shared" si="26"/>
        <v>3.7268948860763218</v>
      </c>
      <c r="AP46" s="104">
        <f t="shared" si="27"/>
        <v>0.14250626285559076</v>
      </c>
      <c r="AQ46" s="103">
        <f t="shared" si="4"/>
        <v>5.0469960575983353E-2</v>
      </c>
      <c r="AR46" s="100">
        <f t="shared" si="5"/>
        <v>218719790.78892359</v>
      </c>
      <c r="AS46" s="100">
        <f t="shared" si="28"/>
        <v>1.8659417442908033E-3</v>
      </c>
      <c r="AT46" s="104">
        <f t="shared" si="6"/>
        <v>428.15530376361318</v>
      </c>
      <c r="AU46" s="100">
        <f t="shared" si="7"/>
        <v>16534.521214759374</v>
      </c>
      <c r="AV46" s="339"/>
      <c r="AW46" s="339"/>
      <c r="AX46" s="356"/>
      <c r="AY46" s="339"/>
      <c r="AZ46" s="339"/>
      <c r="BA46" s="331"/>
      <c r="BB46" s="331"/>
      <c r="BC46" s="331"/>
      <c r="BD46" s="339"/>
      <c r="BE46" s="339"/>
      <c r="BF46" s="339"/>
      <c r="BG46" s="339"/>
      <c r="BH46" s="337"/>
      <c r="BI46" s="331"/>
      <c r="BJ46" s="331"/>
      <c r="BK46" s="331"/>
      <c r="BL46" s="104">
        <f t="shared" si="8"/>
        <v>-5.5766045319954102E-3</v>
      </c>
      <c r="BM46" s="103">
        <f t="shared" si="29"/>
        <v>99.086066593985493</v>
      </c>
      <c r="BN46" s="103">
        <f t="shared" si="9"/>
        <v>5221.9076913819017</v>
      </c>
      <c r="BO46" s="103">
        <f t="shared" si="10"/>
        <v>42.985390630059015</v>
      </c>
      <c r="BP46" s="103">
        <f t="shared" si="30"/>
        <v>49.433199224567865</v>
      </c>
      <c r="BQ46" s="104">
        <f t="shared" si="31"/>
        <v>184.23233739243398</v>
      </c>
      <c r="BR46" s="104">
        <f t="shared" si="11"/>
        <v>2.7116551544929521</v>
      </c>
      <c r="BS46" s="107">
        <f t="shared" si="12"/>
        <v>440.43559555510041</v>
      </c>
      <c r="BT46" s="104">
        <f t="shared" si="13"/>
        <v>449.42407709704122</v>
      </c>
      <c r="BU46" s="100">
        <f t="shared" si="14"/>
        <v>539.52470239740842</v>
      </c>
      <c r="BV46" s="100">
        <f t="shared" si="32"/>
        <v>269.76235119870421</v>
      </c>
      <c r="BW46" s="100">
        <f t="shared" si="33"/>
        <v>269.76235119870421</v>
      </c>
      <c r="BX46" s="168">
        <f t="shared" si="15"/>
        <v>25.691652495114685</v>
      </c>
      <c r="BY46" s="104">
        <f t="shared" si="34"/>
        <v>2.4397892251950652E-3</v>
      </c>
      <c r="BZ46" s="104">
        <f t="shared" si="35"/>
        <v>2.4397892251950652E-3</v>
      </c>
      <c r="CA46" s="208">
        <f t="shared" si="42"/>
        <v>4.8795784503901304E-3</v>
      </c>
      <c r="CB46" s="331"/>
      <c r="CC46" s="337"/>
      <c r="CD46" s="412"/>
      <c r="CE46" s="361"/>
      <c r="CF46" s="117"/>
    </row>
    <row r="47" spans="3:84" s="109" customFormat="1" ht="15.75" x14ac:dyDescent="0.3">
      <c r="C47" s="100">
        <v>17</v>
      </c>
      <c r="D47" s="379"/>
      <c r="E47" s="379"/>
      <c r="F47" s="163" t="s">
        <v>128</v>
      </c>
      <c r="G47" s="342"/>
      <c r="H47" s="110">
        <v>0.872916666666672</v>
      </c>
      <c r="I47" s="100">
        <v>-8.7199580000000001</v>
      </c>
      <c r="J47" s="100">
        <v>116.051462</v>
      </c>
      <c r="K47" s="100">
        <f t="shared" si="16"/>
        <v>-0.15219197773561971</v>
      </c>
      <c r="L47" s="100">
        <f t="shared" si="16"/>
        <v>2.0254801136530838</v>
      </c>
      <c r="M47" s="100">
        <v>3443</v>
      </c>
      <c r="N47" s="102">
        <f t="shared" si="36"/>
        <v>0.38346925612521304</v>
      </c>
      <c r="O47" s="359"/>
      <c r="P47" s="102">
        <f t="shared" si="17"/>
        <v>5.000000000001581E-2</v>
      </c>
      <c r="Q47" s="350"/>
      <c r="R47" s="103">
        <f t="shared" si="18"/>
        <v>7.6693851225018355</v>
      </c>
      <c r="S47" s="353"/>
      <c r="T47" s="104">
        <f t="shared" si="19"/>
        <v>3.9451317070149439</v>
      </c>
      <c r="U47" s="165">
        <f t="shared" si="20"/>
        <v>1.1167997259881957E-4</v>
      </c>
      <c r="V47" s="100">
        <f t="shared" si="21"/>
        <v>1.507964473690393E-5</v>
      </c>
      <c r="W47" s="100">
        <f t="shared" si="37"/>
        <v>0.13421377669631018</v>
      </c>
      <c r="X47" s="100">
        <f t="shared" si="38"/>
        <v>7.6898829572098544</v>
      </c>
      <c r="Y47" s="165">
        <f t="shared" si="39"/>
        <v>1.103746218960866E-4</v>
      </c>
      <c r="Z47" s="166">
        <f t="shared" si="40"/>
        <v>-8.6399999999287047E-4</v>
      </c>
      <c r="AA47" s="167">
        <f t="shared" si="41"/>
        <v>352.31011704279013</v>
      </c>
      <c r="AB47" s="13">
        <v>200</v>
      </c>
      <c r="AC47" s="13">
        <v>13</v>
      </c>
      <c r="AD47" s="13">
        <f t="shared" si="22"/>
        <v>4</v>
      </c>
      <c r="AE47" s="161">
        <f t="shared" si="23"/>
        <v>152.31011704279013</v>
      </c>
      <c r="AF47" s="104">
        <f t="shared" si="0"/>
        <v>0.15085104174528732</v>
      </c>
      <c r="AG47" s="366"/>
      <c r="AH47" s="331"/>
      <c r="AI47" s="339"/>
      <c r="AJ47" s="106">
        <f t="shared" si="1"/>
        <v>1.6021388387190891</v>
      </c>
      <c r="AK47" s="100">
        <f t="shared" si="2"/>
        <v>-3.999999999999998E-2</v>
      </c>
      <c r="AL47" s="104">
        <f t="shared" si="24"/>
        <v>14.330886011442766</v>
      </c>
      <c r="AM47" s="104">
        <f t="shared" si="25"/>
        <v>-0.91840276288754175</v>
      </c>
      <c r="AN47" s="104">
        <f t="shared" si="3"/>
        <v>7.5995902754440241</v>
      </c>
      <c r="AO47" s="104">
        <f t="shared" si="26"/>
        <v>3.9092292376884057</v>
      </c>
      <c r="AP47" s="104">
        <f t="shared" si="27"/>
        <v>0.14947822955513754</v>
      </c>
      <c r="AQ47" s="103">
        <f t="shared" si="4"/>
        <v>5.0459201381459734E-2</v>
      </c>
      <c r="AR47" s="100">
        <f t="shared" si="5"/>
        <v>229420422.9390873</v>
      </c>
      <c r="AS47" s="100">
        <f t="shared" si="28"/>
        <v>1.8537907610438678E-3</v>
      </c>
      <c r="AT47" s="104">
        <f t="shared" si="6"/>
        <v>468.0065694649108</v>
      </c>
      <c r="AU47" s="100">
        <f t="shared" si="7"/>
        <v>18073.499226665335</v>
      </c>
      <c r="AV47" s="339"/>
      <c r="AW47" s="339"/>
      <c r="AX47" s="356"/>
      <c r="AY47" s="339"/>
      <c r="AZ47" s="339"/>
      <c r="BA47" s="331"/>
      <c r="BB47" s="331"/>
      <c r="BC47" s="331"/>
      <c r="BD47" s="339"/>
      <c r="BE47" s="339"/>
      <c r="BF47" s="339"/>
      <c r="BG47" s="339"/>
      <c r="BH47" s="337"/>
      <c r="BI47" s="331"/>
      <c r="BJ47" s="331"/>
      <c r="BK47" s="331"/>
      <c r="BL47" s="104">
        <f t="shared" si="8"/>
        <v>-8.7339101599597287E-3</v>
      </c>
      <c r="BM47" s="103">
        <f t="shared" si="29"/>
        <v>182.65626985552481</v>
      </c>
      <c r="BN47" s="103">
        <f t="shared" si="9"/>
        <v>5745.3591069300264</v>
      </c>
      <c r="BO47" s="103">
        <f t="shared" si="10"/>
        <v>47.098088516415764</v>
      </c>
      <c r="BP47" s="103">
        <f t="shared" si="30"/>
        <v>54.162801793878131</v>
      </c>
      <c r="BQ47" s="104">
        <f t="shared" si="31"/>
        <v>211.73480836775042</v>
      </c>
      <c r="BR47" s="104">
        <f t="shared" si="11"/>
        <v>2.8443199866129083</v>
      </c>
      <c r="BS47" s="107">
        <f t="shared" si="12"/>
        <v>506.1844611163524</v>
      </c>
      <c r="BT47" s="104">
        <f t="shared" si="13"/>
        <v>516.51475624117597</v>
      </c>
      <c r="BU47" s="100">
        <f t="shared" si="14"/>
        <v>620.06573378292444</v>
      </c>
      <c r="BV47" s="100">
        <f t="shared" si="32"/>
        <v>310.03286689146222</v>
      </c>
      <c r="BW47" s="100">
        <f t="shared" si="33"/>
        <v>310.03286689146222</v>
      </c>
      <c r="BX47" s="168">
        <f t="shared" si="15"/>
        <v>29.526939703948784</v>
      </c>
      <c r="BY47" s="104">
        <f t="shared" si="34"/>
        <v>2.8034067470702885E-3</v>
      </c>
      <c r="BZ47" s="104">
        <f t="shared" si="35"/>
        <v>2.8034067470702885E-3</v>
      </c>
      <c r="CA47" s="208">
        <f t="shared" si="42"/>
        <v>5.606813494140577E-3</v>
      </c>
      <c r="CB47" s="331"/>
      <c r="CC47" s="403"/>
      <c r="CD47" s="413"/>
      <c r="CE47" s="362"/>
      <c r="CF47" s="117"/>
    </row>
    <row r="48" spans="3:84" s="109" customFormat="1" ht="15.75" x14ac:dyDescent="0.3">
      <c r="C48" s="100">
        <v>18</v>
      </c>
      <c r="D48" s="379"/>
      <c r="E48" s="379"/>
      <c r="F48" s="163" t="s">
        <v>128</v>
      </c>
      <c r="G48" s="340">
        <v>0.875</v>
      </c>
      <c r="H48" s="110">
        <v>0.87500000000000799</v>
      </c>
      <c r="I48" s="100">
        <v>-8.7172160000000005</v>
      </c>
      <c r="J48" s="100">
        <v>116.04549900000001</v>
      </c>
      <c r="K48" s="100">
        <f t="shared" si="16"/>
        <v>-0.15214412080753004</v>
      </c>
      <c r="L48" s="100">
        <f t="shared" si="16"/>
        <v>2.0253760396697871</v>
      </c>
      <c r="M48" s="100">
        <v>3443</v>
      </c>
      <c r="N48" s="102">
        <f t="shared" si="36"/>
        <v>0.39063725108529074</v>
      </c>
      <c r="O48" s="359"/>
      <c r="P48" s="102">
        <f t="shared" si="17"/>
        <v>5.0000000000063771E-2</v>
      </c>
      <c r="Q48" s="351"/>
      <c r="R48" s="103">
        <f t="shared" si="18"/>
        <v>7.8127450216958501</v>
      </c>
      <c r="S48" s="354"/>
      <c r="T48" s="104">
        <f t="shared" si="19"/>
        <v>4.0188760391603449</v>
      </c>
      <c r="U48" s="165">
        <f t="shared" si="20"/>
        <v>4.8422319525488193E-5</v>
      </c>
      <c r="V48" s="100">
        <f t="shared" si="21"/>
        <v>1.0407398329670414E-4</v>
      </c>
      <c r="W48" s="100">
        <f t="shared" si="37"/>
        <v>1.1353181214123664</v>
      </c>
      <c r="X48" s="100">
        <f t="shared" si="38"/>
        <v>65.04893676164977</v>
      </c>
      <c r="Y48" s="165">
        <f t="shared" si="39"/>
        <v>4.7856928089673456E-5</v>
      </c>
      <c r="Z48" s="166">
        <f t="shared" si="40"/>
        <v>-5.9629999999941674E-3</v>
      </c>
      <c r="AA48" s="167">
        <f t="shared" si="41"/>
        <v>294.95106323835023</v>
      </c>
      <c r="AB48" s="13">
        <v>200</v>
      </c>
      <c r="AC48" s="13">
        <v>13</v>
      </c>
      <c r="AD48" s="13">
        <f t="shared" si="22"/>
        <v>4</v>
      </c>
      <c r="AE48" s="161">
        <f t="shared" si="23"/>
        <v>94.95106323835023</v>
      </c>
      <c r="AF48" s="104">
        <f t="shared" si="0"/>
        <v>0.15367082322613462</v>
      </c>
      <c r="AG48" s="366"/>
      <c r="AH48" s="331"/>
      <c r="AI48" s="339"/>
      <c r="AJ48" s="106">
        <f t="shared" si="1"/>
        <v>1.5867601393979838</v>
      </c>
      <c r="AK48" s="100">
        <f t="shared" si="2"/>
        <v>0.33</v>
      </c>
      <c r="AL48" s="104">
        <f t="shared" si="24"/>
        <v>14.330886011442766</v>
      </c>
      <c r="AM48" s="104">
        <f t="shared" si="25"/>
        <v>7.5040939661204691</v>
      </c>
      <c r="AN48" s="104">
        <f t="shared" si="3"/>
        <v>8.4465846724439757</v>
      </c>
      <c r="AO48" s="104">
        <f t="shared" si="26"/>
        <v>4.3449231555051808</v>
      </c>
      <c r="AP48" s="104">
        <f t="shared" si="27"/>
        <v>0.16613797281995149</v>
      </c>
      <c r="AQ48" s="103">
        <f t="shared" si="4"/>
        <v>4.6247953016998744E-2</v>
      </c>
      <c r="AR48" s="100">
        <f t="shared" si="5"/>
        <v>254989934.68166775</v>
      </c>
      <c r="AS48" s="100">
        <f t="shared" si="28"/>
        <v>1.8273278740488358E-3</v>
      </c>
      <c r="AT48" s="104">
        <f t="shared" si="6"/>
        <v>569.88816537166588</v>
      </c>
      <c r="AU48" s="100">
        <f t="shared" si="7"/>
        <v>22007.967383677442</v>
      </c>
      <c r="AV48" s="339"/>
      <c r="AW48" s="339"/>
      <c r="AX48" s="356"/>
      <c r="AY48" s="339"/>
      <c r="AZ48" s="339"/>
      <c r="BA48" s="331"/>
      <c r="BB48" s="331"/>
      <c r="BC48" s="331"/>
      <c r="BD48" s="339"/>
      <c r="BE48" s="339"/>
      <c r="BF48" s="339"/>
      <c r="BG48" s="339"/>
      <c r="BH48" s="337"/>
      <c r="BI48" s="331"/>
      <c r="BJ48" s="331"/>
      <c r="BK48" s="331"/>
      <c r="BL48" s="104">
        <f t="shared" si="8"/>
        <v>-2.0487003569106609E-2</v>
      </c>
      <c r="BM48" s="103">
        <f t="shared" si="29"/>
        <v>653.52874001407793</v>
      </c>
      <c r="BN48" s="103">
        <f t="shared" si="9"/>
        <v>7097.3970591013376</v>
      </c>
      <c r="BO48" s="103">
        <f t="shared" si="10"/>
        <v>57.883421752295121</v>
      </c>
      <c r="BP48" s="103">
        <f t="shared" si="30"/>
        <v>66.565935015139388</v>
      </c>
      <c r="BQ48" s="104">
        <f t="shared" si="31"/>
        <v>289.22387241513223</v>
      </c>
      <c r="BR48" s="104">
        <f t="shared" si="11"/>
        <v>3.161326957333491</v>
      </c>
      <c r="BS48" s="107">
        <f t="shared" si="12"/>
        <v>691.43392684949208</v>
      </c>
      <c r="BT48" s="104">
        <f t="shared" si="13"/>
        <v>705.54482331580823</v>
      </c>
      <c r="BU48" s="100">
        <f t="shared" si="14"/>
        <v>846.99258501297504</v>
      </c>
      <c r="BV48" s="100">
        <f t="shared" si="32"/>
        <v>423.49629250648752</v>
      </c>
      <c r="BW48" s="100">
        <f t="shared" si="33"/>
        <v>423.49629250648752</v>
      </c>
      <c r="BX48" s="168">
        <f t="shared" si="15"/>
        <v>40.332980238713098</v>
      </c>
      <c r="BY48" s="104">
        <f t="shared" si="34"/>
        <v>3.509781925657404E-3</v>
      </c>
      <c r="BZ48" s="104">
        <f t="shared" si="35"/>
        <v>3.509781925657404E-3</v>
      </c>
      <c r="CA48" s="208">
        <f t="shared" si="42"/>
        <v>7.0195638513148081E-3</v>
      </c>
      <c r="CB48" s="331"/>
      <c r="CC48" s="404">
        <f>SUM(CA48:CA54)*1000</f>
        <v>72.024033937557192</v>
      </c>
      <c r="CD48" s="404">
        <v>51</v>
      </c>
      <c r="CE48" s="404">
        <f>AVERAGE(AN48:AN54)</f>
        <v>9.3643949416860828</v>
      </c>
      <c r="CF48" s="117"/>
    </row>
    <row r="49" spans="3:84" s="109" customFormat="1" ht="15.75" x14ac:dyDescent="0.3">
      <c r="C49" s="100">
        <v>19</v>
      </c>
      <c r="D49" s="379"/>
      <c r="E49" s="379"/>
      <c r="F49" s="163" t="s">
        <v>128</v>
      </c>
      <c r="G49" s="341"/>
      <c r="H49" s="110">
        <v>0.87708333333334298</v>
      </c>
      <c r="I49" s="100">
        <v>-8.7142909999999993</v>
      </c>
      <c r="J49" s="100">
        <v>116.03700499999999</v>
      </c>
      <c r="K49" s="100">
        <f t="shared" si="16"/>
        <v>-0.15209306992690916</v>
      </c>
      <c r="L49" s="100">
        <f t="shared" si="16"/>
        <v>2.0252277914031227</v>
      </c>
      <c r="M49" s="100">
        <v>3443</v>
      </c>
      <c r="N49" s="102">
        <f t="shared" si="36"/>
        <v>0.53426540648724996</v>
      </c>
      <c r="O49" s="331">
        <f>SUM(N49:N55)</f>
        <v>3.0221630250219351</v>
      </c>
      <c r="P49" s="102">
        <f t="shared" si="17"/>
        <v>5.000000000003979E-2</v>
      </c>
      <c r="Q49" s="343">
        <f>SUM(P49:P55)</f>
        <v>0.3333333333331403</v>
      </c>
      <c r="R49" s="103">
        <f t="shared" si="18"/>
        <v>10.685308129736496</v>
      </c>
      <c r="S49" s="346">
        <f>AVERAGE(R49:R55)</f>
        <v>9.1533139376611015</v>
      </c>
      <c r="T49" s="104">
        <f t="shared" si="19"/>
        <v>5.496522501936453</v>
      </c>
      <c r="U49" s="165">
        <f t="shared" si="20"/>
        <v>5.1653612302356897E-5</v>
      </c>
      <c r="V49" s="100">
        <f t="shared" si="21"/>
        <v>1.4824826666437474E-4</v>
      </c>
      <c r="W49" s="100">
        <f t="shared" si="37"/>
        <v>1.235524050794226</v>
      </c>
      <c r="X49" s="100">
        <f t="shared" si="38"/>
        <v>70.790313597416301</v>
      </c>
      <c r="Y49" s="165">
        <f t="shared" si="39"/>
        <v>5.1050880620878702E-5</v>
      </c>
      <c r="Z49" s="166">
        <f t="shared" si="40"/>
        <v>-8.4940000000131022E-3</v>
      </c>
      <c r="AA49" s="167">
        <f t="shared" si="41"/>
        <v>289.20968640258371</v>
      </c>
      <c r="AB49" s="13">
        <v>200</v>
      </c>
      <c r="AC49" s="13">
        <v>13</v>
      </c>
      <c r="AD49" s="13">
        <f t="shared" si="22"/>
        <v>4</v>
      </c>
      <c r="AE49" s="161">
        <f t="shared" si="23"/>
        <v>89.209686402583714</v>
      </c>
      <c r="AF49" s="104">
        <f t="shared" si="0"/>
        <v>0.21017198080337401</v>
      </c>
      <c r="AG49" s="366"/>
      <c r="AH49" s="331"/>
      <c r="AI49" s="339"/>
      <c r="AJ49" s="106">
        <f t="shared" si="1"/>
        <v>1.246099111297871</v>
      </c>
      <c r="AK49" s="100">
        <f t="shared" si="2"/>
        <v>0.33</v>
      </c>
      <c r="AL49" s="104">
        <f t="shared" si="24"/>
        <v>14.330886011442766</v>
      </c>
      <c r="AM49" s="104">
        <f t="shared" si="25"/>
        <v>5.8930424265800747</v>
      </c>
      <c r="AN49" s="104">
        <f t="shared" si="3"/>
        <v>11.354429476056627</v>
      </c>
      <c r="AO49" s="104">
        <f t="shared" si="26"/>
        <v>5.8407185224835283</v>
      </c>
      <c r="AP49" s="104">
        <f t="shared" si="27"/>
        <v>0.22333309483456951</v>
      </c>
      <c r="AQ49" s="103">
        <f t="shared" si="4"/>
        <v>4.7053478786747406E-2</v>
      </c>
      <c r="AR49" s="100">
        <f t="shared" si="5"/>
        <v>342773480.96595263</v>
      </c>
      <c r="AS49" s="100">
        <f t="shared" si="28"/>
        <v>1.7561803787238318E-3</v>
      </c>
      <c r="AT49" s="104">
        <f t="shared" si="6"/>
        <v>989.71609806247034</v>
      </c>
      <c r="AU49" s="100">
        <f t="shared" si="7"/>
        <v>38220.901799309955</v>
      </c>
      <c r="AV49" s="339"/>
      <c r="AW49" s="339"/>
      <c r="AX49" s="356"/>
      <c r="AY49" s="339"/>
      <c r="AZ49" s="339"/>
      <c r="BA49" s="331"/>
      <c r="BB49" s="331"/>
      <c r="BC49" s="331"/>
      <c r="BD49" s="339"/>
      <c r="BE49" s="339"/>
      <c r="BF49" s="339"/>
      <c r="BG49" s="339"/>
      <c r="BH49" s="337"/>
      <c r="BI49" s="331"/>
      <c r="BJ49" s="331"/>
      <c r="BK49" s="331"/>
      <c r="BL49" s="104">
        <f t="shared" si="8"/>
        <v>-0.10332034154434389</v>
      </c>
      <c r="BM49" s="103">
        <f t="shared" si="29"/>
        <v>14113.767969880229</v>
      </c>
      <c r="BN49" s="103">
        <f t="shared" si="9"/>
        <v>12825.297756385702</v>
      </c>
      <c r="BO49" s="103">
        <f t="shared" si="10"/>
        <v>114.00340798814597</v>
      </c>
      <c r="BP49" s="103">
        <f t="shared" si="30"/>
        <v>131.10391918636788</v>
      </c>
      <c r="BQ49" s="104">
        <f t="shared" si="31"/>
        <v>765.74108916200248</v>
      </c>
      <c r="BR49" s="104">
        <f t="shared" si="11"/>
        <v>4.2496541951332558</v>
      </c>
      <c r="BS49" s="107">
        <f t="shared" si="12"/>
        <v>1830.6212547674506</v>
      </c>
      <c r="BT49" s="104">
        <f t="shared" si="13"/>
        <v>1867.9808722116843</v>
      </c>
      <c r="BU49" s="100">
        <f t="shared" si="14"/>
        <v>2242.4740362685288</v>
      </c>
      <c r="BV49" s="100">
        <f t="shared" si="32"/>
        <v>1121.2370181342644</v>
      </c>
      <c r="BW49" s="100">
        <f t="shared" si="33"/>
        <v>1121.2370181342644</v>
      </c>
      <c r="BX49" s="168">
        <f t="shared" si="15"/>
        <v>106.784477917549</v>
      </c>
      <c r="BY49" s="104">
        <f t="shared" si="34"/>
        <v>9.4542519227872168E-3</v>
      </c>
      <c r="BZ49" s="104">
        <f t="shared" si="35"/>
        <v>9.4542519227872168E-3</v>
      </c>
      <c r="CA49" s="208">
        <f t="shared" si="42"/>
        <v>1.8908503845574434E-2</v>
      </c>
      <c r="CB49" s="331"/>
      <c r="CC49" s="405"/>
      <c r="CD49" s="405"/>
      <c r="CE49" s="405"/>
      <c r="CF49" s="117"/>
    </row>
    <row r="50" spans="3:84" s="109" customFormat="1" ht="15.75" x14ac:dyDescent="0.3">
      <c r="C50" s="100">
        <v>20</v>
      </c>
      <c r="D50" s="379"/>
      <c r="E50" s="379"/>
      <c r="F50" s="163" t="s">
        <v>128</v>
      </c>
      <c r="G50" s="341"/>
      <c r="H50" s="110">
        <v>0.87916666666667798</v>
      </c>
      <c r="I50" s="100">
        <v>-8.7115430000000007</v>
      </c>
      <c r="J50" s="100">
        <v>116.030168</v>
      </c>
      <c r="K50" s="100">
        <f t="shared" si="16"/>
        <v>-0.15204510827906439</v>
      </c>
      <c r="L50" s="100">
        <f t="shared" si="16"/>
        <v>2.0251084632421641</v>
      </c>
      <c r="M50" s="100">
        <v>3443</v>
      </c>
      <c r="N50" s="102">
        <f t="shared" si="36"/>
        <v>0.43839515276578939</v>
      </c>
      <c r="O50" s="331"/>
      <c r="P50" s="102">
        <f t="shared" si="17"/>
        <v>5.000000000003979E-2</v>
      </c>
      <c r="Q50" s="344"/>
      <c r="R50" s="103">
        <f t="shared" si="18"/>
        <v>8.7679030553088104</v>
      </c>
      <c r="S50" s="347"/>
      <c r="T50" s="104">
        <f t="shared" si="19"/>
        <v>4.5102093316508514</v>
      </c>
      <c r="U50" s="165">
        <f t="shared" si="20"/>
        <v>4.8527536335283238E-5</v>
      </c>
      <c r="V50" s="100">
        <f t="shared" si="21"/>
        <v>1.1932816095860943E-4</v>
      </c>
      <c r="W50" s="100">
        <f t="shared" si="37"/>
        <v>1.1845506679973281</v>
      </c>
      <c r="X50" s="100">
        <f t="shared" si="38"/>
        <v>67.869753895649296</v>
      </c>
      <c r="Y50" s="165">
        <f t="shared" si="39"/>
        <v>4.7961647844763089E-5</v>
      </c>
      <c r="Z50" s="166">
        <f t="shared" si="40"/>
        <v>-6.836999999990212E-3</v>
      </c>
      <c r="AA50" s="167">
        <f t="shared" si="41"/>
        <v>292.1302461043507</v>
      </c>
      <c r="AB50" s="13">
        <v>200</v>
      </c>
      <c r="AC50" s="13">
        <v>13</v>
      </c>
      <c r="AD50" s="13">
        <f t="shared" si="22"/>
        <v>4</v>
      </c>
      <c r="AE50" s="161">
        <f t="shared" si="23"/>
        <v>92.130246104350704</v>
      </c>
      <c r="AF50" s="104">
        <f t="shared" si="0"/>
        <v>0.17245806393714647</v>
      </c>
      <c r="AG50" s="366"/>
      <c r="AH50" s="331"/>
      <c r="AI50" s="339"/>
      <c r="AJ50" s="106">
        <f t="shared" si="1"/>
        <v>1.4803595371327298</v>
      </c>
      <c r="AK50" s="100">
        <f t="shared" si="2"/>
        <v>0.33</v>
      </c>
      <c r="AL50" s="104">
        <f t="shared" si="24"/>
        <v>14.330886011442766</v>
      </c>
      <c r="AM50" s="104">
        <f t="shared" si="25"/>
        <v>7.0009050482584376</v>
      </c>
      <c r="AN50" s="104">
        <f t="shared" si="3"/>
        <v>9.4279444975874114</v>
      </c>
      <c r="AO50" s="104">
        <f t="shared" si="26"/>
        <v>4.8497346495589637</v>
      </c>
      <c r="AP50" s="104">
        <f t="shared" si="27"/>
        <v>0.1854405830794775</v>
      </c>
      <c r="AQ50" s="103">
        <f t="shared" si="4"/>
        <v>4.6499547475907781E-2</v>
      </c>
      <c r="AR50" s="100">
        <f t="shared" si="5"/>
        <v>284615740.54482412</v>
      </c>
      <c r="AS50" s="100">
        <f t="shared" si="28"/>
        <v>1.8003978962798659E-3</v>
      </c>
      <c r="AT50" s="104">
        <f t="shared" si="6"/>
        <v>699.54138159739182</v>
      </c>
      <c r="AU50" s="100">
        <f t="shared" si="7"/>
        <v>27014.921251588956</v>
      </c>
      <c r="AV50" s="339"/>
      <c r="AW50" s="339"/>
      <c r="AX50" s="356"/>
      <c r="AY50" s="339"/>
      <c r="AZ50" s="339"/>
      <c r="BA50" s="331"/>
      <c r="BB50" s="331"/>
      <c r="BC50" s="331"/>
      <c r="BD50" s="339"/>
      <c r="BE50" s="339"/>
      <c r="BF50" s="339"/>
      <c r="BG50" s="339"/>
      <c r="BH50" s="337"/>
      <c r="BI50" s="331"/>
      <c r="BJ50" s="331"/>
      <c r="BK50" s="331"/>
      <c r="BL50" s="104">
        <f t="shared" si="8"/>
        <v>-4.1878225372878303E-2</v>
      </c>
      <c r="BM50" s="103">
        <f t="shared" si="29"/>
        <v>2240.6653160239134</v>
      </c>
      <c r="BN50" s="103">
        <f t="shared" si="9"/>
        <v>8842.4142433519646</v>
      </c>
      <c r="BO50" s="103">
        <f t="shared" si="10"/>
        <v>72.62104018563565</v>
      </c>
      <c r="BP50" s="103">
        <f t="shared" si="30"/>
        <v>83.514196213481</v>
      </c>
      <c r="BQ50" s="104">
        <f t="shared" si="31"/>
        <v>405.0216911065848</v>
      </c>
      <c r="BR50" s="104">
        <f t="shared" si="11"/>
        <v>3.5286232540475049</v>
      </c>
      <c r="BS50" s="107">
        <f t="shared" si="12"/>
        <v>968.26633293633995</v>
      </c>
      <c r="BT50" s="104">
        <f t="shared" si="13"/>
        <v>988.026870343204</v>
      </c>
      <c r="BU50" s="100">
        <f t="shared" si="14"/>
        <v>1186.1066870866796</v>
      </c>
      <c r="BV50" s="100">
        <f t="shared" si="32"/>
        <v>593.05334354333979</v>
      </c>
      <c r="BW50" s="100">
        <f t="shared" si="33"/>
        <v>593.05334354333979</v>
      </c>
      <c r="BX50" s="168">
        <f t="shared" si="15"/>
        <v>56.481270813651406</v>
      </c>
      <c r="BY50" s="104">
        <f t="shared" si="34"/>
        <v>4.9417468090080163E-3</v>
      </c>
      <c r="BZ50" s="104">
        <f t="shared" si="35"/>
        <v>4.9417468090080163E-3</v>
      </c>
      <c r="CA50" s="208">
        <f t="shared" si="42"/>
        <v>9.8834936180160326E-3</v>
      </c>
      <c r="CB50" s="331"/>
      <c r="CC50" s="405"/>
      <c r="CD50" s="405"/>
      <c r="CE50" s="405"/>
      <c r="CF50" s="117"/>
    </row>
    <row r="51" spans="3:84" s="109" customFormat="1" ht="15.75" x14ac:dyDescent="0.3">
      <c r="C51" s="100">
        <v>21</v>
      </c>
      <c r="D51" s="379"/>
      <c r="E51" s="379"/>
      <c r="F51" s="163" t="s">
        <v>128</v>
      </c>
      <c r="G51" s="341"/>
      <c r="H51" s="110">
        <v>0.88125000000001297</v>
      </c>
      <c r="I51" s="100">
        <v>-8.7092159999999996</v>
      </c>
      <c r="J51" s="100">
        <v>116.024423</v>
      </c>
      <c r="K51" s="100">
        <f t="shared" si="16"/>
        <v>-0.15200449446737047</v>
      </c>
      <c r="L51" s="100">
        <f t="shared" si="16"/>
        <v>2.0250081940766367</v>
      </c>
      <c r="M51" s="100">
        <v>3443</v>
      </c>
      <c r="N51" s="102">
        <f t="shared" si="36"/>
        <v>0.36878388433188691</v>
      </c>
      <c r="O51" s="331"/>
      <c r="P51" s="102">
        <f t="shared" si="17"/>
        <v>5.000000000003979E-2</v>
      </c>
      <c r="Q51" s="344"/>
      <c r="R51" s="103">
        <f t="shared" si="18"/>
        <v>7.3756776866318683</v>
      </c>
      <c r="S51" s="347"/>
      <c r="T51" s="104">
        <f t="shared" si="19"/>
        <v>3.794048602003433</v>
      </c>
      <c r="U51" s="165">
        <f t="shared" si="20"/>
        <v>4.1092724401166404E-5</v>
      </c>
      <c r="V51" s="100">
        <f t="shared" si="21"/>
        <v>1.0026916552741127E-4</v>
      </c>
      <c r="W51" s="100">
        <f t="shared" ref="W51:W114" si="51">ATAN2(U51,V51)</f>
        <v>1.1818496583176941</v>
      </c>
      <c r="X51" s="100">
        <f t="shared" si="38"/>
        <v>67.71499744058228</v>
      </c>
      <c r="Y51" s="165">
        <f t="shared" si="39"/>
        <v>4.0613811693929192E-5</v>
      </c>
      <c r="Z51" s="166">
        <f t="shared" si="40"/>
        <v>-5.745000000004552E-3</v>
      </c>
      <c r="AA51" s="167">
        <f t="shared" si="41"/>
        <v>292.28500255941771</v>
      </c>
      <c r="AB51" s="13">
        <v>200</v>
      </c>
      <c r="AC51" s="13">
        <v>13</v>
      </c>
      <c r="AD51" s="13">
        <f t="shared" si="22"/>
        <v>4</v>
      </c>
      <c r="AE51" s="161">
        <f t="shared" si="23"/>
        <v>92.285002559417705</v>
      </c>
      <c r="AF51" s="104">
        <f t="shared" si="0"/>
        <v>0.14507403720559764</v>
      </c>
      <c r="AG51" s="366"/>
      <c r="AH51" s="331"/>
      <c r="AI51" s="339"/>
      <c r="AJ51" s="106">
        <f t="shared" si="1"/>
        <v>1.633164087156034</v>
      </c>
      <c r="AK51" s="100">
        <f>IF(AND(AE51&gt;=0,AE51&lt;=30),2/2,IF(AND(AE51&gt;30,AE51&lt;=60),(1.7-0.03*(AD51-4)^2)/2,IF(AND(AE51&gt;60,AE51&lt;=150),(0.9-0.06*(AD51-6)^2)/2,IF(AND(AE51&gt;150,AE51&lt;=180),(0.4-0.03*(AD51-8)^2)/2))))</f>
        <v>0.33</v>
      </c>
      <c r="AL51" s="104">
        <f t="shared" si="24"/>
        <v>14.330886011442766</v>
      </c>
      <c r="AM51" s="104">
        <f t="shared" si="25"/>
        <v>7.7235471624349836</v>
      </c>
      <c r="AN51" s="104">
        <f t="shared" si="3"/>
        <v>7.9930225532350416</v>
      </c>
      <c r="AO51" s="104">
        <f t="shared" si="26"/>
        <v>4.1116108013841055</v>
      </c>
      <c r="AP51" s="104">
        <f t="shared" si="27"/>
        <v>0.15721674679126715</v>
      </c>
      <c r="AQ51" s="103">
        <f t="shared" si="4"/>
        <v>4.6138226418819227E-2</v>
      </c>
      <c r="AR51" s="100">
        <f t="shared" si="5"/>
        <v>241297563.19233999</v>
      </c>
      <c r="AS51" s="100">
        <f t="shared" si="28"/>
        <v>1.8410789496653558E-3</v>
      </c>
      <c r="AT51" s="104">
        <f t="shared" si="6"/>
        <v>514.16838394695014</v>
      </c>
      <c r="AU51" s="100">
        <f t="shared" si="7"/>
        <v>19856.178301654603</v>
      </c>
      <c r="AV51" s="339"/>
      <c r="AW51" s="339"/>
      <c r="AX51" s="356"/>
      <c r="AY51" s="339"/>
      <c r="AZ51" s="339"/>
      <c r="BA51" s="331"/>
      <c r="BB51" s="331"/>
      <c r="BC51" s="331"/>
      <c r="BD51" s="339"/>
      <c r="BE51" s="339"/>
      <c r="BF51" s="339"/>
      <c r="BG51" s="339"/>
      <c r="BH51" s="337"/>
      <c r="BI51" s="331"/>
      <c r="BJ51" s="331"/>
      <c r="BK51" s="331"/>
      <c r="BL51" s="104">
        <f t="shared" si="8"/>
        <v>-1.3422846938506285E-2</v>
      </c>
      <c r="BM51" s="103">
        <f t="shared" si="29"/>
        <v>339.89339510084983</v>
      </c>
      <c r="BN51" s="103">
        <f t="shared" si="9"/>
        <v>6355.634283144087</v>
      </c>
      <c r="BO51" s="103">
        <f t="shared" si="10"/>
        <v>51.926409794673262</v>
      </c>
      <c r="BP51" s="103">
        <f t="shared" si="30"/>
        <v>59.715371263874253</v>
      </c>
      <c r="BQ51" s="104">
        <f t="shared" si="31"/>
        <v>245.52636549720739</v>
      </c>
      <c r="BR51" s="104">
        <f t="shared" si="11"/>
        <v>2.9915709896986309</v>
      </c>
      <c r="BS51" s="107">
        <f t="shared" si="12"/>
        <v>586.96834954601627</v>
      </c>
      <c r="BT51" s="104">
        <f t="shared" si="13"/>
        <v>598.94729545511871</v>
      </c>
      <c r="BU51" s="100">
        <f t="shared" si="14"/>
        <v>719.02436429185923</v>
      </c>
      <c r="BV51" s="100">
        <f t="shared" si="32"/>
        <v>359.51218214592961</v>
      </c>
      <c r="BW51" s="100">
        <f t="shared" si="33"/>
        <v>359.51218214592961</v>
      </c>
      <c r="BX51" s="168">
        <f t="shared" si="15"/>
        <v>34.239255442469485</v>
      </c>
      <c r="BY51" s="104">
        <f t="shared" si="34"/>
        <v>2.9724359992629444E-3</v>
      </c>
      <c r="BZ51" s="104">
        <f t="shared" si="35"/>
        <v>2.9724359992629444E-3</v>
      </c>
      <c r="CA51" s="208">
        <f t="shared" si="42"/>
        <v>5.9448719985258887E-3</v>
      </c>
      <c r="CB51" s="331"/>
      <c r="CC51" s="405"/>
      <c r="CD51" s="405"/>
      <c r="CE51" s="405"/>
      <c r="CF51" s="117"/>
    </row>
    <row r="52" spans="3:84" s="109" customFormat="1" ht="15.75" x14ac:dyDescent="0.3">
      <c r="C52" s="100">
        <v>22</v>
      </c>
      <c r="D52" s="379"/>
      <c r="E52" s="379"/>
      <c r="F52" s="163" t="s">
        <v>128</v>
      </c>
      <c r="G52" s="341"/>
      <c r="H52" s="110">
        <v>0.88333333333334796</v>
      </c>
      <c r="I52" s="100">
        <v>-8.7065370000000009</v>
      </c>
      <c r="J52" s="100">
        <v>116.017325</v>
      </c>
      <c r="K52" s="100">
        <f t="shared" si="16"/>
        <v>-0.15195773709670957</v>
      </c>
      <c r="L52" s="100">
        <f t="shared" si="16"/>
        <v>2.0248843106063301</v>
      </c>
      <c r="M52" s="100">
        <v>3443</v>
      </c>
      <c r="N52" s="102">
        <f t="shared" si="36"/>
        <v>0.45130356602307603</v>
      </c>
      <c r="O52" s="331"/>
      <c r="P52" s="102">
        <f t="shared" si="17"/>
        <v>5.000000000003979E-2</v>
      </c>
      <c r="Q52" s="344"/>
      <c r="R52" s="103">
        <f t="shared" si="18"/>
        <v>9.0260713204543368</v>
      </c>
      <c r="S52" s="347"/>
      <c r="T52" s="104">
        <f t="shared" si="19"/>
        <v>4.6430110872417103</v>
      </c>
      <c r="U52" s="165">
        <f t="shared" si="20"/>
        <v>4.7308409134326754E-5</v>
      </c>
      <c r="V52" s="100">
        <f t="shared" si="21"/>
        <v>1.2388347030656277E-4</v>
      </c>
      <c r="W52" s="100">
        <f t="shared" si="51"/>
        <v>1.2060090439240641</v>
      </c>
      <c r="X52" s="100">
        <f t="shared" si="38"/>
        <v>69.099228271456383</v>
      </c>
      <c r="Y52" s="165">
        <f t="shared" si="39"/>
        <v>4.6757370660899245E-5</v>
      </c>
      <c r="Z52" s="166">
        <f t="shared" si="40"/>
        <v>-7.0979999999991605E-3</v>
      </c>
      <c r="AA52" s="167">
        <f t="shared" si="41"/>
        <v>290.90077172854365</v>
      </c>
      <c r="AB52" s="13">
        <v>200</v>
      </c>
      <c r="AC52" s="13">
        <v>13</v>
      </c>
      <c r="AD52" s="13">
        <f t="shared" si="22"/>
        <v>4</v>
      </c>
      <c r="AE52" s="161">
        <f t="shared" si="23"/>
        <v>90.900771728543646</v>
      </c>
      <c r="AF52" s="104">
        <f t="shared" si="0"/>
        <v>0.17753603969670409</v>
      </c>
      <c r="AG52" s="366"/>
      <c r="AH52" s="331"/>
      <c r="AI52" s="339"/>
      <c r="AJ52" s="106">
        <f t="shared" si="1"/>
        <v>1.4504251604637002</v>
      </c>
      <c r="AK52" s="100">
        <f t="shared" si="2"/>
        <v>0.33</v>
      </c>
      <c r="AL52" s="104">
        <f t="shared" si="24"/>
        <v>14.330886011442766</v>
      </c>
      <c r="AM52" s="104">
        <f t="shared" si="25"/>
        <v>6.8593396221021772</v>
      </c>
      <c r="AN52" s="104">
        <f t="shared" si="3"/>
        <v>9.6907959250374969</v>
      </c>
      <c r="AO52" s="104">
        <f t="shared" si="26"/>
        <v>4.9849454238392878</v>
      </c>
      <c r="AP52" s="104">
        <f t="shared" si="27"/>
        <v>0.19061067312212573</v>
      </c>
      <c r="AQ52" s="103">
        <f t="shared" si="4"/>
        <v>4.657033018898598E-2</v>
      </c>
      <c r="AR52" s="100">
        <f t="shared" si="5"/>
        <v>292550837.5000633</v>
      </c>
      <c r="AS52" s="100">
        <f t="shared" si="28"/>
        <v>1.7937537257650821E-3</v>
      </c>
      <c r="AT52" s="104">
        <f t="shared" si="6"/>
        <v>736.36407337534945</v>
      </c>
      <c r="AU52" s="100">
        <f t="shared" si="7"/>
        <v>28436.941656416951</v>
      </c>
      <c r="AV52" s="339"/>
      <c r="AW52" s="339"/>
      <c r="AX52" s="356"/>
      <c r="AY52" s="339"/>
      <c r="AZ52" s="339"/>
      <c r="BA52" s="331"/>
      <c r="BB52" s="331"/>
      <c r="BC52" s="331"/>
      <c r="BD52" s="339"/>
      <c r="BE52" s="339"/>
      <c r="BF52" s="339"/>
      <c r="BG52" s="339"/>
      <c r="BH52" s="337"/>
      <c r="BI52" s="331"/>
      <c r="BJ52" s="331"/>
      <c r="BK52" s="331"/>
      <c r="BL52" s="104">
        <f t="shared" si="8"/>
        <v>-4.8929344996243976E-2</v>
      </c>
      <c r="BM52" s="103">
        <f t="shared" si="29"/>
        <v>3004.2509000687842</v>
      </c>
      <c r="BN52" s="103">
        <f t="shared" si="9"/>
        <v>9342.341066268662</v>
      </c>
      <c r="BO52" s="103">
        <f t="shared" si="10"/>
        <v>77.123808219777544</v>
      </c>
      <c r="BP52" s="103">
        <f t="shared" si="30"/>
        <v>88.692379452744177</v>
      </c>
      <c r="BQ52" s="104">
        <f t="shared" si="31"/>
        <v>442.12667108237474</v>
      </c>
      <c r="BR52" s="104">
        <f t="shared" si="11"/>
        <v>3.6270013956983491</v>
      </c>
      <c r="BS52" s="107">
        <f t="shared" si="12"/>
        <v>1056.971465732252</v>
      </c>
      <c r="BT52" s="104">
        <f t="shared" si="13"/>
        <v>1078.5423119716856</v>
      </c>
      <c r="BU52" s="100">
        <f t="shared" si="14"/>
        <v>1294.7686818387585</v>
      </c>
      <c r="BV52" s="100">
        <f t="shared" si="32"/>
        <v>647.38434091937927</v>
      </c>
      <c r="BW52" s="100">
        <f t="shared" si="33"/>
        <v>647.38434091937927</v>
      </c>
      <c r="BX52" s="168">
        <f t="shared" si="15"/>
        <v>61.655651516131357</v>
      </c>
      <c r="BY52" s="104">
        <f t="shared" si="34"/>
        <v>5.4026833308303849E-3</v>
      </c>
      <c r="BZ52" s="104">
        <f t="shared" si="35"/>
        <v>5.4026833308303849E-3</v>
      </c>
      <c r="CA52" s="208">
        <f t="shared" si="42"/>
        <v>1.080536666166077E-2</v>
      </c>
      <c r="CB52" s="331"/>
      <c r="CC52" s="405"/>
      <c r="CD52" s="405"/>
      <c r="CE52" s="405"/>
      <c r="CF52" s="117"/>
    </row>
    <row r="53" spans="3:84" s="109" customFormat="1" ht="15.75" x14ac:dyDescent="0.3">
      <c r="C53" s="100">
        <v>23</v>
      </c>
      <c r="D53" s="379"/>
      <c r="E53" s="379"/>
      <c r="F53" s="163" t="s">
        <v>128</v>
      </c>
      <c r="G53" s="341"/>
      <c r="H53" s="110">
        <v>0.88541666666668295</v>
      </c>
      <c r="I53" s="100">
        <v>-8.7039030000000004</v>
      </c>
      <c r="J53" s="100">
        <v>116.009967</v>
      </c>
      <c r="K53" s="100">
        <f t="shared" si="16"/>
        <v>-0.15191176512421201</v>
      </c>
      <c r="L53" s="100">
        <f t="shared" si="16"/>
        <v>2.0247558892799686</v>
      </c>
      <c r="M53" s="100">
        <v>3443</v>
      </c>
      <c r="N53" s="102">
        <f t="shared" si="36"/>
        <v>0.46483910701633846</v>
      </c>
      <c r="O53" s="331"/>
      <c r="P53" s="102">
        <f t="shared" si="17"/>
        <v>5.000000000003979E-2</v>
      </c>
      <c r="Q53" s="344"/>
      <c r="R53" s="103">
        <f t="shared" si="18"/>
        <v>9.2967821403193707</v>
      </c>
      <c r="S53" s="347"/>
      <c r="T53" s="104">
        <f t="shared" si="19"/>
        <v>4.7822647329802841</v>
      </c>
      <c r="U53" s="165">
        <f t="shared" si="20"/>
        <v>4.6513422991202184E-5</v>
      </c>
      <c r="V53" s="100">
        <f t="shared" si="21"/>
        <v>1.2842132636148307E-4</v>
      </c>
      <c r="W53" s="100">
        <f t="shared" si="51"/>
        <v>1.2232999002891511</v>
      </c>
      <c r="X53" s="100">
        <f t="shared" si="38"/>
        <v>70.089921365342789</v>
      </c>
      <c r="Y53" s="165">
        <f t="shared" si="39"/>
        <v>4.5971972497560465E-5</v>
      </c>
      <c r="Z53" s="166">
        <f t="shared" si="40"/>
        <v>-7.357999999996423E-3</v>
      </c>
      <c r="AA53" s="167">
        <f t="shared" si="41"/>
        <v>289.91007863465722</v>
      </c>
      <c r="AB53" s="13">
        <v>200</v>
      </c>
      <c r="AC53" s="13">
        <v>13</v>
      </c>
      <c r="AD53" s="13">
        <f t="shared" si="22"/>
        <v>4</v>
      </c>
      <c r="AE53" s="161">
        <f t="shared" si="23"/>
        <v>89.910078634657225</v>
      </c>
      <c r="AF53" s="104">
        <f t="shared" si="0"/>
        <v>0.18286071808174781</v>
      </c>
      <c r="AG53" s="366"/>
      <c r="AH53" s="331"/>
      <c r="AI53" s="339"/>
      <c r="AJ53" s="106">
        <f t="shared" si="1"/>
        <v>1.418499195287118</v>
      </c>
      <c r="AK53" s="100">
        <f t="shared" si="2"/>
        <v>0.33</v>
      </c>
      <c r="AL53" s="104">
        <f t="shared" si="24"/>
        <v>14.330886011442766</v>
      </c>
      <c r="AM53" s="104">
        <f t="shared" si="25"/>
        <v>6.7083555907443841</v>
      </c>
      <c r="AN53" s="104">
        <f t="shared" si="3"/>
        <v>9.9652891737397891</v>
      </c>
      <c r="AO53" s="104">
        <f t="shared" si="26"/>
        <v>5.126144750971747</v>
      </c>
      <c r="AP53" s="104">
        <f t="shared" si="27"/>
        <v>0.19600974903986781</v>
      </c>
      <c r="AQ53" s="103">
        <f t="shared" si="4"/>
        <v>4.6645822204664927E-2</v>
      </c>
      <c r="AR53" s="100">
        <f t="shared" si="5"/>
        <v>300837383.87016022</v>
      </c>
      <c r="AS53" s="100">
        <f t="shared" si="28"/>
        <v>1.7870425283044065E-3</v>
      </c>
      <c r="AT53" s="104">
        <f t="shared" si="6"/>
        <v>775.75677752928038</v>
      </c>
      <c r="AU53" s="100">
        <f t="shared" si="7"/>
        <v>29958.210917394084</v>
      </c>
      <c r="AV53" s="339"/>
      <c r="AW53" s="339"/>
      <c r="AX53" s="356"/>
      <c r="AY53" s="339"/>
      <c r="AZ53" s="339"/>
      <c r="BA53" s="331"/>
      <c r="BB53" s="331"/>
      <c r="BC53" s="331"/>
      <c r="BD53" s="339"/>
      <c r="BE53" s="339"/>
      <c r="BF53" s="339"/>
      <c r="BG53" s="339"/>
      <c r="BH53" s="337"/>
      <c r="BI53" s="331"/>
      <c r="BJ53" s="331"/>
      <c r="BK53" s="331"/>
      <c r="BL53" s="104">
        <f t="shared" si="8"/>
        <v>-5.6821587260911709E-2</v>
      </c>
      <c r="BM53" s="103">
        <f t="shared" si="29"/>
        <v>4019.1561450805007</v>
      </c>
      <c r="BN53" s="103">
        <f t="shared" si="9"/>
        <v>9879.0829835536661</v>
      </c>
      <c r="BO53" s="103">
        <f t="shared" si="10"/>
        <v>82.14079244569588</v>
      </c>
      <c r="BP53" s="103">
        <f t="shared" si="30"/>
        <v>94.461911312550257</v>
      </c>
      <c r="BQ53" s="104">
        <f t="shared" si="31"/>
        <v>484.22543084158821</v>
      </c>
      <c r="BR53" s="104">
        <f t="shared" si="11"/>
        <v>3.7297367544711775</v>
      </c>
      <c r="BS53" s="107">
        <f t="shared" si="12"/>
        <v>1157.6149932970375</v>
      </c>
      <c r="BT53" s="104">
        <f t="shared" si="13"/>
        <v>1181.2397890786096</v>
      </c>
      <c r="BU53" s="100">
        <f t="shared" si="14"/>
        <v>1418.0549688818844</v>
      </c>
      <c r="BV53" s="100">
        <f t="shared" si="32"/>
        <v>709.0274844409422</v>
      </c>
      <c r="BW53" s="100">
        <f t="shared" si="33"/>
        <v>709.0274844409422</v>
      </c>
      <c r="BX53" s="168">
        <f t="shared" si="15"/>
        <v>67.526427089613534</v>
      </c>
      <c r="BY53" s="104">
        <f t="shared" si="34"/>
        <v>5.9267120599595813E-3</v>
      </c>
      <c r="BZ53" s="104">
        <f t="shared" si="35"/>
        <v>5.9267120599595813E-3</v>
      </c>
      <c r="CA53" s="208">
        <f t="shared" si="42"/>
        <v>1.1853424119919163E-2</v>
      </c>
      <c r="CB53" s="331"/>
      <c r="CC53" s="405"/>
      <c r="CD53" s="405"/>
      <c r="CE53" s="405"/>
      <c r="CF53" s="117"/>
    </row>
    <row r="54" spans="3:84" s="109" customFormat="1" ht="15.75" x14ac:dyDescent="0.3">
      <c r="C54" s="100">
        <v>24</v>
      </c>
      <c r="D54" s="379"/>
      <c r="E54" s="379"/>
      <c r="F54" s="163" t="s">
        <v>128</v>
      </c>
      <c r="G54" s="342"/>
      <c r="H54" s="110">
        <v>0.88750000000001805</v>
      </c>
      <c r="I54" s="100">
        <v>-8.7014060000000004</v>
      </c>
      <c r="J54" s="100">
        <v>116.00369600000001</v>
      </c>
      <c r="K54" s="100">
        <f t="shared" si="16"/>
        <v>-0.15186818425278972</v>
      </c>
      <c r="L54" s="100">
        <f t="shared" si="16"/>
        <v>2.0246464396825763</v>
      </c>
      <c r="M54" s="100">
        <v>3443</v>
      </c>
      <c r="N54" s="102">
        <f t="shared" si="36"/>
        <v>0.40158220208861145</v>
      </c>
      <c r="O54" s="331"/>
      <c r="P54" s="102">
        <f t="shared" si="17"/>
        <v>5.0000000000042455E-2</v>
      </c>
      <c r="Q54" s="344"/>
      <c r="R54" s="103">
        <f t="shared" si="18"/>
        <v>8.0316440417654089</v>
      </c>
      <c r="S54" s="347"/>
      <c r="T54" s="104">
        <f t="shared" si="19"/>
        <v>4.1314776950841257</v>
      </c>
      <c r="U54" s="165">
        <f t="shared" si="20"/>
        <v>4.4093856041985297E-5</v>
      </c>
      <c r="V54" s="100">
        <f t="shared" si="21"/>
        <v>1.094495973923415E-4</v>
      </c>
      <c r="W54" s="100">
        <f t="shared" si="51"/>
        <v>1.187819074608375</v>
      </c>
      <c r="X54" s="100">
        <f t="shared" si="38"/>
        <v>68.057019800194936</v>
      </c>
      <c r="Y54" s="165">
        <f t="shared" si="39"/>
        <v>4.3580871422282952E-5</v>
      </c>
      <c r="Z54" s="166">
        <f t="shared" si="40"/>
        <v>-6.2709999999981392E-3</v>
      </c>
      <c r="AA54" s="167">
        <f t="shared" si="41"/>
        <v>291.94298019980505</v>
      </c>
      <c r="AB54" s="13">
        <v>200</v>
      </c>
      <c r="AC54" s="13">
        <v>13</v>
      </c>
      <c r="AD54" s="13">
        <f t="shared" si="22"/>
        <v>4</v>
      </c>
      <c r="AE54" s="161">
        <f t="shared" si="23"/>
        <v>91.942980199805049</v>
      </c>
      <c r="AF54" s="104">
        <f t="shared" si="0"/>
        <v>0.15797640244625122</v>
      </c>
      <c r="AG54" s="366"/>
      <c r="AH54" s="331"/>
      <c r="AI54" s="339"/>
      <c r="AJ54" s="106">
        <f t="shared" si="1"/>
        <v>1.5629805197047308</v>
      </c>
      <c r="AK54" s="100">
        <f t="shared" si="2"/>
        <v>0.33</v>
      </c>
      <c r="AL54" s="104">
        <f t="shared" si="24"/>
        <v>14.330886011442766</v>
      </c>
      <c r="AM54" s="104">
        <f t="shared" si="25"/>
        <v>7.3916355697780434</v>
      </c>
      <c r="AN54" s="104">
        <f t="shared" si="3"/>
        <v>8.6726982937022363</v>
      </c>
      <c r="AO54" s="104">
        <f t="shared" si="26"/>
        <v>4.4612360022804305</v>
      </c>
      <c r="AP54" s="104">
        <f t="shared" si="27"/>
        <v>0.17058545782360993</v>
      </c>
      <c r="AQ54" s="103">
        <f t="shared" si="4"/>
        <v>4.63041822151503E-2</v>
      </c>
      <c r="AR54" s="100">
        <f t="shared" si="5"/>
        <v>261815971.44696271</v>
      </c>
      <c r="AS54" s="100">
        <f t="shared" si="28"/>
        <v>1.8208004866873055E-3</v>
      </c>
      <c r="AT54" s="104">
        <f t="shared" si="6"/>
        <v>598.66203396992501</v>
      </c>
      <c r="AU54" s="100">
        <f t="shared" si="7"/>
        <v>23119.157964727179</v>
      </c>
      <c r="AV54" s="339"/>
      <c r="AW54" s="339"/>
      <c r="AX54" s="356"/>
      <c r="AY54" s="339"/>
      <c r="AZ54" s="339"/>
      <c r="BA54" s="331"/>
      <c r="BB54" s="331"/>
      <c r="BC54" s="331"/>
      <c r="BD54" s="339"/>
      <c r="BE54" s="339"/>
      <c r="BF54" s="339"/>
      <c r="BG54" s="339"/>
      <c r="BH54" s="337"/>
      <c r="BI54" s="331"/>
      <c r="BJ54" s="331"/>
      <c r="BK54" s="331"/>
      <c r="BL54" s="104">
        <f t="shared" si="8"/>
        <v>-2.4686147734987871E-2</v>
      </c>
      <c r="BM54" s="103">
        <f t="shared" si="29"/>
        <v>886.15646422552277</v>
      </c>
      <c r="BN54" s="103">
        <f t="shared" si="9"/>
        <v>7482.475423142223</v>
      </c>
      <c r="BO54" s="103">
        <f t="shared" si="10"/>
        <v>61.032336485876641</v>
      </c>
      <c r="BP54" s="103">
        <f t="shared" si="30"/>
        <v>70.187186958758133</v>
      </c>
      <c r="BQ54" s="104">
        <f t="shared" si="31"/>
        <v>313.12160535919929</v>
      </c>
      <c r="BR54" s="104">
        <f t="shared" si="11"/>
        <v>3.2459551371273969</v>
      </c>
      <c r="BS54" s="107">
        <f t="shared" si="12"/>
        <v>748.56511451507924</v>
      </c>
      <c r="BT54" s="104">
        <f t="shared" si="13"/>
        <v>763.84195358681552</v>
      </c>
      <c r="BU54" s="100">
        <f t="shared" si="14"/>
        <v>916.97713515824194</v>
      </c>
      <c r="BV54" s="100">
        <f t="shared" si="32"/>
        <v>458.48856757912097</v>
      </c>
      <c r="BW54" s="100">
        <f t="shared" si="33"/>
        <v>458.48856757912097</v>
      </c>
      <c r="BX54" s="168">
        <f t="shared" si="15"/>
        <v>43.665577864678191</v>
      </c>
      <c r="BY54" s="104">
        <f t="shared" si="34"/>
        <v>3.8044049212730383E-3</v>
      </c>
      <c r="BZ54" s="104">
        <f t="shared" si="35"/>
        <v>3.8044049212730383E-3</v>
      </c>
      <c r="CA54" s="208">
        <f t="shared" si="42"/>
        <v>7.6088098425460765E-3</v>
      </c>
      <c r="CB54" s="331"/>
      <c r="CC54" s="406"/>
      <c r="CD54" s="406"/>
      <c r="CE54" s="406"/>
      <c r="CF54" s="117"/>
    </row>
    <row r="55" spans="3:84" ht="15.75" x14ac:dyDescent="0.3">
      <c r="C55" s="13">
        <v>25</v>
      </c>
      <c r="D55" s="379"/>
      <c r="E55" s="379"/>
      <c r="F55" s="19" t="s">
        <v>128</v>
      </c>
      <c r="G55" s="255">
        <v>0.88888888888888884</v>
      </c>
      <c r="H55" s="54">
        <v>0.88888888888888884</v>
      </c>
      <c r="I55" s="82">
        <v>-8.6992799999999999</v>
      </c>
      <c r="J55" s="13">
        <v>115.99797599999999</v>
      </c>
      <c r="K55" s="13">
        <f t="shared" si="16"/>
        <v>-0.15183107855289232</v>
      </c>
      <c r="L55" s="13">
        <f t="shared" si="16"/>
        <v>2.0245466068493618</v>
      </c>
      <c r="M55" s="13">
        <v>3443</v>
      </c>
      <c r="N55" s="89">
        <f t="shared" si="36"/>
        <v>0.36299370630898325</v>
      </c>
      <c r="O55" s="331"/>
      <c r="P55" s="89">
        <f t="shared" si="17"/>
        <v>3.3333333332898896E-2</v>
      </c>
      <c r="Q55" s="345"/>
      <c r="R55" s="20">
        <f t="shared" si="18"/>
        <v>10.889811189411425</v>
      </c>
      <c r="S55" s="348"/>
      <c r="T55" s="15">
        <f t="shared" si="19"/>
        <v>5.601718875833237</v>
      </c>
      <c r="U55" s="130">
        <f t="shared" si="20"/>
        <v>3.7542233098318324E-5</v>
      </c>
      <c r="V55" s="13">
        <f t="shared" si="21"/>
        <v>9.983283321446379E-5</v>
      </c>
      <c r="W55" s="13">
        <f t="shared" si="51"/>
        <v>1.2111045825625106</v>
      </c>
      <c r="X55" s="13">
        <f t="shared" si="38"/>
        <v>69.39118112978521</v>
      </c>
      <c r="Y55" s="130">
        <f t="shared" si="39"/>
        <v>3.7105699897399536E-5</v>
      </c>
      <c r="Z55" s="141">
        <f t="shared" si="40"/>
        <v>-5.7200000000108275E-3</v>
      </c>
      <c r="AA55" s="142">
        <f t="shared" si="41"/>
        <v>290.6088188702148</v>
      </c>
      <c r="AB55" s="13">
        <v>200</v>
      </c>
      <c r="AC55" s="13">
        <v>13</v>
      </c>
      <c r="AD55" s="13">
        <f t="shared" si="22"/>
        <v>4</v>
      </c>
      <c r="AE55" s="161">
        <f t="shared" si="23"/>
        <v>90.608818870214805</v>
      </c>
      <c r="AF55" s="15">
        <f t="shared" si="0"/>
        <v>0.21419440230122655</v>
      </c>
      <c r="AG55" s="366"/>
      <c r="AH55" s="331"/>
      <c r="AI55" s="339"/>
      <c r="AJ55" s="85">
        <f t="shared" si="1"/>
        <v>1.2194853470682909</v>
      </c>
      <c r="AK55" s="13">
        <f t="shared" si="2"/>
        <v>0.33</v>
      </c>
      <c r="AL55" s="15">
        <f t="shared" si="24"/>
        <v>14.330886011442766</v>
      </c>
      <c r="AM55" s="15">
        <f t="shared" si="25"/>
        <v>5.7671808154819315</v>
      </c>
      <c r="AN55" s="15">
        <f t="shared" si="3"/>
        <v>11.556282921015018</v>
      </c>
      <c r="AO55" s="15">
        <f t="shared" si="26"/>
        <v>5.944551934570125</v>
      </c>
      <c r="AP55" s="15">
        <f t="shared" si="27"/>
        <v>0.22730340040215788</v>
      </c>
      <c r="AQ55" s="20">
        <f t="shared" si="4"/>
        <v>3.1410939727763307E-2</v>
      </c>
      <c r="AR55" s="13">
        <f t="shared" si="5"/>
        <v>348867138.78638822</v>
      </c>
      <c r="AS55" s="13">
        <f t="shared" si="28"/>
        <v>1.7520744272850953E-3</v>
      </c>
      <c r="AT55" s="15">
        <f t="shared" si="6"/>
        <v>1022.8212953299239</v>
      </c>
      <c r="AU55" s="13">
        <f t="shared" si="7"/>
        <v>39499.35983013636</v>
      </c>
      <c r="AV55" s="339"/>
      <c r="AW55" s="339"/>
      <c r="AX55" s="356"/>
      <c r="AY55" s="339"/>
      <c r="AZ55" s="339"/>
      <c r="BA55" s="331"/>
      <c r="BB55" s="331"/>
      <c r="BC55" s="331"/>
      <c r="BD55" s="339"/>
      <c r="BE55" s="339"/>
      <c r="BF55" s="339"/>
      <c r="BG55" s="339"/>
      <c r="BH55" s="337"/>
      <c r="BI55" s="331"/>
      <c r="BJ55" s="331"/>
      <c r="BK55" s="331"/>
      <c r="BL55" s="15">
        <f t="shared" si="8"/>
        <v>-0.11074850289994582</v>
      </c>
      <c r="BM55" s="20">
        <f t="shared" si="29"/>
        <v>16485.981509593996</v>
      </c>
      <c r="BN55" s="20">
        <f t="shared" si="9"/>
        <v>13285.354691207669</v>
      </c>
      <c r="BO55" s="20">
        <f t="shared" si="10"/>
        <v>119.74790978960787</v>
      </c>
      <c r="BP55" s="20">
        <f t="shared" si="30"/>
        <v>137.71009625804905</v>
      </c>
      <c r="BQ55" s="15">
        <f t="shared" si="31"/>
        <v>818.62481912062356</v>
      </c>
      <c r="BR55" s="15">
        <f t="shared" si="11"/>
        <v>4.3252024506381588</v>
      </c>
      <c r="BS55" s="6">
        <f t="shared" si="12"/>
        <v>1957.0479040146254</v>
      </c>
      <c r="BT55" s="15">
        <f t="shared" si="13"/>
        <v>1996.9876571577811</v>
      </c>
      <c r="BU55" s="13">
        <f t="shared" si="14"/>
        <v>2397.3441262398333</v>
      </c>
      <c r="BV55" s="13">
        <f t="shared" si="32"/>
        <v>1198.6720631199166</v>
      </c>
      <c r="BW55" s="13">
        <f t="shared" si="33"/>
        <v>1198.6720631199166</v>
      </c>
      <c r="BX55" s="139">
        <f t="shared" si="15"/>
        <v>114.15924410665872</v>
      </c>
      <c r="BY55" s="15">
        <f t="shared" si="34"/>
        <v>6.7471337343000008E-3</v>
      </c>
      <c r="BZ55" s="15">
        <f t="shared" si="35"/>
        <v>6.7471337343000008E-3</v>
      </c>
      <c r="CA55" s="66">
        <f t="shared" si="42"/>
        <v>1.3494267468600002E-2</v>
      </c>
      <c r="CB55" s="331"/>
      <c r="CC55" s="360">
        <f>SUM(CA55:CA59)*1000</f>
        <v>82.541962391551209</v>
      </c>
      <c r="CD55" s="360">
        <v>80</v>
      </c>
      <c r="CE55" s="360">
        <f>AVERAGE(AN55:AN59)</f>
        <v>10.11617245955637</v>
      </c>
      <c r="CF55" s="115"/>
    </row>
    <row r="56" spans="3:84" ht="15.75" x14ac:dyDescent="0.3">
      <c r="C56" s="13">
        <v>26</v>
      </c>
      <c r="D56" s="379"/>
      <c r="E56" s="379"/>
      <c r="F56" s="19" t="s">
        <v>128</v>
      </c>
      <c r="G56" s="256"/>
      <c r="H56" s="54">
        <v>0.89097222222222217</v>
      </c>
      <c r="I56" s="82">
        <v>-8.6975739999999995</v>
      </c>
      <c r="J56" s="13">
        <v>115.992088</v>
      </c>
      <c r="K56" s="13">
        <f t="shared" si="16"/>
        <v>-0.15180130323585328</v>
      </c>
      <c r="L56" s="13">
        <f t="shared" si="16"/>
        <v>2.0244438418630044</v>
      </c>
      <c r="M56" s="13">
        <v>3443</v>
      </c>
      <c r="N56" s="89">
        <f t="shared" si="36"/>
        <v>0.36446513719920365</v>
      </c>
      <c r="O56" s="331">
        <f>SUM(N56:N60)</f>
        <v>2.2605490748006791</v>
      </c>
      <c r="P56" s="89">
        <f t="shared" si="17"/>
        <v>4.9999999999999822E-2</v>
      </c>
      <c r="Q56" s="357">
        <f>SUM(P56:P60)</f>
        <v>0.25000000000001243</v>
      </c>
      <c r="R56" s="20">
        <f t="shared" si="18"/>
        <v>7.2893027439840985</v>
      </c>
      <c r="S56" s="346">
        <f>AVERAGE(R56:R60)</f>
        <v>9.0421962992022831</v>
      </c>
      <c r="T56" s="15">
        <f t="shared" si="19"/>
        <v>3.7496173315054202</v>
      </c>
      <c r="U56" s="130">
        <f t="shared" si="20"/>
        <v>3.0125456352847191E-5</v>
      </c>
      <c r="V56" s="13">
        <f t="shared" si="21"/>
        <v>1.027649863574176E-4</v>
      </c>
      <c r="W56" s="13">
        <f t="shared" si="51"/>
        <v>1.2856366139774462</v>
      </c>
      <c r="X56" s="13">
        <f t="shared" si="38"/>
        <v>73.66155196839749</v>
      </c>
      <c r="Y56" s="130">
        <f t="shared" si="39"/>
        <v>2.977531703904357E-5</v>
      </c>
      <c r="Z56" s="141">
        <f t="shared" si="40"/>
        <v>-5.8879999999987831E-3</v>
      </c>
      <c r="AA56" s="142">
        <f t="shared" si="41"/>
        <v>286.33844803160252</v>
      </c>
      <c r="AB56" s="13">
        <v>200</v>
      </c>
      <c r="AC56" s="13">
        <v>13</v>
      </c>
      <c r="AD56" s="13">
        <f t="shared" si="22"/>
        <v>4</v>
      </c>
      <c r="AE56" s="161">
        <f t="shared" si="23"/>
        <v>86.338448031602525</v>
      </c>
      <c r="AF56" s="15">
        <f t="shared" si="0"/>
        <v>0.14337510699528958</v>
      </c>
      <c r="AG56" s="366"/>
      <c r="AH56" s="331"/>
      <c r="AI56" s="339"/>
      <c r="AJ56" s="85">
        <f t="shared" si="1"/>
        <v>1.6421649458444421</v>
      </c>
      <c r="AK56" s="13">
        <f t="shared" si="2"/>
        <v>0.33</v>
      </c>
      <c r="AL56" s="15">
        <f t="shared" si="24"/>
        <v>14.330886011442766</v>
      </c>
      <c r="AM56" s="15">
        <f t="shared" si="25"/>
        <v>7.7661139547916482</v>
      </c>
      <c r="AN56" s="15">
        <f t="shared" si="3"/>
        <v>7.9030636748962895</v>
      </c>
      <c r="AO56" s="15">
        <f t="shared" si="26"/>
        <v>4.0653359543666507</v>
      </c>
      <c r="AP56" s="15">
        <f t="shared" si="27"/>
        <v>0.15544732325927849</v>
      </c>
      <c r="AQ56" s="20">
        <f t="shared" si="4"/>
        <v>4.6116943022604009E-2</v>
      </c>
      <c r="AR56" s="13">
        <f t="shared" si="5"/>
        <v>238581837.32192168</v>
      </c>
      <c r="AS56" s="13">
        <f t="shared" si="28"/>
        <v>1.8439180627067228E-3</v>
      </c>
      <c r="AT56" s="15">
        <f t="shared" si="6"/>
        <v>503.43506325786285</v>
      </c>
      <c r="AU56" s="13">
        <f t="shared" si="7"/>
        <v>19441.678429578948</v>
      </c>
      <c r="AV56" s="339"/>
      <c r="AW56" s="339"/>
      <c r="AX56" s="356"/>
      <c r="AY56" s="339"/>
      <c r="AZ56" s="339"/>
      <c r="BA56" s="331"/>
      <c r="BB56" s="331"/>
      <c r="BC56" s="331"/>
      <c r="BD56" s="339"/>
      <c r="BE56" s="339"/>
      <c r="BF56" s="339"/>
      <c r="BG56" s="339"/>
      <c r="BH56" s="337"/>
      <c r="BI56" s="331"/>
      <c r="BJ56" s="331"/>
      <c r="BK56" s="331"/>
      <c r="BL56" s="15">
        <f t="shared" si="8"/>
        <v>-1.2235352768648036E-2</v>
      </c>
      <c r="BM56" s="20">
        <f t="shared" si="29"/>
        <v>296.31594190586901</v>
      </c>
      <c r="BN56" s="20">
        <f t="shared" si="9"/>
        <v>6213.3781288535574</v>
      </c>
      <c r="BO56" s="20">
        <f t="shared" si="10"/>
        <v>50.796376625403688</v>
      </c>
      <c r="BP56" s="20">
        <f t="shared" si="30"/>
        <v>58.415833119214241</v>
      </c>
      <c r="BQ56" s="15">
        <f t="shared" si="31"/>
        <v>237.47998668382382</v>
      </c>
      <c r="BR56" s="15">
        <f t="shared" si="11"/>
        <v>2.9579018277624964</v>
      </c>
      <c r="BS56" s="6">
        <f t="shared" si="12"/>
        <v>567.7322496577234</v>
      </c>
      <c r="BT56" s="15">
        <f t="shared" si="13"/>
        <v>579.3186220997178</v>
      </c>
      <c r="BU56" s="13">
        <f t="shared" si="14"/>
        <v>695.46053073195412</v>
      </c>
      <c r="BV56" s="13">
        <f t="shared" si="32"/>
        <v>347.73026536597706</v>
      </c>
      <c r="BW56" s="13">
        <f t="shared" si="33"/>
        <v>347.73026536597706</v>
      </c>
      <c r="BX56" s="139">
        <f t="shared" si="15"/>
        <v>33.117168130093056</v>
      </c>
      <c r="BY56" s="15">
        <f t="shared" si="34"/>
        <v>2.8736972248530981E-3</v>
      </c>
      <c r="BZ56" s="15">
        <f t="shared" si="35"/>
        <v>2.8736972248530981E-3</v>
      </c>
      <c r="CA56" s="66">
        <f t="shared" si="42"/>
        <v>5.7473944497061962E-3</v>
      </c>
      <c r="CB56" s="331"/>
      <c r="CC56" s="361"/>
      <c r="CD56" s="361"/>
      <c r="CE56" s="361"/>
      <c r="CF56" s="115"/>
    </row>
    <row r="57" spans="3:84" ht="15.75" x14ac:dyDescent="0.3">
      <c r="C57" s="13">
        <v>27</v>
      </c>
      <c r="D57" s="379"/>
      <c r="E57" s="379"/>
      <c r="F57" s="19" t="s">
        <v>128</v>
      </c>
      <c r="G57" s="256"/>
      <c r="H57" s="54">
        <v>0.8930555555555556</v>
      </c>
      <c r="I57" s="82">
        <v>-8.6968169999999994</v>
      </c>
      <c r="J57" s="13">
        <v>115.984393</v>
      </c>
      <c r="K57" s="13">
        <f t="shared" si="16"/>
        <v>-0.15178809109341568</v>
      </c>
      <c r="L57" s="13">
        <f t="shared" si="16"/>
        <v>2.0243095387770635</v>
      </c>
      <c r="M57" s="13">
        <v>3443</v>
      </c>
      <c r="N57" s="89">
        <f t="shared" si="36"/>
        <v>0.45934643155802407</v>
      </c>
      <c r="O57" s="331"/>
      <c r="P57" s="89">
        <f t="shared" si="17"/>
        <v>5.0000000000002487E-2</v>
      </c>
      <c r="Q57" s="331"/>
      <c r="R57" s="20">
        <f t="shared" si="18"/>
        <v>9.1869286311600238</v>
      </c>
      <c r="S57" s="347"/>
      <c r="T57" s="15">
        <f t="shared" si="19"/>
        <v>4.7257560878687164</v>
      </c>
      <c r="U57" s="130">
        <f t="shared" si="20"/>
        <v>1.3367464872812471E-5</v>
      </c>
      <c r="V57" s="13">
        <f t="shared" si="21"/>
        <v>1.3430308594086782E-4</v>
      </c>
      <c r="W57" s="13">
        <f t="shared" si="51"/>
        <v>1.4715909874445183</v>
      </c>
      <c r="X57" s="13">
        <f t="shared" si="38"/>
        <v>84.31595275006022</v>
      </c>
      <c r="Y57" s="130">
        <f t="shared" si="39"/>
        <v>1.3212142437601937E-5</v>
      </c>
      <c r="Z57" s="141">
        <f t="shared" si="40"/>
        <v>-7.694999999998231E-3</v>
      </c>
      <c r="AA57" s="142">
        <f t="shared" si="41"/>
        <v>275.68404724993979</v>
      </c>
      <c r="AB57" s="13">
        <v>200</v>
      </c>
      <c r="AC57" s="13">
        <v>13</v>
      </c>
      <c r="AD57" s="13">
        <f t="shared" si="22"/>
        <v>4</v>
      </c>
      <c r="AE57" s="161">
        <f t="shared" si="23"/>
        <v>75.684047249939795</v>
      </c>
      <c r="AF57" s="15">
        <f t="shared" si="0"/>
        <v>0.18069998211251836</v>
      </c>
      <c r="AG57" s="366"/>
      <c r="AH57" s="331"/>
      <c r="AI57" s="339"/>
      <c r="AJ57" s="85">
        <f t="shared" si="1"/>
        <v>1.4315209544246992</v>
      </c>
      <c r="AK57" s="13">
        <f t="shared" si="2"/>
        <v>0.33</v>
      </c>
      <c r="AL57" s="15">
        <f t="shared" si="24"/>
        <v>14.330886011442766</v>
      </c>
      <c r="AM57" s="15">
        <f t="shared" si="25"/>
        <v>6.7699379948812002</v>
      </c>
      <c r="AN57" s="15">
        <f t="shared" si="3"/>
        <v>9.8540411038830111</v>
      </c>
      <c r="AO57" s="15">
        <f t="shared" si="26"/>
        <v>5.068918743837421</v>
      </c>
      <c r="AP57" s="15">
        <f t="shared" si="27"/>
        <v>0.19382158310974526</v>
      </c>
      <c r="AQ57" s="20">
        <f t="shared" si="4"/>
        <v>4.6615031002561716E-2</v>
      </c>
      <c r="AR57" s="13">
        <f t="shared" si="5"/>
        <v>297478968.70399415</v>
      </c>
      <c r="AS57" s="13">
        <f t="shared" si="28"/>
        <v>1.7897353931613724E-3</v>
      </c>
      <c r="AT57" s="15">
        <f t="shared" si="6"/>
        <v>759.67606772121223</v>
      </c>
      <c r="AU57" s="13">
        <f t="shared" si="7"/>
        <v>29337.205326355812</v>
      </c>
      <c r="AV57" s="339"/>
      <c r="AW57" s="339"/>
      <c r="AX57" s="356"/>
      <c r="AY57" s="339"/>
      <c r="AZ57" s="339"/>
      <c r="BA57" s="331"/>
      <c r="BB57" s="331"/>
      <c r="BC57" s="331"/>
      <c r="BD57" s="339"/>
      <c r="BE57" s="339"/>
      <c r="BF57" s="339"/>
      <c r="BG57" s="339"/>
      <c r="BH57" s="337"/>
      <c r="BI57" s="331"/>
      <c r="BJ57" s="331"/>
      <c r="BK57" s="331"/>
      <c r="BL57" s="15">
        <f t="shared" si="8"/>
        <v>-5.3560666483942185E-2</v>
      </c>
      <c r="BM57" s="20">
        <f t="shared" si="29"/>
        <v>3578.5219395579625</v>
      </c>
      <c r="BN57" s="20">
        <f t="shared" si="9"/>
        <v>9659.7427598890081</v>
      </c>
      <c r="BO57" s="20">
        <f t="shared" si="10"/>
        <v>80.066213944407139</v>
      </c>
      <c r="BP57" s="20">
        <f t="shared" si="30"/>
        <v>92.076146036068209</v>
      </c>
      <c r="BQ57" s="15">
        <f t="shared" si="31"/>
        <v>466.72650250253781</v>
      </c>
      <c r="BR57" s="15">
        <f t="shared" si="11"/>
        <v>3.6880996270607458</v>
      </c>
      <c r="BS57" s="6">
        <f t="shared" si="12"/>
        <v>1115.7811272468628</v>
      </c>
      <c r="BT57" s="15">
        <f t="shared" si="13"/>
        <v>1138.5521706600641</v>
      </c>
      <c r="BU57" s="13">
        <f t="shared" si="14"/>
        <v>1366.8093285234863</v>
      </c>
      <c r="BV57" s="13">
        <f t="shared" si="32"/>
        <v>683.40466426174316</v>
      </c>
      <c r="BW57" s="13">
        <f t="shared" si="33"/>
        <v>683.40466426174316</v>
      </c>
      <c r="BX57" s="139">
        <f t="shared" si="15"/>
        <v>65.086158501118391</v>
      </c>
      <c r="BY57" s="15">
        <f t="shared" si="34"/>
        <v>5.708761786444673E-3</v>
      </c>
      <c r="BZ57" s="15">
        <f t="shared" si="35"/>
        <v>5.708761786444673E-3</v>
      </c>
      <c r="CA57" s="66">
        <f t="shared" si="42"/>
        <v>1.1417523572889346E-2</v>
      </c>
      <c r="CB57" s="331"/>
      <c r="CC57" s="361"/>
      <c r="CD57" s="361"/>
      <c r="CE57" s="361"/>
      <c r="CF57" s="115"/>
    </row>
    <row r="58" spans="3:84" ht="15.75" x14ac:dyDescent="0.3">
      <c r="C58" s="13">
        <v>28</v>
      </c>
      <c r="D58" s="379"/>
      <c r="E58" s="379"/>
      <c r="F58" s="19" t="s">
        <v>128</v>
      </c>
      <c r="G58" s="256"/>
      <c r="H58" s="54">
        <v>0.89513888888888893</v>
      </c>
      <c r="I58" s="82">
        <v>-8.6971869999999996</v>
      </c>
      <c r="J58" s="13">
        <v>115.978875</v>
      </c>
      <c r="K58" s="13">
        <f t="shared" si="16"/>
        <v>-0.15179454881164806</v>
      </c>
      <c r="L58" s="13">
        <f t="shared" si="16"/>
        <v>2.0242132315089387</v>
      </c>
      <c r="M58" s="13">
        <v>3443</v>
      </c>
      <c r="N58" s="89">
        <f t="shared" si="36"/>
        <v>0.32852651700678559</v>
      </c>
      <c r="O58" s="331"/>
      <c r="P58" s="89">
        <f t="shared" si="17"/>
        <v>4.9999999999999822E-2</v>
      </c>
      <c r="Q58" s="331"/>
      <c r="R58" s="20">
        <f t="shared" si="18"/>
        <v>6.5705303401357353</v>
      </c>
      <c r="S58" s="347"/>
      <c r="T58" s="15">
        <f t="shared" si="19"/>
        <v>3.3798808069658222</v>
      </c>
      <c r="U58" s="130">
        <f t="shared" si="20"/>
        <v>-6.5336320133953225E-6</v>
      </c>
      <c r="V58" s="13">
        <f t="shared" si="21"/>
        <v>9.6307268124817824E-5</v>
      </c>
      <c r="W58" s="13">
        <f t="shared" si="51"/>
        <v>1.6385340594602433</v>
      </c>
      <c r="X58" s="13">
        <f t="shared" si="38"/>
        <v>93.881086195509823</v>
      </c>
      <c r="Y58" s="130">
        <f t="shared" si="39"/>
        <v>-6.4577182323777294E-6</v>
      </c>
      <c r="Z58" s="141">
        <f t="shared" si="40"/>
        <v>-5.5179999999950269E-3</v>
      </c>
      <c r="AA58" s="142">
        <f t="shared" si="41"/>
        <v>266.11891380449015</v>
      </c>
      <c r="AB58" s="13">
        <v>200</v>
      </c>
      <c r="AC58" s="13">
        <v>13</v>
      </c>
      <c r="AD58" s="13">
        <f t="shared" si="22"/>
        <v>4</v>
      </c>
      <c r="AE58" s="161">
        <f t="shared" si="23"/>
        <v>66.118913804490148</v>
      </c>
      <c r="AF58" s="15">
        <f t="shared" si="0"/>
        <v>0.12923739397574574</v>
      </c>
      <c r="AG58" s="366"/>
      <c r="AH58" s="331"/>
      <c r="AI58" s="339"/>
      <c r="AJ58" s="85">
        <f t="shared" si="1"/>
        <v>1.7148941662447073</v>
      </c>
      <c r="AK58" s="13">
        <f t="shared" si="2"/>
        <v>0.33</v>
      </c>
      <c r="AL58" s="15">
        <f t="shared" si="24"/>
        <v>14.330886011442766</v>
      </c>
      <c r="AM58" s="15">
        <f t="shared" si="25"/>
        <v>8.1100644299865579</v>
      </c>
      <c r="AN58" s="15">
        <f t="shared" si="3"/>
        <v>7.1504352455764533</v>
      </c>
      <c r="AO58" s="15">
        <f t="shared" si="26"/>
        <v>3.6781838903245272</v>
      </c>
      <c r="AP58" s="15">
        <f t="shared" si="27"/>
        <v>0.14064368766182914</v>
      </c>
      <c r="AQ58" s="20">
        <f t="shared" si="4"/>
        <v>4.5944967785006556E-2</v>
      </c>
      <c r="AR58" s="13">
        <f t="shared" si="5"/>
        <v>215861094.97763139</v>
      </c>
      <c r="AS58" s="13">
        <f t="shared" si="28"/>
        <v>1.8693095869162122E-3</v>
      </c>
      <c r="AT58" s="15">
        <f t="shared" si="6"/>
        <v>417.78906485117034</v>
      </c>
      <c r="AU58" s="13">
        <f t="shared" si="7"/>
        <v>16134.197323618971</v>
      </c>
      <c r="AV58" s="339"/>
      <c r="AW58" s="339"/>
      <c r="AX58" s="356"/>
      <c r="AY58" s="339"/>
      <c r="AZ58" s="339"/>
      <c r="BA58" s="331"/>
      <c r="BB58" s="331"/>
      <c r="BC58" s="331"/>
      <c r="BD58" s="339"/>
      <c r="BE58" s="339"/>
      <c r="BF58" s="339"/>
      <c r="BG58" s="339"/>
      <c r="BH58" s="337"/>
      <c r="BI58" s="331"/>
      <c r="BJ58" s="331"/>
      <c r="BK58" s="331"/>
      <c r="BL58" s="15">
        <f t="shared" si="8"/>
        <v>-4.8904925655563064E-3</v>
      </c>
      <c r="BM58" s="20">
        <f t="shared" si="29"/>
        <v>83.341950076972793</v>
      </c>
      <c r="BN58" s="20">
        <f t="shared" si="9"/>
        <v>5086.2977298046353</v>
      </c>
      <c r="BO58" s="20">
        <f t="shared" si="10"/>
        <v>41.922128809524061</v>
      </c>
      <c r="BP58" s="20">
        <f t="shared" si="30"/>
        <v>48.21044813095267</v>
      </c>
      <c r="BQ58" s="15">
        <f t="shared" si="31"/>
        <v>177.32689366059631</v>
      </c>
      <c r="BR58" s="15">
        <f t="shared" si="11"/>
        <v>2.6762134726777993</v>
      </c>
      <c r="BS58" s="6">
        <f t="shared" si="12"/>
        <v>423.9270755761911</v>
      </c>
      <c r="BT58" s="15">
        <f t="shared" si="13"/>
        <v>432.57864854713381</v>
      </c>
      <c r="BU58" s="13">
        <f t="shared" si="14"/>
        <v>519.30209909619907</v>
      </c>
      <c r="BV58" s="13">
        <f t="shared" si="32"/>
        <v>259.65104954809954</v>
      </c>
      <c r="BW58" s="13">
        <f t="shared" si="33"/>
        <v>259.65104954809954</v>
      </c>
      <c r="BX58" s="139">
        <f t="shared" si="15"/>
        <v>24.728671385533289</v>
      </c>
      <c r="BY58" s="15">
        <f t="shared" si="34"/>
        <v>2.1377949119440387E-3</v>
      </c>
      <c r="BZ58" s="15">
        <f t="shared" si="35"/>
        <v>2.1377949119440387E-3</v>
      </c>
      <c r="CA58" s="66">
        <f t="shared" si="42"/>
        <v>4.2755898238880773E-3</v>
      </c>
      <c r="CB58" s="331"/>
      <c r="CC58" s="361"/>
      <c r="CD58" s="361"/>
      <c r="CE58" s="361"/>
      <c r="CF58" s="115"/>
    </row>
    <row r="59" spans="3:84" ht="15.75" x14ac:dyDescent="0.3">
      <c r="C59" s="13">
        <v>29</v>
      </c>
      <c r="D59" s="379"/>
      <c r="E59" s="379"/>
      <c r="F59" s="19" t="s">
        <v>128</v>
      </c>
      <c r="G59" s="257"/>
      <c r="H59" s="54">
        <v>0.89722222222222225</v>
      </c>
      <c r="I59" s="82">
        <v>-8.6941079999999999</v>
      </c>
      <c r="J59" s="13">
        <v>115.9679</v>
      </c>
      <c r="K59" s="13">
        <f t="shared" si="16"/>
        <v>-0.15174081012397916</v>
      </c>
      <c r="L59" s="13">
        <f t="shared" si="16"/>
        <v>2.0240216816235321</v>
      </c>
      <c r="M59" s="13">
        <v>3443</v>
      </c>
      <c r="N59" s="89">
        <f t="shared" si="36"/>
        <v>0.67767254697373258</v>
      </c>
      <c r="O59" s="331"/>
      <c r="P59" s="89">
        <f t="shared" si="17"/>
        <v>4.9999999999999822E-2</v>
      </c>
      <c r="Q59" s="331"/>
      <c r="R59" s="20">
        <f t="shared" si="18"/>
        <v>13.5534509394747</v>
      </c>
      <c r="S59" s="347"/>
      <c r="T59" s="15">
        <f t="shared" si="19"/>
        <v>6.9718951632657857</v>
      </c>
      <c r="U59" s="130">
        <f t="shared" si="20"/>
        <v>5.4370215788484306E-5</v>
      </c>
      <c r="V59" s="13">
        <f t="shared" si="21"/>
        <v>1.9154988540659446E-4</v>
      </c>
      <c r="W59" s="13">
        <f t="shared" si="51"/>
        <v>1.294226990454648</v>
      </c>
      <c r="X59" s="13">
        <f t="shared" si="38"/>
        <v>74.153744284969605</v>
      </c>
      <c r="Y59" s="130">
        <f t="shared" si="39"/>
        <v>5.3738687668891671E-5</v>
      </c>
      <c r="Z59" s="141">
        <f t="shared" si="40"/>
        <v>-1.0975000000001955E-2</v>
      </c>
      <c r="AA59" s="142">
        <f t="shared" si="41"/>
        <v>285.8462557150304</v>
      </c>
      <c r="AB59" s="13">
        <v>200</v>
      </c>
      <c r="AC59" s="13">
        <v>13</v>
      </c>
      <c r="AD59" s="13">
        <f t="shared" si="22"/>
        <v>4</v>
      </c>
      <c r="AE59" s="161">
        <f t="shared" si="23"/>
        <v>85.846255715030395</v>
      </c>
      <c r="AF59" s="15">
        <f t="shared" si="0"/>
        <v>0.26658619443489973</v>
      </c>
      <c r="AG59" s="366"/>
      <c r="AH59" s="331"/>
      <c r="AI59" s="339"/>
      <c r="AJ59" s="85">
        <f t="shared" si="1"/>
        <v>0.84417298299891408</v>
      </c>
      <c r="AK59" s="13">
        <f t="shared" si="2"/>
        <v>0.33</v>
      </c>
      <c r="AL59" s="15">
        <f t="shared" si="24"/>
        <v>14.330886011442766</v>
      </c>
      <c r="AM59" s="15">
        <f t="shared" si="25"/>
        <v>3.9922564417880269</v>
      </c>
      <c r="AN59" s="15">
        <f t="shared" si="3"/>
        <v>14.117039352411082</v>
      </c>
      <c r="AO59" s="15">
        <f t="shared" si="26"/>
        <v>7.2618050428802601</v>
      </c>
      <c r="AP59" s="15">
        <f t="shared" si="27"/>
        <v>0.27767155497541884</v>
      </c>
      <c r="AQ59" s="20">
        <f t="shared" si="4"/>
        <v>4.8003871779105818E-2</v>
      </c>
      <c r="AR59" s="13">
        <f t="shared" si="5"/>
        <v>426172598.9811548</v>
      </c>
      <c r="AS59" s="13">
        <f t="shared" si="28"/>
        <v>1.7064301210013421E-3</v>
      </c>
      <c r="AT59" s="15">
        <f t="shared" si="6"/>
        <v>1486.5743616397924</v>
      </c>
      <c r="AU59" s="13">
        <f t="shared" si="7"/>
        <v>57408.597076310332</v>
      </c>
      <c r="AV59" s="339"/>
      <c r="AW59" s="339"/>
      <c r="AX59" s="356"/>
      <c r="AY59" s="339"/>
      <c r="AZ59" s="339"/>
      <c r="BA59" s="331"/>
      <c r="BB59" s="331"/>
      <c r="BC59" s="331"/>
      <c r="BD59" s="339"/>
      <c r="BE59" s="339"/>
      <c r="BF59" s="339"/>
      <c r="BG59" s="339"/>
      <c r="BH59" s="337"/>
      <c r="BI59" s="331"/>
      <c r="BJ59" s="331"/>
      <c r="BK59" s="331"/>
      <c r="BL59" s="15">
        <f t="shared" si="8"/>
        <v>-0.20971462327711227</v>
      </c>
      <c r="BM59" s="20">
        <f t="shared" si="29"/>
        <v>75694.632889925444</v>
      </c>
      <c r="BN59" s="20">
        <f t="shared" si="9"/>
        <v>19825.496525528826</v>
      </c>
      <c r="BO59" s="20">
        <f t="shared" si="10"/>
        <v>226.29259969548536</v>
      </c>
      <c r="BP59" s="20">
        <f t="shared" si="30"/>
        <v>260.23648964980816</v>
      </c>
      <c r="BQ59" s="15">
        <f t="shared" si="31"/>
        <v>1889.7866528804336</v>
      </c>
      <c r="BR59" s="15">
        <f t="shared" si="11"/>
        <v>5.2836239489921359</v>
      </c>
      <c r="BS59" s="6">
        <f t="shared" si="12"/>
        <v>4517.8241871866712</v>
      </c>
      <c r="BT59" s="15">
        <f t="shared" si="13"/>
        <v>4610.0246808027259</v>
      </c>
      <c r="BU59" s="13">
        <f t="shared" si="14"/>
        <v>5534.2433142889877</v>
      </c>
      <c r="BV59" s="13">
        <f t="shared" si="32"/>
        <v>2767.1216571444938</v>
      </c>
      <c r="BW59" s="13">
        <f t="shared" si="33"/>
        <v>2767.1216571444938</v>
      </c>
      <c r="BX59" s="139">
        <f t="shared" si="15"/>
        <v>263.53539591852325</v>
      </c>
      <c r="BY59" s="15">
        <f t="shared" si="34"/>
        <v>2.3803593538233792E-2</v>
      </c>
      <c r="BZ59" s="15">
        <f t="shared" si="35"/>
        <v>2.3803593538233792E-2</v>
      </c>
      <c r="CA59" s="66">
        <f t="shared" si="42"/>
        <v>4.7607187076467584E-2</v>
      </c>
      <c r="CB59" s="331"/>
      <c r="CC59" s="362"/>
      <c r="CD59" s="362"/>
      <c r="CE59" s="362"/>
      <c r="CF59" s="115"/>
    </row>
    <row r="60" spans="3:84" ht="15.75" x14ac:dyDescent="0.3">
      <c r="C60" s="13">
        <v>30</v>
      </c>
      <c r="D60" s="379"/>
      <c r="E60" s="379"/>
      <c r="F60" s="19" t="s">
        <v>128</v>
      </c>
      <c r="G60" s="255">
        <v>0.89930555555555547</v>
      </c>
      <c r="H60" s="54">
        <v>0.89930555555555602</v>
      </c>
      <c r="I60" s="13">
        <v>-8.692952</v>
      </c>
      <c r="J60" s="13">
        <v>115.960747</v>
      </c>
      <c r="K60" s="13">
        <f t="shared" si="16"/>
        <v>-0.1517206341178261</v>
      </c>
      <c r="L60" s="13">
        <f t="shared" si="16"/>
        <v>2.0238968382221367</v>
      </c>
      <c r="M60" s="13">
        <v>3443</v>
      </c>
      <c r="N60" s="89">
        <f t="shared" si="36"/>
        <v>0.43053844206293324</v>
      </c>
      <c r="O60" s="331"/>
      <c r="P60" s="89">
        <f t="shared" si="17"/>
        <v>5.0000000000010481E-2</v>
      </c>
      <c r="Q60" s="358"/>
      <c r="R60" s="20">
        <f t="shared" si="18"/>
        <v>8.6107688412568599</v>
      </c>
      <c r="S60" s="348"/>
      <c r="T60" s="15">
        <f t="shared" si="19"/>
        <v>4.4293794919425284</v>
      </c>
      <c r="U60" s="130">
        <f t="shared" si="20"/>
        <v>2.0412995236209261E-5</v>
      </c>
      <c r="V60" s="13">
        <f t="shared" si="21"/>
        <v>1.2484340139540251E-4</v>
      </c>
      <c r="W60" s="13">
        <f t="shared" si="51"/>
        <v>1.4087217290248315</v>
      </c>
      <c r="X60" s="13">
        <f t="shared" si="38"/>
        <v>80.713809581494843</v>
      </c>
      <c r="Y60" s="130">
        <f t="shared" si="39"/>
        <v>2.0176006153060921E-5</v>
      </c>
      <c r="Z60" s="141">
        <f t="shared" si="40"/>
        <v>-7.1530000000024074E-3</v>
      </c>
      <c r="AA60" s="142">
        <f t="shared" si="41"/>
        <v>279.28619041850516</v>
      </c>
      <c r="AB60" s="13">
        <v>200</v>
      </c>
      <c r="AC60" s="13">
        <v>13</v>
      </c>
      <c r="AD60" s="13">
        <f t="shared" si="22"/>
        <v>4</v>
      </c>
      <c r="AE60" s="161">
        <f t="shared" si="23"/>
        <v>79.286190418505157</v>
      </c>
      <c r="AF60" s="15">
        <f t="shared" si="0"/>
        <v>0.16936735203456946</v>
      </c>
      <c r="AG60" s="366"/>
      <c r="AH60" s="331"/>
      <c r="AI60" s="339"/>
      <c r="AJ60" s="85">
        <f t="shared" si="1"/>
        <v>1.4983342105421196</v>
      </c>
      <c r="AK60" s="13">
        <f t="shared" si="2"/>
        <v>0.33</v>
      </c>
      <c r="AL60" s="15">
        <f t="shared" si="24"/>
        <v>14.330886011442766</v>
      </c>
      <c r="AM60" s="15">
        <f t="shared" si="25"/>
        <v>7.0859107368469871</v>
      </c>
      <c r="AN60" s="15">
        <f t="shared" si="3"/>
        <v>9.2674522341485588</v>
      </c>
      <c r="AO60" s="15">
        <f t="shared" si="26"/>
        <v>4.7671774292460185</v>
      </c>
      <c r="AP60" s="15">
        <f t="shared" si="27"/>
        <v>0.1822838208690655</v>
      </c>
      <c r="AQ60" s="20">
        <f t="shared" si="4"/>
        <v>4.6457044631586245E-2</v>
      </c>
      <c r="AR60" s="13">
        <f t="shared" si="5"/>
        <v>279770715.79716539</v>
      </c>
      <c r="AS60" s="13">
        <f t="shared" si="28"/>
        <v>1.8045651469502228E-3</v>
      </c>
      <c r="AT60" s="15">
        <f t="shared" si="6"/>
        <v>677.49197780755367</v>
      </c>
      <c r="AU60" s="13">
        <f t="shared" si="7"/>
        <v>26163.416361818494</v>
      </c>
      <c r="AV60" s="339"/>
      <c r="AW60" s="339"/>
      <c r="AX60" s="356"/>
      <c r="AY60" s="339"/>
      <c r="AZ60" s="339"/>
      <c r="BA60" s="331"/>
      <c r="BB60" s="331"/>
      <c r="BC60" s="331"/>
      <c r="BD60" s="339"/>
      <c r="BE60" s="339"/>
      <c r="BF60" s="339"/>
      <c r="BG60" s="339"/>
      <c r="BH60" s="337"/>
      <c r="BI60" s="331"/>
      <c r="BJ60" s="331"/>
      <c r="BK60" s="331"/>
      <c r="BL60" s="15">
        <f t="shared" si="8"/>
        <v>-3.7832716559788579E-2</v>
      </c>
      <c r="BM60" s="20">
        <f t="shared" si="29"/>
        <v>1859.7978972127451</v>
      </c>
      <c r="BN60" s="20">
        <f t="shared" si="9"/>
        <v>8543.9271135480394</v>
      </c>
      <c r="BO60" s="20">
        <f t="shared" si="10"/>
        <v>70.002021482838344</v>
      </c>
      <c r="BP60" s="20">
        <f t="shared" si="30"/>
        <v>80.502324705264101</v>
      </c>
      <c r="BQ60" s="15">
        <f t="shared" si="31"/>
        <v>383.76886533676918</v>
      </c>
      <c r="BR60" s="15">
        <f t="shared" si="11"/>
        <v>3.4685553640625808</v>
      </c>
      <c r="BS60" s="6">
        <f t="shared" si="12"/>
        <v>917.45820062014036</v>
      </c>
      <c r="BT60" s="15">
        <f t="shared" si="13"/>
        <v>936.18183736749017</v>
      </c>
      <c r="BU60" s="13">
        <f t="shared" si="14"/>
        <v>1123.8677519417649</v>
      </c>
      <c r="BV60" s="13">
        <f t="shared" si="32"/>
        <v>561.93387597088247</v>
      </c>
      <c r="BW60" s="13">
        <f t="shared" si="33"/>
        <v>561.93387597088247</v>
      </c>
      <c r="BX60" s="139">
        <f t="shared" si="15"/>
        <v>53.517511997226897</v>
      </c>
      <c r="BY60" s="15">
        <f t="shared" si="34"/>
        <v>4.6781570583515333E-3</v>
      </c>
      <c r="BZ60" s="15">
        <f t="shared" si="35"/>
        <v>4.6781570583515333E-3</v>
      </c>
      <c r="CA60" s="66">
        <f t="shared" si="42"/>
        <v>9.3563141167030666E-3</v>
      </c>
      <c r="CB60" s="331"/>
      <c r="CC60" s="360">
        <f t="shared" ref="CC60" si="52">SUM(CA60:CA64)*1000</f>
        <v>67.511406913062544</v>
      </c>
      <c r="CD60" s="360">
        <v>65</v>
      </c>
      <c r="CE60" s="360">
        <f t="shared" ref="CE60" si="53">AVERAGE(AN60:AN64)</f>
        <v>10.103459350118733</v>
      </c>
      <c r="CF60" s="115"/>
    </row>
    <row r="61" spans="3:84" ht="15.75" x14ac:dyDescent="0.3">
      <c r="C61" s="13">
        <v>31</v>
      </c>
      <c r="D61" s="379"/>
      <c r="E61" s="379"/>
      <c r="F61" s="19" t="s">
        <v>128</v>
      </c>
      <c r="G61" s="256"/>
      <c r="H61" s="54">
        <v>0.90138888888888902</v>
      </c>
      <c r="I61" s="13">
        <v>-8.6908770000000004</v>
      </c>
      <c r="J61" s="13">
        <v>115.95282400000001</v>
      </c>
      <c r="K61" s="13">
        <f t="shared" si="16"/>
        <v>-0.15168441853584724</v>
      </c>
      <c r="L61" s="13">
        <f t="shared" si="16"/>
        <v>2.0237585557855016</v>
      </c>
      <c r="M61" s="13">
        <v>3443</v>
      </c>
      <c r="N61" s="89">
        <f t="shared" si="36"/>
        <v>0.48687597142931444</v>
      </c>
      <c r="O61" s="331">
        <f>SUM(N61:N65)</f>
        <v>2.3704248822400649</v>
      </c>
      <c r="P61" s="89">
        <f t="shared" si="17"/>
        <v>4.9999999999991829E-2</v>
      </c>
      <c r="Q61" s="357">
        <f t="shared" ref="Q61" si="54">SUM(P61:P65)</f>
        <v>0.24999999999998312</v>
      </c>
      <c r="R61" s="20">
        <f t="shared" si="18"/>
        <v>9.7375194285878806</v>
      </c>
      <c r="S61" s="346">
        <f t="shared" ref="S61" si="55">AVERAGE(R61:R65)</f>
        <v>9.4816995289606982</v>
      </c>
      <c r="T61" s="15">
        <f t="shared" si="19"/>
        <v>5.008979994065605</v>
      </c>
      <c r="U61" s="130">
        <f t="shared" si="20"/>
        <v>3.6640814487141816E-5</v>
      </c>
      <c r="V61" s="13">
        <f t="shared" si="21"/>
        <v>1.3828243663516204E-4</v>
      </c>
      <c r="W61" s="13">
        <f t="shared" si="51"/>
        <v>1.3117778357126024</v>
      </c>
      <c r="X61" s="13">
        <f t="shared" si="38"/>
        <v>75.159333645137593</v>
      </c>
      <c r="Y61" s="130">
        <f t="shared" si="39"/>
        <v>3.6215581978860101E-5</v>
      </c>
      <c r="Z61" s="141">
        <f t="shared" si="40"/>
        <v>-7.9229999999910206E-3</v>
      </c>
      <c r="AA61" s="142">
        <f t="shared" si="41"/>
        <v>284.84066635486238</v>
      </c>
      <c r="AB61" s="13">
        <v>200</v>
      </c>
      <c r="AC61" s="13">
        <v>13</v>
      </c>
      <c r="AD61" s="13">
        <f t="shared" si="22"/>
        <v>4</v>
      </c>
      <c r="AE61" s="161">
        <f t="shared" si="23"/>
        <v>84.840666354862378</v>
      </c>
      <c r="AF61" s="15">
        <f t="shared" si="0"/>
        <v>0.19152968932381384</v>
      </c>
      <c r="AG61" s="366"/>
      <c r="AH61" s="331"/>
      <c r="AI61" s="339"/>
      <c r="AJ61" s="85">
        <f t="shared" si="1"/>
        <v>1.365344644333442</v>
      </c>
      <c r="AK61" s="13">
        <f t="shared" si="2"/>
        <v>0.33</v>
      </c>
      <c r="AL61" s="15">
        <f t="shared" si="24"/>
        <v>14.330886011442766</v>
      </c>
      <c r="AM61" s="15">
        <f t="shared" si="25"/>
        <v>6.4569774932112205</v>
      </c>
      <c r="AN61" s="15">
        <f t="shared" si="3"/>
        <v>10.409669441546205</v>
      </c>
      <c r="AO61" s="15">
        <f t="shared" si="26"/>
        <v>5.3547339607313678</v>
      </c>
      <c r="AP61" s="15">
        <f t="shared" si="27"/>
        <v>0.20475037495171147</v>
      </c>
      <c r="AQ61" s="20">
        <f t="shared" si="4"/>
        <v>4.6771511253386744E-2</v>
      </c>
      <c r="AR61" s="13">
        <f t="shared" si="5"/>
        <v>314252568.80655813</v>
      </c>
      <c r="AS61" s="13">
        <f t="shared" si="28"/>
        <v>1.7766351606533894E-3</v>
      </c>
      <c r="AT61" s="15">
        <f t="shared" si="6"/>
        <v>841.55597839140205</v>
      </c>
      <c r="AU61" s="13">
        <f t="shared" si="7"/>
        <v>32499.247482877407</v>
      </c>
      <c r="AV61" s="339"/>
      <c r="AW61" s="339"/>
      <c r="AX61" s="356"/>
      <c r="AY61" s="339"/>
      <c r="AZ61" s="339"/>
      <c r="BA61" s="331"/>
      <c r="BB61" s="331"/>
      <c r="BC61" s="331"/>
      <c r="BD61" s="339"/>
      <c r="BE61" s="339"/>
      <c r="BF61" s="339"/>
      <c r="BG61" s="339"/>
      <c r="BH61" s="337"/>
      <c r="BI61" s="331"/>
      <c r="BJ61" s="331"/>
      <c r="BK61" s="331"/>
      <c r="BL61" s="15">
        <f t="shared" si="8"/>
        <v>-7.0625960579546607E-2</v>
      </c>
      <c r="BM61" s="20">
        <f t="shared" si="29"/>
        <v>6239.0405538646555</v>
      </c>
      <c r="BN61" s="20">
        <f t="shared" si="9"/>
        <v>10779.799909434614</v>
      </c>
      <c r="BO61" s="20">
        <f t="shared" si="10"/>
        <v>91.049684135173763</v>
      </c>
      <c r="BP61" s="20">
        <f t="shared" si="30"/>
        <v>104.70713675544982</v>
      </c>
      <c r="BQ61" s="15">
        <f t="shared" si="31"/>
        <v>560.67886111535086</v>
      </c>
      <c r="BR61" s="15">
        <f t="shared" si="11"/>
        <v>3.8960562048055358</v>
      </c>
      <c r="BS61" s="6">
        <f t="shared" si="12"/>
        <v>1340.3886180116194</v>
      </c>
      <c r="BT61" s="15">
        <f t="shared" si="13"/>
        <v>1367.7434877669587</v>
      </c>
      <c r="BU61" s="13">
        <f t="shared" si="14"/>
        <v>1641.948964906313</v>
      </c>
      <c r="BV61" s="13">
        <f t="shared" si="32"/>
        <v>820.9744824531565</v>
      </c>
      <c r="BW61" s="13">
        <f t="shared" si="33"/>
        <v>820.9744824531565</v>
      </c>
      <c r="BX61" s="139">
        <f t="shared" si="15"/>
        <v>78.188045947919676</v>
      </c>
      <c r="BY61" s="15">
        <f t="shared" si="34"/>
        <v>6.8809605302683676E-3</v>
      </c>
      <c r="BZ61" s="15">
        <f t="shared" si="35"/>
        <v>6.8809605302683676E-3</v>
      </c>
      <c r="CA61" s="66">
        <f t="shared" si="42"/>
        <v>1.3761921060536735E-2</v>
      </c>
      <c r="CB61" s="331"/>
      <c r="CC61" s="361"/>
      <c r="CD61" s="361"/>
      <c r="CE61" s="361"/>
      <c r="CF61" s="115"/>
    </row>
    <row r="62" spans="3:84" ht="15.75" x14ac:dyDescent="0.3">
      <c r="C62" s="13">
        <v>32</v>
      </c>
      <c r="D62" s="379"/>
      <c r="E62" s="379"/>
      <c r="F62" s="19" t="s">
        <v>128</v>
      </c>
      <c r="G62" s="256"/>
      <c r="H62" s="54">
        <v>0.90347222222222201</v>
      </c>
      <c r="I62" s="13">
        <v>-8.6890859999999996</v>
      </c>
      <c r="J62" s="13">
        <v>115.945745</v>
      </c>
      <c r="K62" s="13">
        <f t="shared" si="16"/>
        <v>-0.15165315968894399</v>
      </c>
      <c r="L62" s="13">
        <f t="shared" si="16"/>
        <v>2.0236350039277529</v>
      </c>
      <c r="M62" s="13">
        <v>3443</v>
      </c>
      <c r="N62" s="89">
        <f t="shared" si="36"/>
        <v>0.43405993595149017</v>
      </c>
      <c r="O62" s="331"/>
      <c r="P62" s="89">
        <f t="shared" si="17"/>
        <v>4.9999999999991829E-2</v>
      </c>
      <c r="Q62" s="331"/>
      <c r="R62" s="20">
        <f t="shared" si="18"/>
        <v>8.6811987190312223</v>
      </c>
      <c r="S62" s="347"/>
      <c r="T62" s="15">
        <f t="shared" si="19"/>
        <v>4.4656086210696602</v>
      </c>
      <c r="U62" s="130">
        <f t="shared" si="20"/>
        <v>3.1625714947737375E-5</v>
      </c>
      <c r="V62" s="13">
        <f t="shared" si="21"/>
        <v>1.2355185774870492E-4</v>
      </c>
      <c r="W62" s="13">
        <f t="shared" si="51"/>
        <v>1.3202056723264997</v>
      </c>
      <c r="X62" s="13">
        <f t="shared" si="38"/>
        <v>75.642213113539739</v>
      </c>
      <c r="Y62" s="130">
        <f t="shared" si="39"/>
        <v>3.1258846903248205E-5</v>
      </c>
      <c r="Z62" s="141">
        <f t="shared" si="40"/>
        <v>-7.0790000000044984E-3</v>
      </c>
      <c r="AA62" s="142">
        <f t="shared" si="41"/>
        <v>284.35778688646025</v>
      </c>
      <c r="AB62" s="13">
        <v>200</v>
      </c>
      <c r="AC62" s="13">
        <v>13</v>
      </c>
      <c r="AD62" s="13">
        <f t="shared" si="22"/>
        <v>4</v>
      </c>
      <c r="AE62" s="161">
        <f t="shared" si="23"/>
        <v>84.357786886460246</v>
      </c>
      <c r="AF62" s="15">
        <f t="shared" si="0"/>
        <v>0.17075265480168228</v>
      </c>
      <c r="AG62" s="366"/>
      <c r="AH62" s="331"/>
      <c r="AI62" s="339"/>
      <c r="AJ62" s="85">
        <f t="shared" si="1"/>
        <v>1.4903006125141165</v>
      </c>
      <c r="AK62" s="13">
        <f t="shared" si="2"/>
        <v>0.33</v>
      </c>
      <c r="AL62" s="15">
        <f t="shared" si="24"/>
        <v>14.330886011442766</v>
      </c>
      <c r="AM62" s="15">
        <f t="shared" si="25"/>
        <v>7.0479183062386355</v>
      </c>
      <c r="AN62" s="15">
        <f t="shared" si="3"/>
        <v>9.3394344277648109</v>
      </c>
      <c r="AO62" s="15">
        <f t="shared" si="26"/>
        <v>4.8042050696422187</v>
      </c>
      <c r="AP62" s="15">
        <f t="shared" si="27"/>
        <v>0.18369965652220849</v>
      </c>
      <c r="AQ62" s="20">
        <f t="shared" si="4"/>
        <v>4.6476040846873089E-2</v>
      </c>
      <c r="AR62" s="13">
        <f t="shared" si="5"/>
        <v>281943752.06688178</v>
      </c>
      <c r="AS62" s="13">
        <f t="shared" si="28"/>
        <v>1.8026854553213993E-3</v>
      </c>
      <c r="AT62" s="15">
        <f t="shared" si="6"/>
        <v>687.34058551942712</v>
      </c>
      <c r="AU62" s="13">
        <f t="shared" si="7"/>
        <v>26543.750347445632</v>
      </c>
      <c r="AV62" s="339"/>
      <c r="AW62" s="339"/>
      <c r="AX62" s="356"/>
      <c r="AY62" s="339"/>
      <c r="AZ62" s="339"/>
      <c r="BA62" s="331"/>
      <c r="BB62" s="331"/>
      <c r="BC62" s="331"/>
      <c r="BD62" s="339"/>
      <c r="BE62" s="339"/>
      <c r="BF62" s="339"/>
      <c r="BG62" s="339"/>
      <c r="BH62" s="337"/>
      <c r="BI62" s="331"/>
      <c r="BJ62" s="331"/>
      <c r="BK62" s="331"/>
      <c r="BL62" s="15">
        <f t="shared" si="8"/>
        <v>-3.9622096321837358E-2</v>
      </c>
      <c r="BM62" s="20">
        <f t="shared" si="29"/>
        <v>2023.2793464484923</v>
      </c>
      <c r="BN62" s="20">
        <f t="shared" si="9"/>
        <v>8677.1674166303474</v>
      </c>
      <c r="BO62" s="20">
        <f t="shared" si="10"/>
        <v>71.165115474941288</v>
      </c>
      <c r="BP62" s="20">
        <f t="shared" si="30"/>
        <v>81.839882796182479</v>
      </c>
      <c r="BQ62" s="15">
        <f t="shared" si="31"/>
        <v>393.17557982834484</v>
      </c>
      <c r="BR62" s="15">
        <f t="shared" si="11"/>
        <v>3.4954963417419314</v>
      </c>
      <c r="BS62" s="6">
        <f t="shared" si="12"/>
        <v>939.94639111890592</v>
      </c>
      <c r="BT62" s="15">
        <f t="shared" si="13"/>
        <v>959.12897052949586</v>
      </c>
      <c r="BU62" s="13">
        <f t="shared" si="14"/>
        <v>1151.4153307677022</v>
      </c>
      <c r="BV62" s="13">
        <f t="shared" si="32"/>
        <v>575.70766538385112</v>
      </c>
      <c r="BW62" s="13">
        <f t="shared" si="33"/>
        <v>575.70766538385112</v>
      </c>
      <c r="BX62" s="139">
        <f t="shared" si="15"/>
        <v>54.82930146512868</v>
      </c>
      <c r="BY62" s="15">
        <f t="shared" si="34"/>
        <v>4.7947850446250148E-3</v>
      </c>
      <c r="BZ62" s="15">
        <f t="shared" si="35"/>
        <v>4.7947850446250148E-3</v>
      </c>
      <c r="CA62" s="66">
        <f t="shared" si="42"/>
        <v>9.5895700892500296E-3</v>
      </c>
      <c r="CB62" s="331"/>
      <c r="CC62" s="361"/>
      <c r="CD62" s="361"/>
      <c r="CE62" s="361"/>
      <c r="CF62" s="115"/>
    </row>
    <row r="63" spans="3:84" ht="15.75" x14ac:dyDescent="0.3">
      <c r="C63" s="13">
        <v>33</v>
      </c>
      <c r="D63" s="379"/>
      <c r="E63" s="379"/>
      <c r="F63" s="19" t="s">
        <v>128</v>
      </c>
      <c r="G63" s="256"/>
      <c r="H63" s="54">
        <v>0.905555555555556</v>
      </c>
      <c r="I63" s="13">
        <v>-8.6865830000000006</v>
      </c>
      <c r="J63" s="13">
        <v>115.936331</v>
      </c>
      <c r="K63" s="13">
        <f t="shared" si="16"/>
        <v>-0.15160947409776659</v>
      </c>
      <c r="L63" s="13">
        <f t="shared" si="16"/>
        <v>2.0234706986319697</v>
      </c>
      <c r="M63" s="13">
        <v>3443</v>
      </c>
      <c r="N63" s="89">
        <f t="shared" si="36"/>
        <v>0.57908665141060378</v>
      </c>
      <c r="O63" s="331"/>
      <c r="P63" s="89">
        <f t="shared" si="17"/>
        <v>5.000000000001581E-2</v>
      </c>
      <c r="Q63" s="331"/>
      <c r="R63" s="20">
        <f t="shared" si="18"/>
        <v>11.581733028208413</v>
      </c>
      <c r="S63" s="347"/>
      <c r="T63" s="15">
        <f t="shared" si="19"/>
        <v>5.9576434697104075</v>
      </c>
      <c r="U63" s="130">
        <f t="shared" si="20"/>
        <v>4.4198050690008424E-5</v>
      </c>
      <c r="V63" s="13">
        <f t="shared" si="21"/>
        <v>1.6430529578315145E-4</v>
      </c>
      <c r="W63" s="13">
        <f t="shared" si="51"/>
        <v>1.3080171992748686</v>
      </c>
      <c r="X63" s="13">
        <f t="shared" si="38"/>
        <v>74.943865048972327</v>
      </c>
      <c r="Y63" s="130">
        <f t="shared" si="39"/>
        <v>4.368559117740034E-5</v>
      </c>
      <c r="Z63" s="141">
        <f t="shared" si="40"/>
        <v>-9.4140000000066948E-3</v>
      </c>
      <c r="AA63" s="142">
        <f t="shared" si="41"/>
        <v>285.05613495102767</v>
      </c>
      <c r="AB63" s="13">
        <v>200</v>
      </c>
      <c r="AC63" s="13">
        <v>13</v>
      </c>
      <c r="AD63" s="13">
        <f t="shared" si="22"/>
        <v>4</v>
      </c>
      <c r="AE63" s="161">
        <f t="shared" si="23"/>
        <v>85.056134951027673</v>
      </c>
      <c r="AF63" s="15">
        <f t="shared" ref="AF63:AF94" si="56">T63/((9.81*$D$3)^0.5)</f>
        <v>0.22780398488465947</v>
      </c>
      <c r="AG63" s="366"/>
      <c r="AH63" s="331"/>
      <c r="AI63" s="339"/>
      <c r="AJ63" s="85">
        <f t="shared" ref="AJ63:AJ94" si="57">IF(AND(F63="NORMAL",AND($D$6&gt;=0.55,$D$6&lt;0.6)),1.7-1.4*AF63-7.4*AF63^2,IF(AND(F63="NORMAL",AND($D$6&gt;=0.6,$D$6&lt;0.65)),2.2-2.5*AF63-9.7*AF63^2,IF(AND(F63="NORMAL",AND($D$6&gt;=0.65,$D$6&lt;0.7)),2.6-3.7*AF63-11.6*AF63^2,IF(AND(F63="NORMAL",AND($D$6&gt;=0.7,$D$6&lt;0.75)),3.1-5.3*AF63-12.4*AF63^2,IF(AND(F63="NORMAL OR LOADED",AND($D$6&gt;=0.75,$D$6&lt;0.8)),2.4-10.6*AF63-9.5*AF63^2,IF(AND(F63="NORMAL OR LOADED",AND($D$6&gt;=0.8,$D$6&lt;0.85)),2.6-13.1*AF63-15.1*AF63^2,IF(AND(F63="NORMAL OR LOADED",AND($D$6&gt;=0.85,$D$6&lt;0.9)),3.1-18.7*AF63+28*AF63^2,IF(AND(F63="BALLAST",AND($D$6&gt;=0.75,$D$6&lt;0.8)),2.6-12.5*AF63-13.5*AF63^2,IF(AND(F63="BALLAST",AND($D$6&gt;=0.8,$D$6&lt;0.85)),IF(AND(F63="BALLAST",AND($D$6&gt;=0.85,$D$6&lt;0.9)),3.4-20.9*AF63+31.8*AF63^2))))))))))</f>
        <v>1.127111879153849</v>
      </c>
      <c r="AK63" s="13">
        <f t="shared" si="2"/>
        <v>0.33</v>
      </c>
      <c r="AL63" s="15">
        <f t="shared" si="24"/>
        <v>14.330886011442766</v>
      </c>
      <c r="AM63" s="15">
        <f t="shared" si="25"/>
        <v>5.3303289145579651</v>
      </c>
      <c r="AN63" s="15">
        <f t="shared" ref="AN63:AN94" si="58">R63/(1-(0.01*AM63))</f>
        <v>12.233836766746105</v>
      </c>
      <c r="AO63" s="15">
        <f t="shared" si="26"/>
        <v>6.2930856328141962</v>
      </c>
      <c r="AP63" s="15">
        <f t="shared" si="27"/>
        <v>0.24063037535966508</v>
      </c>
      <c r="AQ63" s="20">
        <f t="shared" ref="AQ63:AQ94" si="59">N63/AN63</f>
        <v>4.733483554273598E-2</v>
      </c>
      <c r="AR63" s="13">
        <f t="shared" ref="AR63:AR94" si="60">(AO63*$D$3)/$U$3</f>
        <v>369321490.16818672</v>
      </c>
      <c r="AS63" s="13">
        <f t="shared" si="28"/>
        <v>1.7388964485885374E-3</v>
      </c>
      <c r="AT63" s="15">
        <f t="shared" ref="AT63:AT94" si="61">0.5*1024*(AO63^2)*$W$5*$W$6*AS63</f>
        <v>1137.6533835432685</v>
      </c>
      <c r="AU63" s="13">
        <f t="shared" ref="AU63:AU94" si="62">0.5*1024*AS63*$U$10*(AO63)^2</f>
        <v>43933.950694732877</v>
      </c>
      <c r="AV63" s="339"/>
      <c r="AW63" s="339"/>
      <c r="AX63" s="356"/>
      <c r="AY63" s="339"/>
      <c r="AZ63" s="339"/>
      <c r="BA63" s="331"/>
      <c r="BB63" s="331"/>
      <c r="BC63" s="331"/>
      <c r="BD63" s="339"/>
      <c r="BE63" s="339"/>
      <c r="BF63" s="339"/>
      <c r="BG63" s="339"/>
      <c r="BH63" s="337"/>
      <c r="BI63" s="331"/>
      <c r="BJ63" s="331"/>
      <c r="BK63" s="331"/>
      <c r="BL63" s="15">
        <f t="shared" ref="BL63:BL94" si="63">$BI$31*($G$6^2)*EXP(-0.1*(AP63^-2))</f>
        <v>-0.13641647485999281</v>
      </c>
      <c r="BM63" s="20">
        <f t="shared" si="29"/>
        <v>26594.539965248478</v>
      </c>
      <c r="BN63" s="20">
        <f t="shared" ref="BN63:BN94" si="64">0.5*1025*(AO63^2)*$AY$31*$W$3</f>
        <v>14888.885335226303</v>
      </c>
      <c r="BO63" s="20">
        <f t="shared" ref="BO63:BO94" si="65">((AU63*$U$8)+AT63+BM63+BN63)/1000</f>
        <v>141.56166364993842</v>
      </c>
      <c r="BP63" s="20">
        <f t="shared" si="30"/>
        <v>162.79591319742917</v>
      </c>
      <c r="BQ63" s="15">
        <f t="shared" si="31"/>
        <v>1024.4886224236086</v>
      </c>
      <c r="BR63" s="15">
        <f t="shared" ref="BR63:BR94" si="66">(1-$AB$4)*AO63</f>
        <v>4.5787924305672769</v>
      </c>
      <c r="BS63" s="6">
        <f t="shared" ref="BS63:BS94" si="67">BQ63/$AB$10</f>
        <v>2449.1968290855389</v>
      </c>
      <c r="BT63" s="15">
        <f t="shared" ref="BT63:BT94" si="68">BS63/$AG$4</f>
        <v>2499.1804378423867</v>
      </c>
      <c r="BU63" s="13">
        <f t="shared" ref="BU63:BU94" si="69">((BT63/$AG$5)/85%)</f>
        <v>3000.2166120556863</v>
      </c>
      <c r="BV63" s="13">
        <f t="shared" si="32"/>
        <v>1500.1083060278431</v>
      </c>
      <c r="BW63" s="13">
        <f t="shared" si="33"/>
        <v>1500.1083060278431</v>
      </c>
      <c r="BX63" s="139">
        <f t="shared" ref="BX63:BX94" si="70">(BU63/$AC$19)*100</f>
        <v>142.86745771693745</v>
      </c>
      <c r="BY63" s="15">
        <f t="shared" si="34"/>
        <v>1.2724522489211942E-2</v>
      </c>
      <c r="BZ63" s="15">
        <f t="shared" si="35"/>
        <v>1.2724522489211942E-2</v>
      </c>
      <c r="CA63" s="66">
        <f t="shared" si="42"/>
        <v>2.5449044978423884E-2</v>
      </c>
      <c r="CB63" s="331"/>
      <c r="CC63" s="361"/>
      <c r="CD63" s="361"/>
      <c r="CE63" s="361"/>
      <c r="CF63" s="115"/>
    </row>
    <row r="64" spans="3:84" ht="15.75" x14ac:dyDescent="0.3">
      <c r="C64" s="13">
        <v>34</v>
      </c>
      <c r="D64" s="379"/>
      <c r="E64" s="379"/>
      <c r="F64" s="19" t="s">
        <v>128</v>
      </c>
      <c r="G64" s="257"/>
      <c r="H64" s="54">
        <v>0.90763888888888899</v>
      </c>
      <c r="I64" s="13">
        <v>-8.6849559999999997</v>
      </c>
      <c r="J64" s="13">
        <v>115.92927299999999</v>
      </c>
      <c r="K64" s="13">
        <f t="shared" si="16"/>
        <v>-0.15158107759083664</v>
      </c>
      <c r="L64" s="13">
        <f t="shared" si="16"/>
        <v>2.023347513293364</v>
      </c>
      <c r="M64" s="13">
        <v>3443</v>
      </c>
      <c r="N64" s="89">
        <f t="shared" si="36"/>
        <v>0.43051162998702092</v>
      </c>
      <c r="O64" s="331"/>
      <c r="P64" s="89">
        <f t="shared" ref="P64:P95" si="71">(H64-H63)*24</f>
        <v>4.9999999999991829E-2</v>
      </c>
      <c r="Q64" s="331"/>
      <c r="R64" s="20">
        <f t="shared" ref="R64:R95" si="72">N64/P64</f>
        <v>8.6102325997418259</v>
      </c>
      <c r="S64" s="347"/>
      <c r="T64" s="15">
        <f t="shared" si="19"/>
        <v>4.4291036493071951</v>
      </c>
      <c r="U64" s="130">
        <f t="shared" ref="U64:U95" si="73">LN(TAN((K64/2)+(3.14/4))/(TAN((K63/2)+(3.14/4))))</f>
        <v>2.8729456803959607E-5</v>
      </c>
      <c r="V64" s="13">
        <f t="shared" ref="V64:V95" si="74">ABS(L63-L64)</f>
        <v>1.2318533860566916E-4</v>
      </c>
      <c r="W64" s="13">
        <f t="shared" si="51"/>
        <v>1.3416705524962615</v>
      </c>
      <c r="X64" s="13">
        <f t="shared" si="38"/>
        <v>76.872060155021146</v>
      </c>
      <c r="Y64" s="130">
        <f t="shared" si="39"/>
        <v>2.8396506929956322E-5</v>
      </c>
      <c r="Z64" s="141">
        <f t="shared" si="40"/>
        <v>-7.0580000000006748E-3</v>
      </c>
      <c r="AA64" s="142">
        <f t="shared" si="41"/>
        <v>283.12793984497887</v>
      </c>
      <c r="AB64" s="13">
        <v>200</v>
      </c>
      <c r="AC64" s="13">
        <v>13</v>
      </c>
      <c r="AD64" s="13">
        <f t="shared" si="22"/>
        <v>4</v>
      </c>
      <c r="AE64" s="161">
        <f t="shared" si="23"/>
        <v>83.127939844978869</v>
      </c>
      <c r="AF64" s="15">
        <f t="shared" si="56"/>
        <v>0.16935680456695923</v>
      </c>
      <c r="AG64" s="366"/>
      <c r="AH64" s="331"/>
      <c r="AI64" s="339"/>
      <c r="AJ64" s="85">
        <f t="shared" si="57"/>
        <v>1.4983952342272291</v>
      </c>
      <c r="AK64" s="13">
        <f t="shared" si="2"/>
        <v>0.33</v>
      </c>
      <c r="AL64" s="15">
        <f t="shared" si="24"/>
        <v>14.330886011442766</v>
      </c>
      <c r="AM64" s="15">
        <f t="shared" si="25"/>
        <v>7.0861993295938372</v>
      </c>
      <c r="AN64" s="15">
        <f t="shared" si="58"/>
        <v>9.266903880387984</v>
      </c>
      <c r="AO64" s="15">
        <f t="shared" si="26"/>
        <v>4.7668953560715783</v>
      </c>
      <c r="AP64" s="15">
        <f t="shared" si="27"/>
        <v>0.18227303516268792</v>
      </c>
      <c r="AQ64" s="20">
        <f t="shared" si="59"/>
        <v>4.6456900335195492E-2</v>
      </c>
      <c r="AR64" s="13">
        <f t="shared" si="60"/>
        <v>279754161.80581695</v>
      </c>
      <c r="AS64" s="13">
        <f t="shared" si="28"/>
        <v>1.8045795335591619E-3</v>
      </c>
      <c r="AT64" s="15">
        <f t="shared" si="61"/>
        <v>677.41720653980417</v>
      </c>
      <c r="AU64" s="13">
        <f t="shared" si="62"/>
        <v>26160.528841561259</v>
      </c>
      <c r="AV64" s="339"/>
      <c r="AW64" s="339"/>
      <c r="AX64" s="356"/>
      <c r="AY64" s="339"/>
      <c r="AZ64" s="339"/>
      <c r="BA64" s="331"/>
      <c r="BB64" s="331"/>
      <c r="BC64" s="331"/>
      <c r="BD64" s="339"/>
      <c r="BE64" s="339"/>
      <c r="BF64" s="339"/>
      <c r="BG64" s="339"/>
      <c r="BH64" s="337"/>
      <c r="BI64" s="331"/>
      <c r="BJ64" s="331"/>
      <c r="BK64" s="331"/>
      <c r="BL64" s="15">
        <f t="shared" si="63"/>
        <v>-3.7819243601943581E-2</v>
      </c>
      <c r="BM64" s="20">
        <f t="shared" ref="BM64:BM95" si="75">$BC$31*$BD$31*$BG$31*($D$3*$D$4*$AI$31*$AH$31)*1025*9.81*(EXP(($BK$31*(AP64^-0.9))+(BL64*COS($Y$10*(AP64^-2)))))</f>
        <v>1858.5965143013659</v>
      </c>
      <c r="BN64" s="20">
        <f t="shared" si="64"/>
        <v>8542.9160576858103</v>
      </c>
      <c r="BO64" s="20">
        <f t="shared" si="65"/>
        <v>69.993231489895976</v>
      </c>
      <c r="BP64" s="20">
        <f t="shared" si="30"/>
        <v>80.492216213380374</v>
      </c>
      <c r="BQ64" s="15">
        <f t="shared" si="31"/>
        <v>383.6979716674723</v>
      </c>
      <c r="BR64" s="15">
        <f t="shared" si="66"/>
        <v>3.4683501301612245</v>
      </c>
      <c r="BS64" s="6">
        <f t="shared" si="67"/>
        <v>917.28871845484946</v>
      </c>
      <c r="BT64" s="15">
        <f t="shared" si="68"/>
        <v>936.00889638249942</v>
      </c>
      <c r="BU64" s="13">
        <f t="shared" si="69"/>
        <v>1123.6601397148852</v>
      </c>
      <c r="BV64" s="13">
        <f t="shared" si="32"/>
        <v>561.8300698574426</v>
      </c>
      <c r="BW64" s="13">
        <f t="shared" si="33"/>
        <v>561.8300698574426</v>
      </c>
      <c r="BX64" s="139">
        <f t="shared" si="70"/>
        <v>53.507625700708815</v>
      </c>
      <c r="BY64" s="15">
        <f t="shared" ref="BY64:BY95" si="76">((($AC$20*BV64*AQ64)/1000000))</f>
        <v>4.6772783340744166E-3</v>
      </c>
      <c r="BZ64" s="15">
        <f t="shared" ref="BZ64:BZ95" si="77">((($AC$20*BV64*AQ64)/1000000))</f>
        <v>4.6772783340744166E-3</v>
      </c>
      <c r="CA64" s="66">
        <f t="shared" si="42"/>
        <v>9.3545566681488331E-3</v>
      </c>
      <c r="CB64" s="331"/>
      <c r="CC64" s="362"/>
      <c r="CD64" s="362"/>
      <c r="CE64" s="362"/>
      <c r="CF64" s="115"/>
    </row>
    <row r="65" spans="3:84" ht="15.75" x14ac:dyDescent="0.3">
      <c r="C65" s="13">
        <v>35</v>
      </c>
      <c r="D65" s="379"/>
      <c r="E65" s="379"/>
      <c r="F65" s="19" t="s">
        <v>128</v>
      </c>
      <c r="G65" s="255">
        <v>0.90972222222222221</v>
      </c>
      <c r="H65" s="54">
        <v>0.90972222222222199</v>
      </c>
      <c r="I65" s="13">
        <v>-8.6828040000000009</v>
      </c>
      <c r="J65" s="13">
        <v>115.922195</v>
      </c>
      <c r="K65" s="13">
        <f t="shared" si="16"/>
        <v>-0.15154351810533373</v>
      </c>
      <c r="L65" s="13">
        <f t="shared" si="16"/>
        <v>2.0232239788889079</v>
      </c>
      <c r="M65" s="13">
        <v>3443</v>
      </c>
      <c r="N65" s="89">
        <f t="shared" ref="N65:N96" si="78">2*M65*ASIN(((SIN((K65-K64)/2))^2+COS(K64)*COS(K65)*(SIN((L65-L64)/2))^2)^0.5)</f>
        <v>0.43989069346163567</v>
      </c>
      <c r="O65" s="331"/>
      <c r="P65" s="89">
        <f t="shared" si="71"/>
        <v>4.9999999999991829E-2</v>
      </c>
      <c r="Q65" s="358"/>
      <c r="R65" s="20">
        <f t="shared" si="72"/>
        <v>8.797813869234151</v>
      </c>
      <c r="S65" s="348"/>
      <c r="T65" s="15">
        <f t="shared" si="19"/>
        <v>4.5255954543340469</v>
      </c>
      <c r="U65" s="130">
        <f t="shared" si="73"/>
        <v>3.7999679127941458E-5</v>
      </c>
      <c r="V65" s="13">
        <f t="shared" si="74"/>
        <v>1.2353440445611596E-4</v>
      </c>
      <c r="W65" s="13">
        <f t="shared" si="51"/>
        <v>1.2723780513625349</v>
      </c>
      <c r="X65" s="13">
        <f t="shared" si="38"/>
        <v>72.901892288153135</v>
      </c>
      <c r="Y65" s="130">
        <f t="shared" si="39"/>
        <v>3.7559485502908219E-5</v>
      </c>
      <c r="Z65" s="141">
        <f t="shared" si="40"/>
        <v>-7.0779999999928123E-3</v>
      </c>
      <c r="AA65" s="142">
        <f t="shared" si="41"/>
        <v>287.09810771184686</v>
      </c>
      <c r="AB65" s="13">
        <v>200</v>
      </c>
      <c r="AC65" s="13">
        <v>13</v>
      </c>
      <c r="AD65" s="13">
        <f t="shared" si="22"/>
        <v>4</v>
      </c>
      <c r="AE65" s="161">
        <f t="shared" si="23"/>
        <v>87.098107711846865</v>
      </c>
      <c r="AF65" s="15">
        <f t="shared" si="56"/>
        <v>0.17304638716880277</v>
      </c>
      <c r="AG65" s="366"/>
      <c r="AH65" s="331"/>
      <c r="AI65" s="339"/>
      <c r="AJ65" s="85">
        <f t="shared" si="57"/>
        <v>1.4769170265898939</v>
      </c>
      <c r="AK65" s="13">
        <f t="shared" si="2"/>
        <v>0.33</v>
      </c>
      <c r="AL65" s="15">
        <f t="shared" si="24"/>
        <v>14.330886011442766</v>
      </c>
      <c r="AM65" s="15">
        <f t="shared" si="25"/>
        <v>6.9846247536181894</v>
      </c>
      <c r="AN65" s="15">
        <f t="shared" si="58"/>
        <v>9.4584511925369839</v>
      </c>
      <c r="AO65" s="15">
        <f t="shared" si="26"/>
        <v>4.8654272934410239</v>
      </c>
      <c r="AP65" s="15">
        <f t="shared" si="27"/>
        <v>0.18604062684307032</v>
      </c>
      <c r="AQ65" s="20">
        <f t="shared" si="59"/>
        <v>4.6507687623183309E-2</v>
      </c>
      <c r="AR65" s="13">
        <f t="shared" si="60"/>
        <v>285536692.67568034</v>
      </c>
      <c r="AS65" s="13">
        <f t="shared" si="28"/>
        <v>1.7996154198253191E-3</v>
      </c>
      <c r="AT65" s="15">
        <f t="shared" si="61"/>
        <v>703.76982062837089</v>
      </c>
      <c r="AU65" s="13">
        <f t="shared" si="62"/>
        <v>27178.215304584362</v>
      </c>
      <c r="AV65" s="339"/>
      <c r="AW65" s="339"/>
      <c r="AX65" s="356"/>
      <c r="AY65" s="339"/>
      <c r="AZ65" s="339"/>
      <c r="BA65" s="331"/>
      <c r="BB65" s="331"/>
      <c r="BC65" s="331"/>
      <c r="BD65" s="339"/>
      <c r="BE65" s="339"/>
      <c r="BF65" s="339"/>
      <c r="BG65" s="339"/>
      <c r="BH65" s="337"/>
      <c r="BI65" s="331"/>
      <c r="BJ65" s="331"/>
      <c r="BK65" s="331"/>
      <c r="BL65" s="15">
        <f t="shared" si="63"/>
        <v>-4.2669916908091833E-2</v>
      </c>
      <c r="BM65" s="20">
        <f t="shared" si="75"/>
        <v>2319.9762149425501</v>
      </c>
      <c r="BN65" s="20">
        <f t="shared" si="64"/>
        <v>8899.7309285685642</v>
      </c>
      <c r="BO65" s="20">
        <f t="shared" si="65"/>
        <v>73.129639352073482</v>
      </c>
      <c r="BP65" s="20">
        <f t="shared" si="30"/>
        <v>84.0990852548845</v>
      </c>
      <c r="BQ65" s="15">
        <f t="shared" si="31"/>
        <v>409.17798475253863</v>
      </c>
      <c r="BR65" s="15">
        <f t="shared" si="66"/>
        <v>3.540041080407295</v>
      </c>
      <c r="BS65" s="6">
        <f t="shared" si="67"/>
        <v>978.20258893334358</v>
      </c>
      <c r="BT65" s="15">
        <f t="shared" si="68"/>
        <v>998.16590707484045</v>
      </c>
      <c r="BU65" s="13">
        <f t="shared" si="69"/>
        <v>1198.2783998497484</v>
      </c>
      <c r="BV65" s="13">
        <f t="shared" si="32"/>
        <v>599.13919992487422</v>
      </c>
      <c r="BW65" s="13">
        <f t="shared" si="33"/>
        <v>599.13919992487422</v>
      </c>
      <c r="BX65" s="139">
        <f t="shared" si="70"/>
        <v>57.060876183321355</v>
      </c>
      <c r="BY65" s="15">
        <f t="shared" si="76"/>
        <v>4.9933325125214763E-3</v>
      </c>
      <c r="BZ65" s="15">
        <f t="shared" si="77"/>
        <v>4.9933325125214763E-3</v>
      </c>
      <c r="CA65" s="66">
        <f t="shared" si="42"/>
        <v>9.9866650250429526E-3</v>
      </c>
      <c r="CB65" s="331"/>
      <c r="CC65" s="360">
        <f t="shared" ref="CC65" si="79">SUM(CA65:CA69)*1000</f>
        <v>100.2886363082975</v>
      </c>
      <c r="CD65" s="360">
        <v>100</v>
      </c>
      <c r="CE65" s="360">
        <f t="shared" ref="CE65" si="80">AVERAGE(AN65:AN69)</f>
        <v>10.662443689444762</v>
      </c>
      <c r="CF65" s="115"/>
    </row>
    <row r="66" spans="3:84" ht="15.75" x14ac:dyDescent="0.3">
      <c r="C66" s="13">
        <v>36</v>
      </c>
      <c r="D66" s="379"/>
      <c r="E66" s="379"/>
      <c r="F66" s="19" t="s">
        <v>128</v>
      </c>
      <c r="G66" s="256"/>
      <c r="H66" s="54">
        <v>0.91180555555555498</v>
      </c>
      <c r="I66" s="13">
        <v>-8.6819290000000002</v>
      </c>
      <c r="J66" s="13">
        <v>115.914716</v>
      </c>
      <c r="K66" s="13">
        <f t="shared" si="16"/>
        <v>-0.15152824647437879</v>
      </c>
      <c r="L66" s="13">
        <f t="shared" si="16"/>
        <v>2.0230934457141516</v>
      </c>
      <c r="M66" s="13">
        <v>3443</v>
      </c>
      <c r="N66" s="89">
        <f t="shared" si="78"/>
        <v>0.44737610653848381</v>
      </c>
      <c r="O66" s="331">
        <f>SUM(N66:N70)</f>
        <v>2.5469185811571924</v>
      </c>
      <c r="P66" s="89">
        <f t="shared" si="71"/>
        <v>4.9999999999991829E-2</v>
      </c>
      <c r="Q66" s="357">
        <f t="shared" ref="Q66" si="81">SUM(P66:P70)</f>
        <v>0.24999999999995914</v>
      </c>
      <c r="R66" s="20">
        <f t="shared" si="72"/>
        <v>8.947522130771139</v>
      </c>
      <c r="S66" s="346">
        <f t="shared" ref="S66" si="82">AVERAGE(R66:R70)</f>
        <v>10.187674324630436</v>
      </c>
      <c r="T66" s="15">
        <f t="shared" si="19"/>
        <v>4.6026053840686734</v>
      </c>
      <c r="U66" s="130">
        <f t="shared" si="73"/>
        <v>1.5450550364380059E-5</v>
      </c>
      <c r="V66" s="13">
        <f t="shared" si="74"/>
        <v>1.3053317475630877E-4</v>
      </c>
      <c r="W66" s="13">
        <f t="shared" si="51"/>
        <v>1.452979568385605</v>
      </c>
      <c r="X66" s="13">
        <f t="shared" si="38"/>
        <v>83.249596987235151</v>
      </c>
      <c r="Y66" s="130">
        <f t="shared" si="39"/>
        <v>1.5271630954938331E-5</v>
      </c>
      <c r="Z66" s="141">
        <f t="shared" si="40"/>
        <v>-7.4790000000035661E-3</v>
      </c>
      <c r="AA66" s="142">
        <f t="shared" si="41"/>
        <v>276.75040301276488</v>
      </c>
      <c r="AB66" s="13">
        <v>200</v>
      </c>
      <c r="AC66" s="13">
        <v>13</v>
      </c>
      <c r="AD66" s="13">
        <f t="shared" si="22"/>
        <v>4</v>
      </c>
      <c r="AE66" s="161">
        <f t="shared" si="23"/>
        <v>76.750403012764878</v>
      </c>
      <c r="AF66" s="15">
        <f t="shared" si="56"/>
        <v>0.17599103616608297</v>
      </c>
      <c r="AG66" s="366"/>
      <c r="AH66" s="331"/>
      <c r="AI66" s="339"/>
      <c r="AJ66" s="85">
        <f t="shared" si="57"/>
        <v>1.459585814919921</v>
      </c>
      <c r="AK66" s="13">
        <f t="shared" si="2"/>
        <v>0.33</v>
      </c>
      <c r="AL66" s="15">
        <f t="shared" si="24"/>
        <v>14.330886011442766</v>
      </c>
      <c r="AM66" s="15">
        <f t="shared" si="25"/>
        <v>6.9026621193869415</v>
      </c>
      <c r="AN66" s="15">
        <f t="shared" si="58"/>
        <v>9.6109323149984558</v>
      </c>
      <c r="AO66" s="15">
        <f t="shared" si="26"/>
        <v>4.9438635828352053</v>
      </c>
      <c r="AP66" s="15">
        <f t="shared" si="27"/>
        <v>0.1890398159309043</v>
      </c>
      <c r="AQ66" s="20">
        <f t="shared" si="59"/>
        <v>4.6548668940298916E-2</v>
      </c>
      <c r="AR66" s="13">
        <f t="shared" si="60"/>
        <v>290139872.89164191</v>
      </c>
      <c r="AS66" s="13">
        <f t="shared" si="28"/>
        <v>1.7957493340792041E-3</v>
      </c>
      <c r="AT66" s="15">
        <f t="shared" si="61"/>
        <v>725.08284618610037</v>
      </c>
      <c r="AU66" s="13">
        <f t="shared" si="62"/>
        <v>28001.282705915793</v>
      </c>
      <c r="AV66" s="339"/>
      <c r="AW66" s="339"/>
      <c r="AX66" s="356"/>
      <c r="AY66" s="339"/>
      <c r="AZ66" s="339"/>
      <c r="BA66" s="331"/>
      <c r="BB66" s="331"/>
      <c r="BC66" s="331"/>
      <c r="BD66" s="339"/>
      <c r="BE66" s="339"/>
      <c r="BF66" s="339"/>
      <c r="BG66" s="339"/>
      <c r="BH66" s="337"/>
      <c r="BI66" s="331"/>
      <c r="BJ66" s="331"/>
      <c r="BK66" s="331"/>
      <c r="BL66" s="15">
        <f t="shared" si="63"/>
        <v>-4.6732734068274821E-2</v>
      </c>
      <c r="BM66" s="20">
        <f t="shared" si="75"/>
        <v>2752.3600393267225</v>
      </c>
      <c r="BN66" s="20">
        <f t="shared" si="64"/>
        <v>9188.9917102880481</v>
      </c>
      <c r="BO66" s="20">
        <f t="shared" si="65"/>
        <v>75.72616965057621</v>
      </c>
      <c r="BP66" s="20">
        <f t="shared" si="30"/>
        <v>87.08509509816264</v>
      </c>
      <c r="BQ66" s="15">
        <f t="shared" si="31"/>
        <v>430.5368302635469</v>
      </c>
      <c r="BR66" s="15">
        <f t="shared" si="66"/>
        <v>3.5971106181690526</v>
      </c>
      <c r="BS66" s="6">
        <f t="shared" si="67"/>
        <v>1029.264177665033</v>
      </c>
      <c r="BT66" s="15">
        <f t="shared" si="68"/>
        <v>1050.269569045952</v>
      </c>
      <c r="BU66" s="13">
        <f t="shared" si="69"/>
        <v>1260.8278139807348</v>
      </c>
      <c r="BV66" s="13">
        <f t="shared" si="32"/>
        <v>630.41390699036742</v>
      </c>
      <c r="BW66" s="13">
        <f t="shared" si="33"/>
        <v>630.41390699036742</v>
      </c>
      <c r="BX66" s="139">
        <f t="shared" si="70"/>
        <v>60.039419713368325</v>
      </c>
      <c r="BY66" s="15">
        <f t="shared" si="76"/>
        <v>5.2586111427324169E-3</v>
      </c>
      <c r="BZ66" s="15">
        <f t="shared" si="77"/>
        <v>5.2586111427324169E-3</v>
      </c>
      <c r="CA66" s="66">
        <f t="shared" ref="CA66:CA97" si="83">((($AC$20*BU66*AQ66)/1000000))</f>
        <v>1.0517222285464834E-2</v>
      </c>
      <c r="CB66" s="331"/>
      <c r="CC66" s="361"/>
      <c r="CD66" s="361"/>
      <c r="CE66" s="361"/>
      <c r="CF66" s="115"/>
    </row>
    <row r="67" spans="3:84" ht="15.75" x14ac:dyDescent="0.3">
      <c r="C67" s="13">
        <v>37</v>
      </c>
      <c r="D67" s="379"/>
      <c r="E67" s="379"/>
      <c r="F67" s="19" t="s">
        <v>128</v>
      </c>
      <c r="G67" s="256"/>
      <c r="H67" s="54">
        <v>0.91388888888888797</v>
      </c>
      <c r="I67" s="13">
        <v>-8.6790430000000001</v>
      </c>
      <c r="J67" s="13">
        <v>115.90313500000001</v>
      </c>
      <c r="K67" s="13">
        <f t="shared" si="16"/>
        <v>-0.15147787627216622</v>
      </c>
      <c r="L67" s="13">
        <f t="shared" si="16"/>
        <v>2.0228913191334779</v>
      </c>
      <c r="M67" s="13">
        <v>3443</v>
      </c>
      <c r="N67" s="89">
        <f t="shared" si="78"/>
        <v>0.7094728136398234</v>
      </c>
      <c r="O67" s="331"/>
      <c r="P67" s="89">
        <f t="shared" si="71"/>
        <v>4.9999999999991829E-2</v>
      </c>
      <c r="Q67" s="331"/>
      <c r="R67" s="20">
        <f t="shared" si="72"/>
        <v>14.189456272798786</v>
      </c>
      <c r="S67" s="347"/>
      <c r="T67" s="15">
        <f t="shared" si="19"/>
        <v>7.299056306727695</v>
      </c>
      <c r="U67" s="130">
        <f t="shared" si="73"/>
        <v>5.0960072803669838E-5</v>
      </c>
      <c r="V67" s="13">
        <f t="shared" si="74"/>
        <v>2.02126580673756E-4</v>
      </c>
      <c r="W67" s="13">
        <f t="shared" si="51"/>
        <v>1.3238237424643424</v>
      </c>
      <c r="X67" s="13">
        <f t="shared" si="38"/>
        <v>75.849513262420444</v>
      </c>
      <c r="Y67" s="130">
        <f t="shared" si="39"/>
        <v>5.0370202212574045E-5</v>
      </c>
      <c r="Z67" s="141">
        <f t="shared" si="40"/>
        <v>-1.1580999999992514E-2</v>
      </c>
      <c r="AA67" s="142">
        <f t="shared" si="41"/>
        <v>284.15048673757957</v>
      </c>
      <c r="AB67" s="13">
        <v>200</v>
      </c>
      <c r="AC67" s="13">
        <v>13</v>
      </c>
      <c r="AD67" s="13">
        <f t="shared" si="22"/>
        <v>4</v>
      </c>
      <c r="AE67" s="161">
        <f t="shared" si="23"/>
        <v>84.15048673757957</v>
      </c>
      <c r="AF67" s="15">
        <f t="shared" si="56"/>
        <v>0.27909594137745508</v>
      </c>
      <c r="AG67" s="366"/>
      <c r="AH67" s="331"/>
      <c r="AI67" s="339"/>
      <c r="AJ67" s="85">
        <f t="shared" si="57"/>
        <v>0.74668306497069448</v>
      </c>
      <c r="AK67" s="13">
        <f t="shared" si="2"/>
        <v>0.33</v>
      </c>
      <c r="AL67" s="15">
        <f t="shared" si="24"/>
        <v>14.330886011442766</v>
      </c>
      <c r="AM67" s="15">
        <f t="shared" si="25"/>
        <v>3.531207863954013</v>
      </c>
      <c r="AN67" s="15">
        <f t="shared" si="58"/>
        <v>14.708856572795041</v>
      </c>
      <c r="AO67" s="15">
        <f t="shared" si="26"/>
        <v>7.5662358210457681</v>
      </c>
      <c r="AP67" s="15">
        <f t="shared" si="27"/>
        <v>0.28931215494422019</v>
      </c>
      <c r="AQ67" s="20">
        <f t="shared" si="59"/>
        <v>4.8234396068015113E-2</v>
      </c>
      <c r="AR67" s="13">
        <f t="shared" si="60"/>
        <v>444038688.08359522</v>
      </c>
      <c r="AS67" s="13">
        <f t="shared" si="28"/>
        <v>1.6972855687061843E-3</v>
      </c>
      <c r="AT67" s="15">
        <f t="shared" si="61"/>
        <v>1605.1795722375862</v>
      </c>
      <c r="AU67" s="13">
        <f t="shared" si="62"/>
        <v>61988.898554703192</v>
      </c>
      <c r="AV67" s="339"/>
      <c r="AW67" s="339"/>
      <c r="AX67" s="356"/>
      <c r="AY67" s="339"/>
      <c r="AZ67" s="339"/>
      <c r="BA67" s="331"/>
      <c r="BB67" s="331"/>
      <c r="BC67" s="331"/>
      <c r="BD67" s="339"/>
      <c r="BE67" s="339"/>
      <c r="BF67" s="339"/>
      <c r="BG67" s="339"/>
      <c r="BH67" s="337"/>
      <c r="BI67" s="331"/>
      <c r="BJ67" s="331"/>
      <c r="BK67" s="331"/>
      <c r="BL67" s="15">
        <f t="shared" si="63"/>
        <v>-0.23229730390740858</v>
      </c>
      <c r="BM67" s="20">
        <f t="shared" si="75"/>
        <v>98474.286914924116</v>
      </c>
      <c r="BN67" s="20">
        <f t="shared" si="64"/>
        <v>21522.595747752435</v>
      </c>
      <c r="BO67" s="20">
        <f t="shared" si="65"/>
        <v>261.2029355324463</v>
      </c>
      <c r="BP67" s="20">
        <f t="shared" si="30"/>
        <v>300.38337586231324</v>
      </c>
      <c r="BQ67" s="15">
        <f t="shared" si="31"/>
        <v>2272.7714584960891</v>
      </c>
      <c r="BR67" s="15">
        <f t="shared" si="66"/>
        <v>5.5051250414653659</v>
      </c>
      <c r="BS67" s="6">
        <f t="shared" si="67"/>
        <v>5433.4079730590684</v>
      </c>
      <c r="BT67" s="15">
        <f t="shared" si="68"/>
        <v>5544.2938500602741</v>
      </c>
      <c r="BU67" s="13">
        <f t="shared" si="69"/>
        <v>6655.8149460507502</v>
      </c>
      <c r="BV67" s="13">
        <f t="shared" si="32"/>
        <v>3327.9074730253751</v>
      </c>
      <c r="BW67" s="13">
        <f t="shared" si="33"/>
        <v>3327.9074730253751</v>
      </c>
      <c r="BX67" s="139">
        <f t="shared" si="70"/>
        <v>316.94356885955955</v>
      </c>
      <c r="BY67" s="15">
        <f t="shared" si="76"/>
        <v>2.8765113597985097E-2</v>
      </c>
      <c r="BZ67" s="15">
        <f t="shared" si="77"/>
        <v>2.8765113597985097E-2</v>
      </c>
      <c r="CA67" s="66">
        <f t="shared" si="83"/>
        <v>5.7530227195970195E-2</v>
      </c>
      <c r="CB67" s="331"/>
      <c r="CC67" s="361"/>
      <c r="CD67" s="361"/>
      <c r="CE67" s="361"/>
      <c r="CF67" s="115"/>
    </row>
    <row r="68" spans="3:84" ht="15.75" x14ac:dyDescent="0.3">
      <c r="C68" s="13">
        <v>38</v>
      </c>
      <c r="D68" s="379"/>
      <c r="E68" s="379"/>
      <c r="F68" s="19" t="s">
        <v>128</v>
      </c>
      <c r="G68" s="256"/>
      <c r="H68" s="54">
        <v>0.91597222222222097</v>
      </c>
      <c r="I68" s="13">
        <v>-8.6770219999999991</v>
      </c>
      <c r="J68" s="13">
        <v>115.895529</v>
      </c>
      <c r="K68" s="13">
        <f t="shared" si="16"/>
        <v>-0.15144260316798339</v>
      </c>
      <c r="L68" s="13">
        <f t="shared" si="16"/>
        <v>2.0227585693905712</v>
      </c>
      <c r="M68" s="13">
        <v>3443</v>
      </c>
      <c r="N68" s="89">
        <f t="shared" si="78"/>
        <v>0.46786182422939343</v>
      </c>
      <c r="O68" s="331"/>
      <c r="P68" s="89">
        <f t="shared" si="71"/>
        <v>4.9999999999991829E-2</v>
      </c>
      <c r="Q68" s="331"/>
      <c r="R68" s="20">
        <f t="shared" si="72"/>
        <v>9.3572364845893983</v>
      </c>
      <c r="S68" s="347"/>
      <c r="T68" s="15">
        <f t="shared" si="19"/>
        <v>4.8133624476727865</v>
      </c>
      <c r="U68" s="130">
        <f t="shared" si="73"/>
        <v>3.568594258989769E-5</v>
      </c>
      <c r="V68" s="13">
        <f t="shared" si="74"/>
        <v>1.3274974290666819E-4</v>
      </c>
      <c r="W68" s="13">
        <f t="shared" si="51"/>
        <v>1.3081835406150932</v>
      </c>
      <c r="X68" s="13">
        <f t="shared" si="38"/>
        <v>74.953395705725754</v>
      </c>
      <c r="Y68" s="130">
        <f t="shared" si="39"/>
        <v>3.5273104182831361E-5</v>
      </c>
      <c r="Z68" s="141">
        <f t="shared" si="40"/>
        <v>-7.6060000000097716E-3</v>
      </c>
      <c r="AA68" s="142">
        <f t="shared" si="41"/>
        <v>285.04660429427423</v>
      </c>
      <c r="AB68" s="13">
        <v>200</v>
      </c>
      <c r="AC68" s="13">
        <v>13</v>
      </c>
      <c r="AD68" s="13">
        <f t="shared" si="22"/>
        <v>4</v>
      </c>
      <c r="AE68" s="161">
        <f t="shared" si="23"/>
        <v>85.046604294274232</v>
      </c>
      <c r="AF68" s="15">
        <f t="shared" si="56"/>
        <v>0.18404980960153669</v>
      </c>
      <c r="AG68" s="366"/>
      <c r="AH68" s="331"/>
      <c r="AI68" s="339"/>
      <c r="AJ68" s="85">
        <f t="shared" si="57"/>
        <v>1.4112944515768482</v>
      </c>
      <c r="AK68" s="13">
        <f t="shared" si="2"/>
        <v>0.33</v>
      </c>
      <c r="AL68" s="15">
        <f t="shared" si="24"/>
        <v>14.330886011442766</v>
      </c>
      <c r="AM68" s="15">
        <f t="shared" si="25"/>
        <v>6.6742829716627172</v>
      </c>
      <c r="AN68" s="15">
        <f t="shared" si="58"/>
        <v>10.026428708550057</v>
      </c>
      <c r="AO68" s="15">
        <f t="shared" si="26"/>
        <v>5.157594927678149</v>
      </c>
      <c r="AP68" s="15">
        <f t="shared" si="27"/>
        <v>0.19721231774265616</v>
      </c>
      <c r="AQ68" s="20">
        <f t="shared" si="59"/>
        <v>4.6662858514161014E-2</v>
      </c>
      <c r="AR68" s="13">
        <f t="shared" si="60"/>
        <v>302683096.26070762</v>
      </c>
      <c r="AS68" s="13">
        <f t="shared" si="28"/>
        <v>1.7855779172078735E-3</v>
      </c>
      <c r="AT68" s="15">
        <f t="shared" si="61"/>
        <v>784.66128629808804</v>
      </c>
      <c r="AU68" s="13">
        <f t="shared" si="62"/>
        <v>30302.085646611846</v>
      </c>
      <c r="AV68" s="339"/>
      <c r="AW68" s="339"/>
      <c r="AX68" s="356"/>
      <c r="AY68" s="339"/>
      <c r="AZ68" s="339"/>
      <c r="BA68" s="331"/>
      <c r="BB68" s="331"/>
      <c r="BC68" s="331"/>
      <c r="BD68" s="339"/>
      <c r="BE68" s="339"/>
      <c r="BF68" s="339"/>
      <c r="BG68" s="339"/>
      <c r="BH68" s="337"/>
      <c r="BI68" s="331"/>
      <c r="BJ68" s="331"/>
      <c r="BK68" s="331"/>
      <c r="BL68" s="15">
        <f t="shared" si="63"/>
        <v>-5.8648541930565394E-2</v>
      </c>
      <c r="BM68" s="20">
        <f t="shared" si="75"/>
        <v>4279.5281033979345</v>
      </c>
      <c r="BN68" s="20">
        <f t="shared" si="64"/>
        <v>10000.676121599088</v>
      </c>
      <c r="BO68" s="20">
        <f t="shared" si="65"/>
        <v>83.306078335404507</v>
      </c>
      <c r="BP68" s="20">
        <f t="shared" si="30"/>
        <v>95.801990085715175</v>
      </c>
      <c r="BQ68" s="15">
        <f t="shared" si="31"/>
        <v>494.10785812755688</v>
      </c>
      <c r="BR68" s="15">
        <f t="shared" si="66"/>
        <v>3.7526196198007691</v>
      </c>
      <c r="BS68" s="6">
        <f t="shared" si="67"/>
        <v>1181.2404480289836</v>
      </c>
      <c r="BT68" s="15">
        <f t="shared" si="68"/>
        <v>1205.3473959479425</v>
      </c>
      <c r="BU68" s="13">
        <f t="shared" si="69"/>
        <v>1446.9956734068937</v>
      </c>
      <c r="BV68" s="13">
        <f t="shared" si="32"/>
        <v>723.49783670344686</v>
      </c>
      <c r="BW68" s="13">
        <f t="shared" si="33"/>
        <v>723.49783670344686</v>
      </c>
      <c r="BX68" s="139">
        <f t="shared" si="70"/>
        <v>68.904555876518742</v>
      </c>
      <c r="BY68" s="15">
        <f t="shared" si="76"/>
        <v>6.049877512339495E-3</v>
      </c>
      <c r="BZ68" s="15">
        <f t="shared" si="77"/>
        <v>6.049877512339495E-3</v>
      </c>
      <c r="CA68" s="66">
        <f t="shared" si="83"/>
        <v>1.209975502467899E-2</v>
      </c>
      <c r="CB68" s="331"/>
      <c r="CC68" s="361"/>
      <c r="CD68" s="361"/>
      <c r="CE68" s="361"/>
      <c r="CF68" s="115"/>
    </row>
    <row r="69" spans="3:84" ht="15.75" x14ac:dyDescent="0.3">
      <c r="C69" s="13">
        <v>39</v>
      </c>
      <c r="D69" s="379"/>
      <c r="E69" s="379"/>
      <c r="F69" s="19" t="s">
        <v>128</v>
      </c>
      <c r="G69" s="257"/>
      <c r="H69" s="54">
        <v>0.91805555555555396</v>
      </c>
      <c r="I69" s="13">
        <v>-8.6760470000000005</v>
      </c>
      <c r="J69" s="13">
        <v>115.888149</v>
      </c>
      <c r="K69" s="13">
        <f t="shared" si="16"/>
        <v>-0.15142558620777649</v>
      </c>
      <c r="L69" s="13">
        <f t="shared" si="16"/>
        <v>2.0226297640917741</v>
      </c>
      <c r="M69" s="13">
        <v>3443</v>
      </c>
      <c r="N69" s="89">
        <f t="shared" si="78"/>
        <v>0.44229909967489522</v>
      </c>
      <c r="O69" s="331"/>
      <c r="P69" s="89">
        <f t="shared" si="71"/>
        <v>4.9999999999991829E-2</v>
      </c>
      <c r="Q69" s="331"/>
      <c r="R69" s="20">
        <f t="shared" si="72"/>
        <v>8.8459819934993504</v>
      </c>
      <c r="S69" s="347"/>
      <c r="T69" s="15">
        <f t="shared" si="19"/>
        <v>4.5503731374560656</v>
      </c>
      <c r="U69" s="130">
        <f t="shared" si="73"/>
        <v>1.7216058609870557E-5</v>
      </c>
      <c r="V69" s="13">
        <f t="shared" si="74"/>
        <v>1.2880529879710778E-4</v>
      </c>
      <c r="W69" s="13">
        <f t="shared" si="51"/>
        <v>1.4379242870918463</v>
      </c>
      <c r="X69" s="13">
        <f t="shared" si="38"/>
        <v>82.386992909720504</v>
      </c>
      <c r="Y69" s="130">
        <f t="shared" si="39"/>
        <v>1.7016960206894804E-5</v>
      </c>
      <c r="Z69" s="141">
        <f t="shared" si="40"/>
        <v>-7.3799999999977217E-3</v>
      </c>
      <c r="AA69" s="142">
        <f t="shared" si="41"/>
        <v>277.6130070902795</v>
      </c>
      <c r="AB69" s="13">
        <v>200</v>
      </c>
      <c r="AC69" s="13">
        <v>13</v>
      </c>
      <c r="AD69" s="13">
        <f t="shared" si="22"/>
        <v>4</v>
      </c>
      <c r="AE69" s="161">
        <f t="shared" si="23"/>
        <v>77.613007090279496</v>
      </c>
      <c r="AF69" s="15">
        <f t="shared" si="56"/>
        <v>0.17399381797430541</v>
      </c>
      <c r="AG69" s="366"/>
      <c r="AH69" s="331"/>
      <c r="AI69" s="339"/>
      <c r="AJ69" s="85">
        <f t="shared" si="57"/>
        <v>1.471359122739462</v>
      </c>
      <c r="AK69" s="13">
        <f t="shared" si="2"/>
        <v>0.33</v>
      </c>
      <c r="AL69" s="15">
        <f t="shared" si="24"/>
        <v>14.330886011442766</v>
      </c>
      <c r="AM69" s="15">
        <f t="shared" si="25"/>
        <v>6.958340357058967</v>
      </c>
      <c r="AN69" s="15">
        <f t="shared" si="58"/>
        <v>9.5075496583432724</v>
      </c>
      <c r="AO69" s="15">
        <f t="shared" si="26"/>
        <v>4.8906835442517789</v>
      </c>
      <c r="AP69" s="15">
        <f t="shared" si="27"/>
        <v>0.18700635676752583</v>
      </c>
      <c r="AQ69" s="20">
        <f t="shared" si="59"/>
        <v>4.6520829821462911E-2</v>
      </c>
      <c r="AR69" s="13">
        <f t="shared" si="60"/>
        <v>287018902.95053375</v>
      </c>
      <c r="AS69" s="13">
        <f t="shared" si="28"/>
        <v>1.7983624243640792E-3</v>
      </c>
      <c r="AT69" s="15">
        <f t="shared" si="61"/>
        <v>710.60016471549932</v>
      </c>
      <c r="AU69" s="13">
        <f t="shared" si="62"/>
        <v>27441.98984671892</v>
      </c>
      <c r="AV69" s="339"/>
      <c r="AW69" s="339"/>
      <c r="AX69" s="356"/>
      <c r="AY69" s="339"/>
      <c r="AZ69" s="339"/>
      <c r="BA69" s="331"/>
      <c r="BB69" s="331"/>
      <c r="BC69" s="331"/>
      <c r="BD69" s="339"/>
      <c r="BE69" s="339"/>
      <c r="BF69" s="339"/>
      <c r="BG69" s="339"/>
      <c r="BH69" s="337"/>
      <c r="BI69" s="331"/>
      <c r="BJ69" s="331"/>
      <c r="BK69" s="331"/>
      <c r="BL69" s="15">
        <f t="shared" si="63"/>
        <v>-4.3959032575524568E-2</v>
      </c>
      <c r="BM69" s="20">
        <f t="shared" si="75"/>
        <v>2452.5368005535188</v>
      </c>
      <c r="BN69" s="20">
        <f t="shared" si="64"/>
        <v>8992.3670812313685</v>
      </c>
      <c r="BO69" s="20">
        <f t="shared" si="65"/>
        <v>73.955694676493664</v>
      </c>
      <c r="BP69" s="20">
        <f t="shared" si="30"/>
        <v>85.049048877967721</v>
      </c>
      <c r="BQ69" s="15">
        <f t="shared" si="31"/>
        <v>415.94798380174194</v>
      </c>
      <c r="BR69" s="15">
        <f t="shared" si="66"/>
        <v>3.5584173010380447</v>
      </c>
      <c r="BS69" s="6">
        <f t="shared" si="67"/>
        <v>994.38730767135689</v>
      </c>
      <c r="BT69" s="15">
        <f t="shared" si="68"/>
        <v>1014.6809261952621</v>
      </c>
      <c r="BU69" s="13">
        <f t="shared" si="69"/>
        <v>1218.1043531755847</v>
      </c>
      <c r="BV69" s="13">
        <f t="shared" si="32"/>
        <v>609.05217658779236</v>
      </c>
      <c r="BW69" s="13">
        <f t="shared" si="33"/>
        <v>609.05217658779236</v>
      </c>
      <c r="BX69" s="139">
        <f t="shared" si="70"/>
        <v>58.004969198837365</v>
      </c>
      <c r="BY69" s="15">
        <f t="shared" si="76"/>
        <v>5.0773833885702623E-3</v>
      </c>
      <c r="BZ69" s="15">
        <f t="shared" si="77"/>
        <v>5.0773833885702623E-3</v>
      </c>
      <c r="CA69" s="66">
        <f t="shared" si="83"/>
        <v>1.0154766777140525E-2</v>
      </c>
      <c r="CB69" s="331"/>
      <c r="CC69" s="362"/>
      <c r="CD69" s="362"/>
      <c r="CE69" s="362"/>
      <c r="CF69" s="115"/>
    </row>
    <row r="70" spans="3:84" ht="15.75" x14ac:dyDescent="0.3">
      <c r="C70" s="13">
        <v>40</v>
      </c>
      <c r="D70" s="379"/>
      <c r="E70" s="379"/>
      <c r="F70" s="19" t="s">
        <v>128</v>
      </c>
      <c r="G70" s="255">
        <v>0.92013888888888884</v>
      </c>
      <c r="H70" s="54">
        <v>0.92013888888888695</v>
      </c>
      <c r="I70" s="13">
        <v>-8.6744620000000001</v>
      </c>
      <c r="J70" s="13">
        <v>115.88023099999999</v>
      </c>
      <c r="K70" s="13">
        <f t="shared" si="16"/>
        <v>-0.15139792273913236</v>
      </c>
      <c r="L70" s="13">
        <f t="shared" si="16"/>
        <v>2.022491568921601</v>
      </c>
      <c r="M70" s="13">
        <v>3443</v>
      </c>
      <c r="N70" s="89">
        <f t="shared" si="78"/>
        <v>0.47990873707459653</v>
      </c>
      <c r="O70" s="331"/>
      <c r="P70" s="89">
        <f t="shared" si="71"/>
        <v>4.9999999999991829E-2</v>
      </c>
      <c r="Q70" s="358"/>
      <c r="R70" s="20">
        <f t="shared" si="72"/>
        <v>9.5981747414934997</v>
      </c>
      <c r="S70" s="348"/>
      <c r="T70" s="15">
        <f t="shared" si="19"/>
        <v>4.937301087024256</v>
      </c>
      <c r="U70" s="130">
        <f t="shared" si="73"/>
        <v>2.7987035261295858E-5</v>
      </c>
      <c r="V70" s="13">
        <f t="shared" si="74"/>
        <v>1.3819517017310545E-4</v>
      </c>
      <c r="W70" s="13">
        <f t="shared" si="51"/>
        <v>1.3709806103975997</v>
      </c>
      <c r="X70" s="13">
        <f t="shared" si="38"/>
        <v>78.551402770051894</v>
      </c>
      <c r="Y70" s="130">
        <f t="shared" si="39"/>
        <v>2.7663468644134603E-5</v>
      </c>
      <c r="Z70" s="141">
        <f t="shared" si="40"/>
        <v>-7.9180000000036443E-3</v>
      </c>
      <c r="AA70" s="142">
        <f t="shared" si="41"/>
        <v>281.44859722994812</v>
      </c>
      <c r="AB70" s="13">
        <v>200</v>
      </c>
      <c r="AC70" s="13">
        <v>13</v>
      </c>
      <c r="AD70" s="13">
        <f t="shared" si="22"/>
        <v>4</v>
      </c>
      <c r="AE70" s="161">
        <f t="shared" si="23"/>
        <v>81.44859722994812</v>
      </c>
      <c r="AF70" s="15">
        <f t="shared" si="56"/>
        <v>0.18878888404749708</v>
      </c>
      <c r="AG70" s="366"/>
      <c r="AH70" s="331"/>
      <c r="AI70" s="339"/>
      <c r="AJ70" s="85">
        <f t="shared" si="57"/>
        <v>1.3823077353042343</v>
      </c>
      <c r="AK70" s="13">
        <f t="shared" si="2"/>
        <v>0.33</v>
      </c>
      <c r="AL70" s="15">
        <f t="shared" si="24"/>
        <v>14.330886011442766</v>
      </c>
      <c r="AM70" s="15">
        <f t="shared" si="25"/>
        <v>6.537199213835593</v>
      </c>
      <c r="AN70" s="15">
        <f t="shared" si="58"/>
        <v>10.269513283101128</v>
      </c>
      <c r="AO70" s="15">
        <f t="shared" si="26"/>
        <v>5.2826376328272202</v>
      </c>
      <c r="AP70" s="15">
        <f t="shared" si="27"/>
        <v>0.20199360864375476</v>
      </c>
      <c r="AQ70" s="20">
        <f t="shared" si="59"/>
        <v>4.6731400393074565E-2</v>
      </c>
      <c r="AR70" s="13">
        <f t="shared" si="60"/>
        <v>310021461.07804203</v>
      </c>
      <c r="AS70" s="13">
        <f t="shared" si="28"/>
        <v>1.779859101670942E-3</v>
      </c>
      <c r="AT70" s="15">
        <f t="shared" si="61"/>
        <v>820.53332672989188</v>
      </c>
      <c r="AU70" s="13">
        <f t="shared" si="62"/>
        <v>31687.393754026605</v>
      </c>
      <c r="AV70" s="339"/>
      <c r="AW70" s="339"/>
      <c r="AX70" s="356"/>
      <c r="AY70" s="339"/>
      <c r="AZ70" s="339"/>
      <c r="BA70" s="331"/>
      <c r="BB70" s="331"/>
      <c r="BC70" s="331"/>
      <c r="BD70" s="339"/>
      <c r="BE70" s="339"/>
      <c r="BF70" s="339"/>
      <c r="BG70" s="339"/>
      <c r="BH70" s="337"/>
      <c r="BI70" s="331"/>
      <c r="BJ70" s="331"/>
      <c r="BK70" s="331"/>
      <c r="BL70" s="15">
        <f t="shared" si="63"/>
        <v>-6.6144663145758772E-2</v>
      </c>
      <c r="BM70" s="20">
        <f t="shared" si="75"/>
        <v>5453.2256013139367</v>
      </c>
      <c r="BN70" s="20">
        <f t="shared" si="64"/>
        <v>10491.47485788925</v>
      </c>
      <c r="BO70" s="20">
        <f t="shared" si="65"/>
        <v>88.126202341959385</v>
      </c>
      <c r="BP70" s="20">
        <f t="shared" si="30"/>
        <v>101.34513269325329</v>
      </c>
      <c r="BQ70" s="15">
        <f t="shared" si="31"/>
        <v>535.36961186924805</v>
      </c>
      <c r="BR70" s="15">
        <f t="shared" si="66"/>
        <v>3.8435995659258926</v>
      </c>
      <c r="BS70" s="6">
        <f t="shared" si="67"/>
        <v>1279.8829846221061</v>
      </c>
      <c r="BT70" s="15">
        <f t="shared" si="68"/>
        <v>1306.0030455327612</v>
      </c>
      <c r="BU70" s="13">
        <f t="shared" si="69"/>
        <v>1567.8307869540952</v>
      </c>
      <c r="BV70" s="13">
        <f t="shared" si="32"/>
        <v>783.91539347704759</v>
      </c>
      <c r="BW70" s="13">
        <f t="shared" si="33"/>
        <v>783.91539347704759</v>
      </c>
      <c r="BX70" s="139">
        <f t="shared" si="70"/>
        <v>74.658608902575963</v>
      </c>
      <c r="BY70" s="15">
        <f t="shared" si="76"/>
        <v>6.5647167715351942E-3</v>
      </c>
      <c r="BZ70" s="15">
        <f t="shared" si="77"/>
        <v>6.5647167715351942E-3</v>
      </c>
      <c r="CA70" s="66">
        <f t="shared" si="83"/>
        <v>1.3129433543070388E-2</v>
      </c>
      <c r="CB70" s="331"/>
      <c r="CC70" s="360">
        <f t="shared" ref="CC70" si="84">SUM(CA70:CA74)*1000</f>
        <v>56.001607270280374</v>
      </c>
      <c r="CD70" s="360">
        <v>62</v>
      </c>
      <c r="CE70" s="360">
        <f t="shared" ref="CE70" si="85">AVERAGE(AN70:AN74)</f>
        <v>9.7602018808484985</v>
      </c>
      <c r="CF70" s="115"/>
    </row>
    <row r="71" spans="3:84" ht="15.75" x14ac:dyDescent="0.3">
      <c r="C71" s="13">
        <v>41</v>
      </c>
      <c r="D71" s="379"/>
      <c r="E71" s="379"/>
      <c r="F71" s="19" t="s">
        <v>128</v>
      </c>
      <c r="G71" s="256"/>
      <c r="H71" s="54">
        <v>0.92222222222221995</v>
      </c>
      <c r="I71" s="13">
        <v>-8.6722750000000008</v>
      </c>
      <c r="J71" s="13">
        <v>115.87324099999999</v>
      </c>
      <c r="K71" s="13">
        <f t="shared" si="16"/>
        <v>-0.15135975238839125</v>
      </c>
      <c r="L71" s="13">
        <f t="shared" si="16"/>
        <v>2.0223695704068865</v>
      </c>
      <c r="M71" s="13">
        <v>3443</v>
      </c>
      <c r="N71" s="89">
        <f t="shared" si="78"/>
        <v>0.43553805455472266</v>
      </c>
      <c r="O71" s="331">
        <f>SUM(N71:N75)</f>
        <v>2.0662819986799974</v>
      </c>
      <c r="P71" s="89">
        <f t="shared" si="71"/>
        <v>4.9999999999991829E-2</v>
      </c>
      <c r="Q71" s="357">
        <f t="shared" ref="Q71" si="86">SUM(P71:P75)</f>
        <v>0.24999999999996181</v>
      </c>
      <c r="R71" s="20">
        <f t="shared" si="72"/>
        <v>8.7107610910958773</v>
      </c>
      <c r="S71" s="346">
        <f t="shared" ref="S71" si="87">AVERAGE(R71:R75)</f>
        <v>8.2651279947212419</v>
      </c>
      <c r="T71" s="15">
        <f t="shared" si="19"/>
        <v>4.4808155052597192</v>
      </c>
      <c r="U71" s="130">
        <f t="shared" si="73"/>
        <v>3.8616616466516666E-5</v>
      </c>
      <c r="V71" s="13">
        <f t="shared" si="74"/>
        <v>1.2199851471450529E-4</v>
      </c>
      <c r="W71" s="13">
        <f t="shared" si="51"/>
        <v>1.2642410449864339</v>
      </c>
      <c r="X71" s="13">
        <f t="shared" si="38"/>
        <v>72.435676164931508</v>
      </c>
      <c r="Y71" s="130">
        <f t="shared" si="39"/>
        <v>3.8170350741106862E-5</v>
      </c>
      <c r="Z71" s="141">
        <f t="shared" si="40"/>
        <v>-6.9900000000018281E-3</v>
      </c>
      <c r="AA71" s="142">
        <f t="shared" si="41"/>
        <v>287.56432383506848</v>
      </c>
      <c r="AB71" s="13">
        <v>200</v>
      </c>
      <c r="AC71" s="13">
        <v>13</v>
      </c>
      <c r="AD71" s="13">
        <f t="shared" si="22"/>
        <v>4</v>
      </c>
      <c r="AE71" s="161">
        <f t="shared" si="23"/>
        <v>87.564323835068478</v>
      </c>
      <c r="AF71" s="15">
        <f t="shared" si="56"/>
        <v>0.1713341244437962</v>
      </c>
      <c r="AG71" s="366"/>
      <c r="AH71" s="331"/>
      <c r="AI71" s="339"/>
      <c r="AJ71" s="85">
        <f t="shared" si="57"/>
        <v>1.486917481560964</v>
      </c>
      <c r="AK71" s="13">
        <f t="shared" si="2"/>
        <v>0.33</v>
      </c>
      <c r="AL71" s="15">
        <f t="shared" si="24"/>
        <v>14.330886011442766</v>
      </c>
      <c r="AM71" s="15">
        <f t="shared" si="25"/>
        <v>7.0319188291016701</v>
      </c>
      <c r="AN71" s="15">
        <f t="shared" si="58"/>
        <v>9.3696255546926306</v>
      </c>
      <c r="AO71" s="15">
        <f t="shared" si="26"/>
        <v>4.8197353853338889</v>
      </c>
      <c r="AP71" s="15">
        <f t="shared" si="27"/>
        <v>0.18429349329996572</v>
      </c>
      <c r="AQ71" s="20">
        <f t="shared" si="59"/>
        <v>4.6484040585441561E-2</v>
      </c>
      <c r="AR71" s="13">
        <f t="shared" si="60"/>
        <v>282855177.66454446</v>
      </c>
      <c r="AS71" s="13">
        <f t="shared" si="28"/>
        <v>1.8019022424926056E-3</v>
      </c>
      <c r="AT71" s="15">
        <f t="shared" si="61"/>
        <v>691.49106921720806</v>
      </c>
      <c r="AU71" s="13">
        <f t="shared" si="62"/>
        <v>26704.033917797857</v>
      </c>
      <c r="AV71" s="339"/>
      <c r="AW71" s="339"/>
      <c r="AX71" s="356"/>
      <c r="AY71" s="339"/>
      <c r="AZ71" s="339"/>
      <c r="BA71" s="331"/>
      <c r="BB71" s="331"/>
      <c r="BC71" s="331"/>
      <c r="BD71" s="339"/>
      <c r="BE71" s="339"/>
      <c r="BF71" s="339"/>
      <c r="BG71" s="339"/>
      <c r="BH71" s="337"/>
      <c r="BI71" s="331"/>
      <c r="BJ71" s="331"/>
      <c r="BK71" s="331"/>
      <c r="BL71" s="15">
        <f t="shared" si="63"/>
        <v>-4.0384797452004489E-2</v>
      </c>
      <c r="BM71" s="20">
        <f t="shared" si="75"/>
        <v>2095.3500864011503</v>
      </c>
      <c r="BN71" s="20">
        <f t="shared" si="64"/>
        <v>8733.3585916303982</v>
      </c>
      <c r="BO71" s="20">
        <f t="shared" si="65"/>
        <v>71.658491318952414</v>
      </c>
      <c r="BP71" s="20">
        <f t="shared" si="30"/>
        <v>82.407265016795279</v>
      </c>
      <c r="BQ71" s="15">
        <f t="shared" si="31"/>
        <v>397.18121121003571</v>
      </c>
      <c r="BR71" s="15">
        <f t="shared" si="66"/>
        <v>3.5067960595723306</v>
      </c>
      <c r="BS71" s="6">
        <f t="shared" si="67"/>
        <v>949.52246591738844</v>
      </c>
      <c r="BT71" s="15">
        <f t="shared" si="68"/>
        <v>968.90047542590662</v>
      </c>
      <c r="BU71" s="13">
        <f t="shared" si="69"/>
        <v>1163.145828842625</v>
      </c>
      <c r="BV71" s="13">
        <f t="shared" si="32"/>
        <v>581.57291442131248</v>
      </c>
      <c r="BW71" s="13">
        <f t="shared" si="33"/>
        <v>581.57291442131248</v>
      </c>
      <c r="BX71" s="139">
        <f t="shared" si="70"/>
        <v>55.387896611553565</v>
      </c>
      <c r="BY71" s="15">
        <f t="shared" si="76"/>
        <v>4.8444675251578034E-3</v>
      </c>
      <c r="BZ71" s="15">
        <f t="shared" si="77"/>
        <v>4.8444675251578034E-3</v>
      </c>
      <c r="CA71" s="66">
        <f t="shared" si="83"/>
        <v>9.6889350503156068E-3</v>
      </c>
      <c r="CB71" s="331"/>
      <c r="CC71" s="361"/>
      <c r="CD71" s="361"/>
      <c r="CE71" s="361"/>
      <c r="CF71" s="115"/>
    </row>
    <row r="72" spans="3:84" ht="15.75" x14ac:dyDescent="0.3">
      <c r="C72" s="13">
        <v>42</v>
      </c>
      <c r="D72" s="379"/>
      <c r="E72" s="379"/>
      <c r="F72" s="19" t="s">
        <v>128</v>
      </c>
      <c r="G72" s="256"/>
      <c r="H72" s="54">
        <v>0.92430555555555305</v>
      </c>
      <c r="I72" s="13">
        <v>-8.669537</v>
      </c>
      <c r="J72" s="13">
        <v>115.866066</v>
      </c>
      <c r="K72" s="13">
        <f t="shared" si="16"/>
        <v>-0.15131196527347163</v>
      </c>
      <c r="L72" s="13">
        <f t="shared" si="16"/>
        <v>2.0222443430330563</v>
      </c>
      <c r="M72" s="13">
        <v>3443</v>
      </c>
      <c r="N72" s="89">
        <f t="shared" si="78"/>
        <v>0.45688339822578417</v>
      </c>
      <c r="O72" s="331"/>
      <c r="P72" s="89">
        <f t="shared" si="71"/>
        <v>4.9999999999994493E-2</v>
      </c>
      <c r="Q72" s="331"/>
      <c r="R72" s="20">
        <f t="shared" si="72"/>
        <v>9.1376679645166892</v>
      </c>
      <c r="S72" s="347"/>
      <c r="T72" s="15">
        <f t="shared" si="19"/>
        <v>4.7004164009473843</v>
      </c>
      <c r="U72" s="130">
        <f t="shared" si="73"/>
        <v>4.8345495693848034E-5</v>
      </c>
      <c r="V72" s="13">
        <f t="shared" si="74"/>
        <v>1.2522737383013904E-4</v>
      </c>
      <c r="W72" s="13">
        <f t="shared" si="51"/>
        <v>1.2023631494416507</v>
      </c>
      <c r="X72" s="13">
        <f t="shared" si="38"/>
        <v>68.890333905064068</v>
      </c>
      <c r="Y72" s="130">
        <f t="shared" si="39"/>
        <v>4.7787114919622953E-5</v>
      </c>
      <c r="Z72" s="141">
        <f t="shared" si="40"/>
        <v>-7.1749999999894953E-3</v>
      </c>
      <c r="AA72" s="142">
        <f t="shared" si="41"/>
        <v>291.10966609493596</v>
      </c>
      <c r="AB72" s="13">
        <v>200</v>
      </c>
      <c r="AC72" s="13">
        <v>13</v>
      </c>
      <c r="AD72" s="13">
        <f t="shared" si="22"/>
        <v>4</v>
      </c>
      <c r="AE72" s="161">
        <f t="shared" si="23"/>
        <v>91.10966609493596</v>
      </c>
      <c r="AF72" s="15">
        <f t="shared" si="56"/>
        <v>0.17973106181949355</v>
      </c>
      <c r="AG72" s="366"/>
      <c r="AH72" s="331"/>
      <c r="AI72" s="339"/>
      <c r="AJ72" s="85">
        <f t="shared" si="57"/>
        <v>1.4373307759984688</v>
      </c>
      <c r="AK72" s="13">
        <f t="shared" si="2"/>
        <v>0.33</v>
      </c>
      <c r="AL72" s="15">
        <f t="shared" si="24"/>
        <v>14.330886011442766</v>
      </c>
      <c r="AM72" s="15">
        <f t="shared" si="25"/>
        <v>6.7974137588189691</v>
      </c>
      <c r="AN72" s="15">
        <f t="shared" si="58"/>
        <v>9.8040927114093996</v>
      </c>
      <c r="AO72" s="15">
        <f t="shared" si="26"/>
        <v>5.0432252907489952</v>
      </c>
      <c r="AP72" s="15">
        <f t="shared" si="27"/>
        <v>0.1928391357664713</v>
      </c>
      <c r="AQ72" s="20">
        <f t="shared" si="59"/>
        <v>4.6601293120585384E-2</v>
      </c>
      <c r="AR72" s="13">
        <f t="shared" si="60"/>
        <v>295971100.39648151</v>
      </c>
      <c r="AS72" s="13">
        <f t="shared" si="28"/>
        <v>1.7909563469045043E-3</v>
      </c>
      <c r="AT72" s="15">
        <f t="shared" si="61"/>
        <v>752.50726756449319</v>
      </c>
      <c r="AU72" s="13">
        <f t="shared" si="62"/>
        <v>29060.360272157712</v>
      </c>
      <c r="AV72" s="339"/>
      <c r="AW72" s="339"/>
      <c r="AX72" s="356"/>
      <c r="AY72" s="339"/>
      <c r="AZ72" s="339"/>
      <c r="BA72" s="331"/>
      <c r="BB72" s="331"/>
      <c r="BC72" s="331"/>
      <c r="BD72" s="339"/>
      <c r="BE72" s="339"/>
      <c r="BF72" s="339"/>
      <c r="BG72" s="339"/>
      <c r="BH72" s="337"/>
      <c r="BI72" s="331"/>
      <c r="BJ72" s="331"/>
      <c r="BK72" s="331"/>
      <c r="BL72" s="15">
        <f t="shared" si="63"/>
        <v>-5.2123856466824575E-2</v>
      </c>
      <c r="BM72" s="20">
        <f t="shared" si="75"/>
        <v>3393.9842289480866</v>
      </c>
      <c r="BN72" s="20">
        <f t="shared" si="64"/>
        <v>9562.0638903324616</v>
      </c>
      <c r="BO72" s="20">
        <f t="shared" si="65"/>
        <v>79.153365133772326</v>
      </c>
      <c r="BP72" s="20">
        <f t="shared" si="30"/>
        <v>91.026369903838173</v>
      </c>
      <c r="BQ72" s="15">
        <f t="shared" si="31"/>
        <v>459.06649082410985</v>
      </c>
      <c r="BR72" s="15">
        <f t="shared" si="66"/>
        <v>3.66940530199023</v>
      </c>
      <c r="BS72" s="6">
        <f t="shared" si="67"/>
        <v>1097.4686971203262</v>
      </c>
      <c r="BT72" s="15">
        <f t="shared" si="68"/>
        <v>1119.8660174697206</v>
      </c>
      <c r="BU72" s="13">
        <f t="shared" si="69"/>
        <v>1344.3769717523658</v>
      </c>
      <c r="BV72" s="13">
        <f t="shared" si="32"/>
        <v>672.18848587618288</v>
      </c>
      <c r="BW72" s="13">
        <f t="shared" si="33"/>
        <v>672.18848587618288</v>
      </c>
      <c r="BX72" s="139">
        <f t="shared" si="70"/>
        <v>64.01795103582694</v>
      </c>
      <c r="BY72" s="15">
        <f t="shared" si="76"/>
        <v>5.6134135971376451E-3</v>
      </c>
      <c r="BZ72" s="15">
        <f t="shared" si="77"/>
        <v>5.6134135971376451E-3</v>
      </c>
      <c r="CA72" s="66">
        <f t="shared" si="83"/>
        <v>1.122682719427529E-2</v>
      </c>
      <c r="CB72" s="331"/>
      <c r="CC72" s="361"/>
      <c r="CD72" s="361"/>
      <c r="CE72" s="361"/>
      <c r="CF72" s="115"/>
    </row>
    <row r="73" spans="3:84" ht="15.75" x14ac:dyDescent="0.3">
      <c r="C73" s="13">
        <v>43</v>
      </c>
      <c r="D73" s="379"/>
      <c r="E73" s="379"/>
      <c r="F73" s="19" t="s">
        <v>128</v>
      </c>
      <c r="G73" s="256"/>
      <c r="H73" s="54">
        <v>0.92638888888888604</v>
      </c>
      <c r="I73" s="13">
        <v>-8.6671300000000002</v>
      </c>
      <c r="J73" s="13">
        <v>115.859415</v>
      </c>
      <c r="K73" s="13">
        <f t="shared" si="16"/>
        <v>-0.15126995519837613</v>
      </c>
      <c r="L73" s="13">
        <f t="shared" si="16"/>
        <v>2.0221282611845059</v>
      </c>
      <c r="M73" s="13">
        <v>3443</v>
      </c>
      <c r="N73" s="89">
        <f t="shared" si="78"/>
        <v>0.42074755247091572</v>
      </c>
      <c r="O73" s="331"/>
      <c r="P73" s="89">
        <f t="shared" si="71"/>
        <v>4.9999999999991829E-2</v>
      </c>
      <c r="Q73" s="331"/>
      <c r="R73" s="20">
        <f t="shared" si="72"/>
        <v>8.41495104941969</v>
      </c>
      <c r="S73" s="347"/>
      <c r="T73" s="15">
        <f t="shared" si="19"/>
        <v>4.3286508198214886</v>
      </c>
      <c r="U73" s="130">
        <f t="shared" si="73"/>
        <v>4.2500660049210956E-5</v>
      </c>
      <c r="V73" s="13">
        <f t="shared" si="74"/>
        <v>1.1608184855038672E-4</v>
      </c>
      <c r="W73" s="13">
        <f t="shared" si="51"/>
        <v>1.219827621445986</v>
      </c>
      <c r="X73" s="13">
        <f t="shared" si="38"/>
        <v>69.890974442336869</v>
      </c>
      <c r="Y73" s="130">
        <f t="shared" si="39"/>
        <v>4.201007509549437E-5</v>
      </c>
      <c r="Z73" s="141">
        <f t="shared" si="40"/>
        <v>-6.6510000000050695E-3</v>
      </c>
      <c r="AA73" s="142">
        <f t="shared" si="41"/>
        <v>290.10902555766313</v>
      </c>
      <c r="AB73" s="13">
        <v>200</v>
      </c>
      <c r="AC73" s="13">
        <v>13</v>
      </c>
      <c r="AD73" s="13">
        <f t="shared" si="22"/>
        <v>4</v>
      </c>
      <c r="AE73" s="161">
        <f t="shared" si="23"/>
        <v>90.109025557663131</v>
      </c>
      <c r="AF73" s="15">
        <f t="shared" si="56"/>
        <v>0.16551576322802602</v>
      </c>
      <c r="AG73" s="366"/>
      <c r="AH73" s="331"/>
      <c r="AI73" s="339"/>
      <c r="AJ73" s="85">
        <f t="shared" si="57"/>
        <v>1.5204745535234623</v>
      </c>
      <c r="AK73" s="13">
        <f t="shared" si="2"/>
        <v>0.33</v>
      </c>
      <c r="AL73" s="15">
        <f t="shared" si="24"/>
        <v>14.330886011442766</v>
      </c>
      <c r="AM73" s="15">
        <f t="shared" si="25"/>
        <v>7.1906166782485439</v>
      </c>
      <c r="AN73" s="15">
        <f t="shared" si="58"/>
        <v>9.0669183957905926</v>
      </c>
      <c r="AO73" s="15">
        <f t="shared" si="26"/>
        <v>4.6640228227946805</v>
      </c>
      <c r="AP73" s="15">
        <f t="shared" si="27"/>
        <v>0.17833947097161085</v>
      </c>
      <c r="AQ73" s="20">
        <f t="shared" si="59"/>
        <v>4.640469166086815E-2</v>
      </c>
      <c r="AR73" s="13">
        <f t="shared" si="60"/>
        <v>273716894.95391011</v>
      </c>
      <c r="AS73" s="13">
        <f t="shared" si="28"/>
        <v>1.8098957010300584E-3</v>
      </c>
      <c r="AT73" s="15">
        <f t="shared" si="61"/>
        <v>650.40495585914141</v>
      </c>
      <c r="AU73" s="13">
        <f t="shared" si="62"/>
        <v>25117.368502283047</v>
      </c>
      <c r="AV73" s="339"/>
      <c r="AW73" s="339"/>
      <c r="AX73" s="356"/>
      <c r="AY73" s="339"/>
      <c r="AZ73" s="339"/>
      <c r="BA73" s="331"/>
      <c r="BB73" s="331"/>
      <c r="BC73" s="331"/>
      <c r="BD73" s="339"/>
      <c r="BE73" s="339"/>
      <c r="BF73" s="339"/>
      <c r="BG73" s="339"/>
      <c r="BH73" s="337"/>
      <c r="BI73" s="331"/>
      <c r="BJ73" s="331"/>
      <c r="BK73" s="331"/>
      <c r="BL73" s="15">
        <f t="shared" si="63"/>
        <v>-3.3068343331912137E-2</v>
      </c>
      <c r="BM73" s="20">
        <f t="shared" si="75"/>
        <v>1461.8286506468573</v>
      </c>
      <c r="BN73" s="20">
        <f t="shared" si="64"/>
        <v>8178.1719253823949</v>
      </c>
      <c r="BO73" s="20">
        <f t="shared" si="65"/>
        <v>66.855478627361293</v>
      </c>
      <c r="BP73" s="20">
        <f t="shared" si="30"/>
        <v>76.88380042146548</v>
      </c>
      <c r="BQ73" s="15">
        <f t="shared" si="31"/>
        <v>358.5877998689063</v>
      </c>
      <c r="BR73" s="15">
        <f t="shared" si="66"/>
        <v>3.3935010014245317</v>
      </c>
      <c r="BS73" s="6">
        <f t="shared" si="67"/>
        <v>857.25901016843397</v>
      </c>
      <c r="BT73" s="15">
        <f t="shared" si="68"/>
        <v>874.75409200860611</v>
      </c>
      <c r="BU73" s="13">
        <f t="shared" si="69"/>
        <v>1050.1249603944852</v>
      </c>
      <c r="BV73" s="13">
        <f t="shared" si="32"/>
        <v>525.06248019724262</v>
      </c>
      <c r="BW73" s="13">
        <f t="shared" si="33"/>
        <v>525.06248019724262</v>
      </c>
      <c r="BX73" s="139">
        <f t="shared" si="70"/>
        <v>50.005950494975494</v>
      </c>
      <c r="BY73" s="15">
        <f t="shared" si="76"/>
        <v>4.3662729593268758E-3</v>
      </c>
      <c r="BZ73" s="15">
        <f t="shared" si="77"/>
        <v>4.3662729593268758E-3</v>
      </c>
      <c r="CA73" s="66">
        <f t="shared" si="83"/>
        <v>8.7325459186537516E-3</v>
      </c>
      <c r="CB73" s="331"/>
      <c r="CC73" s="361"/>
      <c r="CD73" s="361"/>
      <c r="CE73" s="361"/>
      <c r="CF73" s="115"/>
    </row>
    <row r="74" spans="3:84" ht="15.75" x14ac:dyDescent="0.3">
      <c r="C74" s="13">
        <v>44</v>
      </c>
      <c r="D74" s="379"/>
      <c r="E74" s="379"/>
      <c r="F74" s="19" t="s">
        <v>128</v>
      </c>
      <c r="G74" s="257"/>
      <c r="H74" s="54">
        <v>0.92847222222221903</v>
      </c>
      <c r="I74" s="13">
        <v>-8.6642550000000007</v>
      </c>
      <c r="J74" s="13">
        <v>115.851859</v>
      </c>
      <c r="K74" s="13">
        <f t="shared" si="16"/>
        <v>-0.15121977698238132</v>
      </c>
      <c r="L74" s="13">
        <f t="shared" si="16"/>
        <v>2.0219963841062256</v>
      </c>
      <c r="M74" s="13">
        <v>3443</v>
      </c>
      <c r="N74" s="89">
        <f t="shared" si="78"/>
        <v>0.48096885174873732</v>
      </c>
      <c r="O74" s="331"/>
      <c r="P74" s="89">
        <f t="shared" si="71"/>
        <v>4.9999999999991829E-2</v>
      </c>
      <c r="Q74" s="331"/>
      <c r="R74" s="20">
        <f t="shared" si="72"/>
        <v>9.6193770349763188</v>
      </c>
      <c r="S74" s="347"/>
      <c r="T74" s="15">
        <f t="shared" si="19"/>
        <v>4.9482075467918181</v>
      </c>
      <c r="U74" s="130">
        <f t="shared" si="73"/>
        <v>5.0763828220484424E-5</v>
      </c>
      <c r="V74" s="13">
        <f t="shared" si="74"/>
        <v>1.3187707828032913E-4</v>
      </c>
      <c r="W74" s="13">
        <f t="shared" si="51"/>
        <v>1.2033459105162403</v>
      </c>
      <c r="X74" s="13">
        <f t="shared" si="38"/>
        <v>68.946641966907791</v>
      </c>
      <c r="Y74" s="130">
        <f t="shared" si="39"/>
        <v>5.0178215994817199E-5</v>
      </c>
      <c r="Z74" s="141">
        <f t="shared" si="40"/>
        <v>-7.5559999999939009E-3</v>
      </c>
      <c r="AA74" s="142">
        <f t="shared" si="41"/>
        <v>291.0533580330922</v>
      </c>
      <c r="AB74" s="13">
        <v>200</v>
      </c>
      <c r="AC74" s="13">
        <v>13</v>
      </c>
      <c r="AD74" s="13">
        <f t="shared" si="22"/>
        <v>4</v>
      </c>
      <c r="AE74" s="161">
        <f t="shared" si="23"/>
        <v>91.053358033092195</v>
      </c>
      <c r="AF74" s="15">
        <f t="shared" si="56"/>
        <v>0.18920591722658317</v>
      </c>
      <c r="AG74" s="366"/>
      <c r="AH74" s="331"/>
      <c r="AI74" s="339"/>
      <c r="AJ74" s="85">
        <f t="shared" si="57"/>
        <v>1.3797360795320817</v>
      </c>
      <c r="AK74" s="13">
        <f t="shared" si="2"/>
        <v>0.33</v>
      </c>
      <c r="AL74" s="15">
        <f t="shared" si="24"/>
        <v>14.330886011442766</v>
      </c>
      <c r="AM74" s="15">
        <f t="shared" si="25"/>
        <v>6.5250373589442336</v>
      </c>
      <c r="AN74" s="15">
        <f t="shared" si="58"/>
        <v>10.290859459248745</v>
      </c>
      <c r="AO74" s="15">
        <f t="shared" si="26"/>
        <v>5.2936181058375542</v>
      </c>
      <c r="AP74" s="15">
        <f t="shared" si="27"/>
        <v>0.20241347188672826</v>
      </c>
      <c r="AQ74" s="20">
        <f t="shared" si="59"/>
        <v>4.6737481320520247E-2</v>
      </c>
      <c r="AR74" s="13">
        <f t="shared" si="60"/>
        <v>310665870.65571922</v>
      </c>
      <c r="AS74" s="13">
        <f t="shared" si="28"/>
        <v>1.779364687538102E-3</v>
      </c>
      <c r="AT74" s="15">
        <f t="shared" si="61"/>
        <v>823.71910905626407</v>
      </c>
      <c r="AU74" s="13">
        <f t="shared" si="62"/>
        <v>31810.422442444047</v>
      </c>
      <c r="AV74" s="339"/>
      <c r="AW74" s="339"/>
      <c r="AX74" s="356"/>
      <c r="AY74" s="339"/>
      <c r="AZ74" s="339"/>
      <c r="BA74" s="331"/>
      <c r="BB74" s="331"/>
      <c r="BC74" s="331"/>
      <c r="BD74" s="339"/>
      <c r="BE74" s="339"/>
      <c r="BF74" s="339"/>
      <c r="BG74" s="339"/>
      <c r="BH74" s="337"/>
      <c r="BI74" s="331"/>
      <c r="BJ74" s="331"/>
      <c r="BK74" s="331"/>
      <c r="BL74" s="15">
        <f t="shared" si="63"/>
        <v>-6.6819929014340029E-2</v>
      </c>
      <c r="BM74" s="20">
        <f t="shared" si="75"/>
        <v>5567.5151110016022</v>
      </c>
      <c r="BN74" s="20">
        <f t="shared" si="64"/>
        <v>10535.135276456382</v>
      </c>
      <c r="BO74" s="20">
        <f t="shared" si="65"/>
        <v>88.564402377672408</v>
      </c>
      <c r="BP74" s="20">
        <f t="shared" si="30"/>
        <v>101.84906273432327</v>
      </c>
      <c r="BQ74" s="15">
        <f t="shared" si="31"/>
        <v>539.15004255299857</v>
      </c>
      <c r="BR74" s="15">
        <f t="shared" si="66"/>
        <v>3.8515888591974798</v>
      </c>
      <c r="BS74" s="6">
        <f t="shared" si="67"/>
        <v>1288.920682689768</v>
      </c>
      <c r="BT74" s="15">
        <f t="shared" si="68"/>
        <v>1315.2251864181305</v>
      </c>
      <c r="BU74" s="13">
        <f t="shared" si="69"/>
        <v>1578.901784415523</v>
      </c>
      <c r="BV74" s="13">
        <f t="shared" si="32"/>
        <v>789.45089220776151</v>
      </c>
      <c r="BW74" s="13">
        <f t="shared" si="33"/>
        <v>789.45089220776151</v>
      </c>
      <c r="BX74" s="139">
        <f t="shared" si="70"/>
        <v>75.185799257882053</v>
      </c>
      <c r="BY74" s="15">
        <f t="shared" si="76"/>
        <v>6.6119327819826696E-3</v>
      </c>
      <c r="BZ74" s="15">
        <f t="shared" si="77"/>
        <v>6.6119327819826696E-3</v>
      </c>
      <c r="CA74" s="66">
        <f t="shared" si="83"/>
        <v>1.3223865563965339E-2</v>
      </c>
      <c r="CB74" s="331"/>
      <c r="CC74" s="362"/>
      <c r="CD74" s="362"/>
      <c r="CE74" s="362"/>
      <c r="CF74" s="115"/>
    </row>
    <row r="75" spans="3:84" ht="15.75" x14ac:dyDescent="0.3">
      <c r="C75" s="13">
        <v>45</v>
      </c>
      <c r="D75" s="379"/>
      <c r="E75" s="379"/>
      <c r="F75" s="19" t="s">
        <v>128</v>
      </c>
      <c r="G75" s="255">
        <v>0.93055555555555547</v>
      </c>
      <c r="H75" s="54">
        <v>0.93055555555555203</v>
      </c>
      <c r="I75" s="13">
        <v>-8.6622149999999998</v>
      </c>
      <c r="J75" s="13">
        <v>115.847769</v>
      </c>
      <c r="K75" s="13">
        <f t="shared" si="16"/>
        <v>-0.1511841722656406</v>
      </c>
      <c r="L75" s="13">
        <f t="shared" si="16"/>
        <v>2.0219250001398188</v>
      </c>
      <c r="M75" s="13">
        <v>3443</v>
      </c>
      <c r="N75" s="89">
        <f t="shared" si="78"/>
        <v>0.27214414167983736</v>
      </c>
      <c r="O75" s="331"/>
      <c r="P75" s="89">
        <f t="shared" si="71"/>
        <v>4.9999999999991829E-2</v>
      </c>
      <c r="Q75" s="358"/>
      <c r="R75" s="20">
        <f t="shared" si="72"/>
        <v>5.4428828335976362</v>
      </c>
      <c r="S75" s="348"/>
      <c r="T75" s="15">
        <f t="shared" si="19"/>
        <v>2.7998189296026239</v>
      </c>
      <c r="U75" s="130">
        <f t="shared" si="73"/>
        <v>3.6020010114874308E-5</v>
      </c>
      <c r="V75" s="13">
        <f t="shared" si="74"/>
        <v>7.1383966406823873E-5</v>
      </c>
      <c r="W75" s="13">
        <f t="shared" si="51"/>
        <v>1.1034792819941113</v>
      </c>
      <c r="X75" s="13">
        <f t="shared" si="38"/>
        <v>63.22470563838899</v>
      </c>
      <c r="Y75" s="130">
        <f t="shared" si="39"/>
        <v>3.5604716740716968E-5</v>
      </c>
      <c r="Z75" s="141">
        <f t="shared" si="40"/>
        <v>-4.0900000000050341E-3</v>
      </c>
      <c r="AA75" s="142">
        <f t="shared" si="41"/>
        <v>296.77529436161103</v>
      </c>
      <c r="AB75" s="13">
        <v>200</v>
      </c>
      <c r="AC75" s="13">
        <v>13</v>
      </c>
      <c r="AD75" s="13">
        <f t="shared" si="22"/>
        <v>4</v>
      </c>
      <c r="AE75" s="161">
        <f t="shared" si="23"/>
        <v>96.775294361611031</v>
      </c>
      <c r="AF75" s="15">
        <f t="shared" si="56"/>
        <v>0.10705741495974122</v>
      </c>
      <c r="AG75" s="366"/>
      <c r="AH75" s="331"/>
      <c r="AI75" s="339"/>
      <c r="AJ75" s="85">
        <f t="shared" si="57"/>
        <v>1.8211819486513836</v>
      </c>
      <c r="AK75" s="13">
        <f t="shared" si="2"/>
        <v>0.33</v>
      </c>
      <c r="AL75" s="15">
        <f t="shared" si="24"/>
        <v>14.330886011442766</v>
      </c>
      <c r="AM75" s="15">
        <f t="shared" si="25"/>
        <v>8.6127198010326644</v>
      </c>
      <c r="AN75" s="15">
        <f t="shared" si="58"/>
        <v>5.9558428938332053</v>
      </c>
      <c r="AO75" s="15">
        <f t="shared" si="26"/>
        <v>3.0636855845878008</v>
      </c>
      <c r="AP75" s="15">
        <f t="shared" si="27"/>
        <v>0.11714695385031379</v>
      </c>
      <c r="AQ75" s="20">
        <f t="shared" si="59"/>
        <v>4.5693640099476206E-2</v>
      </c>
      <c r="AR75" s="13">
        <f t="shared" si="60"/>
        <v>179798113.60055685</v>
      </c>
      <c r="AS75" s="13">
        <f t="shared" si="28"/>
        <v>1.9170633884985999E-3</v>
      </c>
      <c r="AT75" s="15">
        <f t="shared" si="61"/>
        <v>297.25818306730059</v>
      </c>
      <c r="AU75" s="13">
        <f t="shared" si="62"/>
        <v>11479.530186786424</v>
      </c>
      <c r="AV75" s="339"/>
      <c r="AW75" s="339"/>
      <c r="AX75" s="356"/>
      <c r="AY75" s="339"/>
      <c r="AZ75" s="339"/>
      <c r="BA75" s="331"/>
      <c r="BB75" s="331"/>
      <c r="BC75" s="331"/>
      <c r="BD75" s="339"/>
      <c r="BE75" s="339"/>
      <c r="BF75" s="339"/>
      <c r="BG75" s="339"/>
      <c r="BH75" s="337"/>
      <c r="BI75" s="331"/>
      <c r="BJ75" s="331"/>
      <c r="BK75" s="331"/>
      <c r="BL75" s="15">
        <f t="shared" si="63"/>
        <v>-5.2514552232954157E-4</v>
      </c>
      <c r="BM75" s="20">
        <f t="shared" si="75"/>
        <v>5.949653382642647</v>
      </c>
      <c r="BN75" s="20">
        <f t="shared" si="64"/>
        <v>3528.7694802355495</v>
      </c>
      <c r="BO75" s="20">
        <f t="shared" si="65"/>
        <v>29.684226291662309</v>
      </c>
      <c r="BP75" s="20">
        <f t="shared" si="30"/>
        <v>34.136860235411653</v>
      </c>
      <c r="BQ75" s="15">
        <f t="shared" si="31"/>
        <v>104.5846066063192</v>
      </c>
      <c r="BR75" s="15">
        <f t="shared" si="66"/>
        <v>2.2291100396286128</v>
      </c>
      <c r="BS75" s="6">
        <f t="shared" si="67"/>
        <v>250.02550664290592</v>
      </c>
      <c r="BT75" s="15">
        <f t="shared" si="68"/>
        <v>255.12806800296522</v>
      </c>
      <c r="BU75" s="13">
        <f t="shared" si="69"/>
        <v>306.27619208039044</v>
      </c>
      <c r="BV75" s="13">
        <f t="shared" si="32"/>
        <v>153.13809604019522</v>
      </c>
      <c r="BW75" s="13">
        <f t="shared" si="33"/>
        <v>153.13809604019522</v>
      </c>
      <c r="BX75" s="139">
        <f t="shared" si="70"/>
        <v>14.584580575256686</v>
      </c>
      <c r="BY75" s="15">
        <f t="shared" si="76"/>
        <v>1.2539407186395626E-3</v>
      </c>
      <c r="BZ75" s="15">
        <f t="shared" si="77"/>
        <v>1.2539407186395626E-3</v>
      </c>
      <c r="CA75" s="66">
        <f t="shared" si="83"/>
        <v>2.5078814372791252E-3</v>
      </c>
      <c r="CB75" s="331"/>
      <c r="CC75" s="360">
        <f t="shared" ref="CC75" si="88">SUM(CA75:CA79)*1000</f>
        <v>47.851141673562665</v>
      </c>
      <c r="CD75" s="360">
        <v>62</v>
      </c>
      <c r="CE75" s="360">
        <f t="shared" ref="CE75" si="89">AVERAGE(AN75:AN79)</f>
        <v>9.0455456192099852</v>
      </c>
      <c r="CF75" s="115"/>
    </row>
    <row r="76" spans="3:84" ht="15.75" x14ac:dyDescent="0.3">
      <c r="C76" s="13">
        <v>46</v>
      </c>
      <c r="D76" s="379"/>
      <c r="E76" s="379"/>
      <c r="F76" s="19" t="s">
        <v>128</v>
      </c>
      <c r="G76" s="256"/>
      <c r="H76" s="54">
        <v>0.93263888888888502</v>
      </c>
      <c r="I76" s="13">
        <v>-8.6595739999999992</v>
      </c>
      <c r="J76" s="13">
        <v>115.84011599999999</v>
      </c>
      <c r="K76" s="13">
        <f t="shared" si="16"/>
        <v>-0.15113807812009544</v>
      </c>
      <c r="L76" s="13">
        <f t="shared" si="16"/>
        <v>2.0217914300921636</v>
      </c>
      <c r="M76" s="13">
        <v>3443</v>
      </c>
      <c r="N76" s="89">
        <f t="shared" si="78"/>
        <v>0.48154097753823755</v>
      </c>
      <c r="O76" s="331">
        <f>SUM(N76:N80)</f>
        <v>2.2474877991048174</v>
      </c>
      <c r="P76" s="89">
        <f t="shared" si="71"/>
        <v>4.9999999999991829E-2</v>
      </c>
      <c r="Q76" s="357">
        <f t="shared" ref="Q76" si="90">SUM(P76:P80)</f>
        <v>0.24999999999995914</v>
      </c>
      <c r="R76" s="20">
        <f t="shared" si="72"/>
        <v>9.6308195507663257</v>
      </c>
      <c r="S76" s="346">
        <f t="shared" ref="S76" si="91">AVERAGE(R76:R80)</f>
        <v>8.9899511964207388</v>
      </c>
      <c r="T76" s="15">
        <f t="shared" si="19"/>
        <v>4.9540935769141976</v>
      </c>
      <c r="U76" s="130">
        <f t="shared" si="73"/>
        <v>4.6631495857882066E-5</v>
      </c>
      <c r="V76" s="13">
        <f t="shared" si="74"/>
        <v>1.3357004765524039E-4</v>
      </c>
      <c r="W76" s="13">
        <f t="shared" si="51"/>
        <v>1.2349088845088425</v>
      </c>
      <c r="X76" s="13">
        <f t="shared" si="38"/>
        <v>70.75506716556508</v>
      </c>
      <c r="Y76" s="130">
        <f t="shared" si="39"/>
        <v>4.6094145545155785E-5</v>
      </c>
      <c r="Z76" s="141">
        <f t="shared" si="40"/>
        <v>-7.6530000000047949E-3</v>
      </c>
      <c r="AA76" s="142">
        <f t="shared" si="41"/>
        <v>289.24493283443491</v>
      </c>
      <c r="AB76" s="13">
        <v>200</v>
      </c>
      <c r="AC76" s="13">
        <v>13</v>
      </c>
      <c r="AD76" s="13">
        <f t="shared" si="22"/>
        <v>4</v>
      </c>
      <c r="AE76" s="161">
        <f t="shared" si="23"/>
        <v>89.244932834434906</v>
      </c>
      <c r="AF76" s="15">
        <f t="shared" si="56"/>
        <v>0.18943098291301547</v>
      </c>
      <c r="AG76" s="366"/>
      <c r="AH76" s="331"/>
      <c r="AI76" s="339"/>
      <c r="AJ76" s="85">
        <f t="shared" si="57"/>
        <v>1.3783467990297673</v>
      </c>
      <c r="AK76" s="13">
        <f t="shared" si="2"/>
        <v>0.33</v>
      </c>
      <c r="AL76" s="15">
        <f t="shared" si="24"/>
        <v>14.330886011442766</v>
      </c>
      <c r="AM76" s="15">
        <f t="shared" si="25"/>
        <v>6.5184671841737609</v>
      </c>
      <c r="AN76" s="15">
        <f t="shared" si="58"/>
        <v>10.302376587834305</v>
      </c>
      <c r="AO76" s="15">
        <f t="shared" si="26"/>
        <v>5.2995425167819663</v>
      </c>
      <c r="AP76" s="15">
        <f t="shared" si="27"/>
        <v>0.20264000515077688</v>
      </c>
      <c r="AQ76" s="20">
        <f t="shared" si="59"/>
        <v>4.6740766407905483E-2</v>
      </c>
      <c r="AR76" s="13">
        <f t="shared" si="60"/>
        <v>311013555.78286093</v>
      </c>
      <c r="AS76" s="13">
        <f t="shared" si="28"/>
        <v>1.7790984421799747E-3</v>
      </c>
      <c r="AT76" s="15">
        <f t="shared" si="61"/>
        <v>825.44036071917151</v>
      </c>
      <c r="AU76" s="13">
        <f t="shared" si="62"/>
        <v>31876.893818335251</v>
      </c>
      <c r="AV76" s="339"/>
      <c r="AW76" s="339"/>
      <c r="AX76" s="356"/>
      <c r="AY76" s="339"/>
      <c r="AZ76" s="339"/>
      <c r="BA76" s="331"/>
      <c r="BB76" s="331"/>
      <c r="BC76" s="331"/>
      <c r="BD76" s="339"/>
      <c r="BE76" s="339"/>
      <c r="BF76" s="339"/>
      <c r="BG76" s="339"/>
      <c r="BH76" s="337"/>
      <c r="BI76" s="331"/>
      <c r="BJ76" s="331"/>
      <c r="BK76" s="331"/>
      <c r="BL76" s="15">
        <f t="shared" si="63"/>
        <v>-6.7185360541244188E-2</v>
      </c>
      <c r="BM76" s="20">
        <f t="shared" si="75"/>
        <v>5629.9689595649788</v>
      </c>
      <c r="BN76" s="20">
        <f t="shared" si="64"/>
        <v>10558.729497046128</v>
      </c>
      <c r="BO76" s="20">
        <f t="shared" si="65"/>
        <v>88.801867246240619</v>
      </c>
      <c r="BP76" s="20">
        <f t="shared" si="30"/>
        <v>102.12214733317671</v>
      </c>
      <c r="BQ76" s="15">
        <f t="shared" si="31"/>
        <v>541.20066169724214</v>
      </c>
      <c r="BR76" s="15">
        <f t="shared" si="66"/>
        <v>3.8558994072450696</v>
      </c>
      <c r="BS76" s="6">
        <f t="shared" si="67"/>
        <v>1293.8230015597053</v>
      </c>
      <c r="BT76" s="15">
        <f t="shared" si="68"/>
        <v>1320.2275526119442</v>
      </c>
      <c r="BU76" s="13">
        <f t="shared" si="69"/>
        <v>1584.907025944711</v>
      </c>
      <c r="BV76" s="13">
        <f t="shared" si="32"/>
        <v>792.4535129723555</v>
      </c>
      <c r="BW76" s="13">
        <f t="shared" si="33"/>
        <v>792.4535129723555</v>
      </c>
      <c r="BX76" s="139">
        <f t="shared" si="70"/>
        <v>75.47176314022434</v>
      </c>
      <c r="BY76" s="15">
        <f t="shared" si="76"/>
        <v>6.6375473093825219E-3</v>
      </c>
      <c r="BZ76" s="15">
        <f t="shared" si="77"/>
        <v>6.6375473093825219E-3</v>
      </c>
      <c r="CA76" s="66">
        <f t="shared" si="83"/>
        <v>1.3275094618765044E-2</v>
      </c>
      <c r="CB76" s="331"/>
      <c r="CC76" s="361"/>
      <c r="CD76" s="361"/>
      <c r="CE76" s="361"/>
      <c r="CF76" s="115"/>
    </row>
    <row r="77" spans="3:84" ht="15.75" x14ac:dyDescent="0.3">
      <c r="C77" s="13">
        <v>47</v>
      </c>
      <c r="D77" s="379"/>
      <c r="E77" s="379"/>
      <c r="F77" s="19" t="s">
        <v>128</v>
      </c>
      <c r="G77" s="256"/>
      <c r="H77" s="54">
        <v>0.93472222222221801</v>
      </c>
      <c r="I77" s="13">
        <v>-8.6585900000000002</v>
      </c>
      <c r="J77" s="13">
        <v>115.83251</v>
      </c>
      <c r="K77" s="13">
        <f t="shared" si="16"/>
        <v>-0.15112090408025583</v>
      </c>
      <c r="L77" s="13">
        <f t="shared" si="16"/>
        <v>2.0216586803492569</v>
      </c>
      <c r="M77" s="13">
        <v>3443</v>
      </c>
      <c r="N77" s="89">
        <f t="shared" si="78"/>
        <v>0.45570022885594791</v>
      </c>
      <c r="O77" s="331"/>
      <c r="P77" s="89">
        <f t="shared" si="71"/>
        <v>4.9999999999991829E-2</v>
      </c>
      <c r="Q77" s="331"/>
      <c r="R77" s="20">
        <f t="shared" si="72"/>
        <v>9.114004577120447</v>
      </c>
      <c r="S77" s="347"/>
      <c r="T77" s="15">
        <f t="shared" si="19"/>
        <v>4.6882439544707575</v>
      </c>
      <c r="U77" s="130">
        <f t="shared" si="73"/>
        <v>1.7374164959427374E-5</v>
      </c>
      <c r="V77" s="13">
        <f t="shared" si="74"/>
        <v>1.3274974290666819E-4</v>
      </c>
      <c r="W77" s="13">
        <f t="shared" si="51"/>
        <v>1.4406569441893966</v>
      </c>
      <c r="X77" s="13">
        <f t="shared" si="38"/>
        <v>82.543562628266614</v>
      </c>
      <c r="Y77" s="130">
        <f t="shared" si="39"/>
        <v>1.717403983961252E-5</v>
      </c>
      <c r="Z77" s="141">
        <f t="shared" si="40"/>
        <v>-7.6059999999955608E-3</v>
      </c>
      <c r="AA77" s="142">
        <f t="shared" si="41"/>
        <v>277.45643737173339</v>
      </c>
      <c r="AB77" s="13">
        <v>200</v>
      </c>
      <c r="AC77" s="13">
        <v>13</v>
      </c>
      <c r="AD77" s="13">
        <f t="shared" si="22"/>
        <v>4</v>
      </c>
      <c r="AE77" s="161">
        <f t="shared" si="23"/>
        <v>77.456437371733386</v>
      </c>
      <c r="AF77" s="15">
        <f t="shared" si="56"/>
        <v>0.17926562077266542</v>
      </c>
      <c r="AG77" s="366"/>
      <c r="AH77" s="331"/>
      <c r="AI77" s="339"/>
      <c r="AJ77" s="85">
        <f t="shared" si="57"/>
        <v>1.4401151689955483</v>
      </c>
      <c r="AK77" s="13">
        <f t="shared" si="2"/>
        <v>0.33</v>
      </c>
      <c r="AL77" s="15">
        <f t="shared" si="24"/>
        <v>14.330886011442766</v>
      </c>
      <c r="AM77" s="15">
        <f t="shared" si="25"/>
        <v>6.8105816889741968</v>
      </c>
      <c r="AN77" s="15">
        <f t="shared" si="58"/>
        <v>9.7800852739544499</v>
      </c>
      <c r="AO77" s="15">
        <f t="shared" si="26"/>
        <v>5.0308758649221685</v>
      </c>
      <c r="AP77" s="15">
        <f t="shared" si="27"/>
        <v>0.19236692751354517</v>
      </c>
      <c r="AQ77" s="20">
        <f t="shared" si="59"/>
        <v>4.6594709155505294E-2</v>
      </c>
      <c r="AR77" s="13">
        <f t="shared" si="60"/>
        <v>295246351.2646243</v>
      </c>
      <c r="AS77" s="13">
        <f t="shared" si="28"/>
        <v>1.7915458540113038E-3</v>
      </c>
      <c r="AT77" s="15">
        <f t="shared" si="61"/>
        <v>749.07290877144442</v>
      </c>
      <c r="AU77" s="13">
        <f t="shared" si="62"/>
        <v>28927.732046316298</v>
      </c>
      <c r="AV77" s="339"/>
      <c r="AW77" s="339"/>
      <c r="AX77" s="356"/>
      <c r="AY77" s="339"/>
      <c r="AZ77" s="339"/>
      <c r="BA77" s="331"/>
      <c r="BB77" s="331"/>
      <c r="BC77" s="331"/>
      <c r="BD77" s="339"/>
      <c r="BE77" s="339"/>
      <c r="BF77" s="339"/>
      <c r="BG77" s="339"/>
      <c r="BH77" s="337"/>
      <c r="BI77" s="331"/>
      <c r="BJ77" s="331"/>
      <c r="BK77" s="331"/>
      <c r="BL77" s="15">
        <f t="shared" si="63"/>
        <v>-5.1439401463086384E-2</v>
      </c>
      <c r="BM77" s="20">
        <f t="shared" si="75"/>
        <v>3308.1090919167409</v>
      </c>
      <c r="BN77" s="20">
        <f t="shared" si="64"/>
        <v>9515.2916711926446</v>
      </c>
      <c r="BO77" s="20">
        <f t="shared" si="65"/>
        <v>78.718600645230126</v>
      </c>
      <c r="BP77" s="20">
        <f t="shared" si="30"/>
        <v>90.526390742014641</v>
      </c>
      <c r="BQ77" s="15">
        <f t="shared" si="31"/>
        <v>455.42703432251511</v>
      </c>
      <c r="BR77" s="15">
        <f t="shared" si="66"/>
        <v>3.6604199709782255</v>
      </c>
      <c r="BS77" s="6">
        <f t="shared" si="67"/>
        <v>1088.7680194083439</v>
      </c>
      <c r="BT77" s="15">
        <f t="shared" si="68"/>
        <v>1110.9877749064733</v>
      </c>
      <c r="BU77" s="13">
        <f t="shared" si="69"/>
        <v>1333.7188174147341</v>
      </c>
      <c r="BV77" s="13">
        <f t="shared" si="32"/>
        <v>666.85940870736704</v>
      </c>
      <c r="BW77" s="13">
        <f t="shared" si="33"/>
        <v>666.85940870736704</v>
      </c>
      <c r="BX77" s="139">
        <f t="shared" si="70"/>
        <v>63.510419876892101</v>
      </c>
      <c r="BY77" s="15">
        <f t="shared" si="76"/>
        <v>5.5681239391826938E-3</v>
      </c>
      <c r="BZ77" s="15">
        <f t="shared" si="77"/>
        <v>5.5681239391826938E-3</v>
      </c>
      <c r="CA77" s="66">
        <f t="shared" si="83"/>
        <v>1.1136247878365388E-2</v>
      </c>
      <c r="CB77" s="331"/>
      <c r="CC77" s="361"/>
      <c r="CD77" s="361"/>
      <c r="CE77" s="361"/>
      <c r="CF77" s="115"/>
    </row>
    <row r="78" spans="3:84" ht="15.75" x14ac:dyDescent="0.3">
      <c r="C78" s="13">
        <v>48</v>
      </c>
      <c r="D78" s="379"/>
      <c r="E78" s="379"/>
      <c r="F78" s="19" t="s">
        <v>128</v>
      </c>
      <c r="G78" s="256"/>
      <c r="H78" s="54">
        <v>0.93680555555555101</v>
      </c>
      <c r="I78" s="13">
        <v>-8.6576690000000003</v>
      </c>
      <c r="J78" s="13">
        <v>115.82514</v>
      </c>
      <c r="K78" s="13">
        <f t="shared" si="16"/>
        <v>-0.15110482959784496</v>
      </c>
      <c r="L78" s="13">
        <f t="shared" si="16"/>
        <v>2.0215300495833852</v>
      </c>
      <c r="M78" s="13">
        <v>3443</v>
      </c>
      <c r="N78" s="89">
        <f t="shared" si="78"/>
        <v>0.44131287489355281</v>
      </c>
      <c r="O78" s="331"/>
      <c r="P78" s="89">
        <f t="shared" si="71"/>
        <v>4.9999999999991829E-2</v>
      </c>
      <c r="Q78" s="331"/>
      <c r="R78" s="20">
        <f t="shared" si="72"/>
        <v>8.8262574978724988</v>
      </c>
      <c r="S78" s="347"/>
      <c r="T78" s="15">
        <f t="shared" si="19"/>
        <v>4.5402268569056128</v>
      </c>
      <c r="U78" s="130">
        <f t="shared" si="73"/>
        <v>1.6261753253849735E-5</v>
      </c>
      <c r="V78" s="13">
        <f t="shared" si="74"/>
        <v>1.2863076587166233E-4</v>
      </c>
      <c r="W78" s="13">
        <f t="shared" si="51"/>
        <v>1.4450414966293266</v>
      </c>
      <c r="X78" s="13">
        <f t="shared" si="38"/>
        <v>82.794778978128392</v>
      </c>
      <c r="Y78" s="130">
        <f t="shared" si="39"/>
        <v>1.6074482410866064E-5</v>
      </c>
      <c r="Z78" s="141">
        <f t="shared" si="40"/>
        <v>-7.3699999999945476E-3</v>
      </c>
      <c r="AA78" s="142">
        <f t="shared" si="41"/>
        <v>277.20522102187158</v>
      </c>
      <c r="AB78" s="13">
        <v>200</v>
      </c>
      <c r="AC78" s="13">
        <v>13</v>
      </c>
      <c r="AD78" s="13">
        <f t="shared" si="22"/>
        <v>4</v>
      </c>
      <c r="AE78" s="161">
        <f t="shared" si="23"/>
        <v>77.20522102187158</v>
      </c>
      <c r="AF78" s="15">
        <f t="shared" si="56"/>
        <v>0.17360585196846734</v>
      </c>
      <c r="AG78" s="366"/>
      <c r="AH78" s="331"/>
      <c r="AI78" s="339"/>
      <c r="AJ78" s="85">
        <f t="shared" si="57"/>
        <v>1.473637149253167</v>
      </c>
      <c r="AK78" s="13">
        <f t="shared" si="2"/>
        <v>0.33</v>
      </c>
      <c r="AL78" s="15">
        <f t="shared" si="24"/>
        <v>14.330886011442766</v>
      </c>
      <c r="AM78" s="15">
        <f t="shared" si="25"/>
        <v>6.9691135826976209</v>
      </c>
      <c r="AN78" s="15">
        <f t="shared" si="58"/>
        <v>9.4874485644274635</v>
      </c>
      <c r="AO78" s="15">
        <f t="shared" si="26"/>
        <v>4.8803435415414871</v>
      </c>
      <c r="AP78" s="15">
        <f t="shared" si="27"/>
        <v>0.18661098335636112</v>
      </c>
      <c r="AQ78" s="20">
        <f t="shared" si="59"/>
        <v>4.6515443208643585E-2</v>
      </c>
      <c r="AR78" s="13">
        <f t="shared" si="60"/>
        <v>286412080.56925303</v>
      </c>
      <c r="AS78" s="13">
        <f t="shared" si="28"/>
        <v>1.7988744631117911E-3</v>
      </c>
      <c r="AT78" s="15">
        <f t="shared" si="61"/>
        <v>707.8000755942511</v>
      </c>
      <c r="AU78" s="13">
        <f t="shared" si="62"/>
        <v>27333.855876237834</v>
      </c>
      <c r="AV78" s="339"/>
      <c r="AW78" s="339"/>
      <c r="AX78" s="356"/>
      <c r="AY78" s="339"/>
      <c r="AZ78" s="339"/>
      <c r="BA78" s="331"/>
      <c r="BB78" s="331"/>
      <c r="BC78" s="331"/>
      <c r="BD78" s="339"/>
      <c r="BE78" s="339"/>
      <c r="BF78" s="339"/>
      <c r="BG78" s="339"/>
      <c r="BH78" s="337"/>
      <c r="BI78" s="331"/>
      <c r="BJ78" s="331"/>
      <c r="BK78" s="331"/>
      <c r="BL78" s="15">
        <f t="shared" si="63"/>
        <v>-4.3429046796605413E-2</v>
      </c>
      <c r="BM78" s="20">
        <f t="shared" si="75"/>
        <v>2397.5225795735828</v>
      </c>
      <c r="BN78" s="20">
        <f t="shared" si="64"/>
        <v>8954.3835119842024</v>
      </c>
      <c r="BO78" s="20">
        <f t="shared" si="65"/>
        <v>73.61637582703213</v>
      </c>
      <c r="BP78" s="20">
        <f t="shared" si="30"/>
        <v>84.658832201086952</v>
      </c>
      <c r="BQ78" s="15">
        <f t="shared" si="31"/>
        <v>413.1641849670192</v>
      </c>
      <c r="BR78" s="15">
        <f t="shared" si="66"/>
        <v>3.5508940081886582</v>
      </c>
      <c r="BS78" s="6">
        <f t="shared" si="67"/>
        <v>987.73221055306419</v>
      </c>
      <c r="BT78" s="15">
        <f t="shared" si="68"/>
        <v>1007.8900107684328</v>
      </c>
      <c r="BU78" s="13">
        <f t="shared" si="69"/>
        <v>1209.9519937196071</v>
      </c>
      <c r="BV78" s="13">
        <f t="shared" si="32"/>
        <v>604.97599685980356</v>
      </c>
      <c r="BW78" s="13">
        <f t="shared" si="33"/>
        <v>604.97599685980356</v>
      </c>
      <c r="BX78" s="139">
        <f t="shared" si="70"/>
        <v>57.616761605695579</v>
      </c>
      <c r="BY78" s="15">
        <f t="shared" si="76"/>
        <v>5.0428182111148315E-3</v>
      </c>
      <c r="BZ78" s="15">
        <f t="shared" si="77"/>
        <v>5.0428182111148315E-3</v>
      </c>
      <c r="CA78" s="66">
        <f t="shared" si="83"/>
        <v>1.0085636422229663E-2</v>
      </c>
      <c r="CB78" s="331"/>
      <c r="CC78" s="361"/>
      <c r="CD78" s="361"/>
      <c r="CE78" s="361"/>
      <c r="CF78" s="115"/>
    </row>
    <row r="79" spans="3:84" ht="15.75" x14ac:dyDescent="0.3">
      <c r="C79" s="13">
        <v>49</v>
      </c>
      <c r="D79" s="379"/>
      <c r="E79" s="379"/>
      <c r="F79" s="19" t="s">
        <v>128</v>
      </c>
      <c r="G79" s="257"/>
      <c r="H79" s="54">
        <v>0.938888888888884</v>
      </c>
      <c r="I79" s="13">
        <v>-8.6568249999999995</v>
      </c>
      <c r="J79" s="13">
        <v>115.817582</v>
      </c>
      <c r="K79" s="13">
        <f t="shared" si="16"/>
        <v>-0.15109009901895812</v>
      </c>
      <c r="L79" s="13">
        <f t="shared" si="16"/>
        <v>2.0213981375985193</v>
      </c>
      <c r="M79" s="13">
        <v>3443</v>
      </c>
      <c r="N79" s="89">
        <f t="shared" si="78"/>
        <v>0.45185369058892932</v>
      </c>
      <c r="O79" s="331"/>
      <c r="P79" s="89">
        <f t="shared" si="71"/>
        <v>4.9999999999991829E-2</v>
      </c>
      <c r="Q79" s="331"/>
      <c r="R79" s="20">
        <f t="shared" si="72"/>
        <v>9.0370738117800631</v>
      </c>
      <c r="S79" s="347"/>
      <c r="T79" s="15">
        <f t="shared" si="19"/>
        <v>4.648670768779664</v>
      </c>
      <c r="U79" s="130">
        <f t="shared" si="73"/>
        <v>1.4902157855629403E-5</v>
      </c>
      <c r="V79" s="13">
        <f t="shared" si="74"/>
        <v>1.3191198486595113E-4</v>
      </c>
      <c r="W79" s="13">
        <f t="shared" si="51"/>
        <v>1.4583028066851256</v>
      </c>
      <c r="X79" s="13">
        <f t="shared" si="38"/>
        <v>83.554596075140068</v>
      </c>
      <c r="Y79" s="130">
        <f t="shared" si="39"/>
        <v>1.4730578886845702E-5</v>
      </c>
      <c r="Z79" s="141">
        <f t="shared" si="40"/>
        <v>-7.5580000000030623E-3</v>
      </c>
      <c r="AA79" s="142">
        <f t="shared" si="41"/>
        <v>276.44540392485993</v>
      </c>
      <c r="AB79" s="13">
        <v>200</v>
      </c>
      <c r="AC79" s="13">
        <v>13</v>
      </c>
      <c r="AD79" s="13">
        <f t="shared" si="22"/>
        <v>4</v>
      </c>
      <c r="AE79" s="161">
        <f t="shared" si="23"/>
        <v>76.445403924859932</v>
      </c>
      <c r="AF79" s="15">
        <f t="shared" si="56"/>
        <v>0.17775245043260648</v>
      </c>
      <c r="AG79" s="366"/>
      <c r="AH79" s="331"/>
      <c r="AI79" s="339"/>
      <c r="AJ79" s="85">
        <f t="shared" si="57"/>
        <v>1.4491383176609607</v>
      </c>
      <c r="AK79" s="13">
        <f t="shared" si="2"/>
        <v>0.33</v>
      </c>
      <c r="AL79" s="15">
        <f t="shared" si="24"/>
        <v>14.330886011442766</v>
      </c>
      <c r="AM79" s="15">
        <f t="shared" si="25"/>
        <v>6.8532538949203454</v>
      </c>
      <c r="AN79" s="15">
        <f t="shared" si="58"/>
        <v>9.7019747760005064</v>
      </c>
      <c r="AO79" s="15">
        <f t="shared" si="26"/>
        <v>4.9906958247746598</v>
      </c>
      <c r="AP79" s="15">
        <f t="shared" si="27"/>
        <v>0.19083055271955754</v>
      </c>
      <c r="AQ79" s="20">
        <f t="shared" si="59"/>
        <v>4.6573373052532223E-2</v>
      </c>
      <c r="AR79" s="13">
        <f t="shared" si="60"/>
        <v>292888310.52465439</v>
      </c>
      <c r="AS79" s="13">
        <f t="shared" si="28"/>
        <v>1.7934759688969498E-3</v>
      </c>
      <c r="AT79" s="15">
        <f t="shared" si="61"/>
        <v>737.94963708981925</v>
      </c>
      <c r="AU79" s="13">
        <f t="shared" si="62"/>
        <v>28498.173028874095</v>
      </c>
      <c r="AV79" s="339"/>
      <c r="AW79" s="339"/>
      <c r="AX79" s="356"/>
      <c r="AY79" s="339"/>
      <c r="AZ79" s="339"/>
      <c r="BA79" s="331"/>
      <c r="BB79" s="331"/>
      <c r="BC79" s="331"/>
      <c r="BD79" s="339"/>
      <c r="BE79" s="339"/>
      <c r="BF79" s="339"/>
      <c r="BG79" s="339"/>
      <c r="BH79" s="337"/>
      <c r="BI79" s="331"/>
      <c r="BJ79" s="331"/>
      <c r="BK79" s="331"/>
      <c r="BL79" s="15">
        <f t="shared" si="63"/>
        <v>-4.924049438104839E-2</v>
      </c>
      <c r="BM79" s="20">
        <f t="shared" si="75"/>
        <v>3040.9819505563537</v>
      </c>
      <c r="BN79" s="20">
        <f t="shared" si="64"/>
        <v>9363.9072773116841</v>
      </c>
      <c r="BO79" s="20">
        <f t="shared" si="65"/>
        <v>77.321585946650515</v>
      </c>
      <c r="BP79" s="20">
        <f t="shared" si="30"/>
        <v>88.919823838648085</v>
      </c>
      <c r="BQ79" s="15">
        <f t="shared" si="31"/>
        <v>443.77179357123924</v>
      </c>
      <c r="BR79" s="15">
        <f t="shared" si="66"/>
        <v>3.6311853356305051</v>
      </c>
      <c r="BS79" s="6">
        <f t="shared" si="67"/>
        <v>1060.9043827944761</v>
      </c>
      <c r="BT79" s="15">
        <f t="shared" si="68"/>
        <v>1082.5554926474247</v>
      </c>
      <c r="BU79" s="13">
        <f t="shared" si="69"/>
        <v>1299.5864257472085</v>
      </c>
      <c r="BV79" s="13">
        <f t="shared" si="32"/>
        <v>649.79321287360426</v>
      </c>
      <c r="BW79" s="13">
        <f t="shared" si="33"/>
        <v>649.79321287360426</v>
      </c>
      <c r="BX79" s="139">
        <f t="shared" si="70"/>
        <v>61.885067892724209</v>
      </c>
      <c r="BY79" s="15">
        <f t="shared" si="76"/>
        <v>5.4231406584617208E-3</v>
      </c>
      <c r="BZ79" s="15">
        <f t="shared" si="77"/>
        <v>5.4231406584617208E-3</v>
      </c>
      <c r="CA79" s="66">
        <f t="shared" si="83"/>
        <v>1.0846281316923442E-2</v>
      </c>
      <c r="CB79" s="331"/>
      <c r="CC79" s="362"/>
      <c r="CD79" s="362"/>
      <c r="CE79" s="362"/>
      <c r="CF79" s="115"/>
    </row>
    <row r="80" spans="3:84" ht="15.75" x14ac:dyDescent="0.3">
      <c r="C80" s="13">
        <v>50</v>
      </c>
      <c r="D80" s="379"/>
      <c r="E80" s="379"/>
      <c r="F80" s="19" t="s">
        <v>128</v>
      </c>
      <c r="G80" s="255">
        <v>0.94097222222222221</v>
      </c>
      <c r="H80" s="54">
        <v>0.94097222222221699</v>
      </c>
      <c r="I80" s="13">
        <v>-8.6556770000000007</v>
      </c>
      <c r="J80" s="13">
        <v>115.810658</v>
      </c>
      <c r="K80" s="13">
        <f t="shared" si="16"/>
        <v>-0.15107006263914524</v>
      </c>
      <c r="L80" s="13">
        <f t="shared" si="16"/>
        <v>2.0212772910011112</v>
      </c>
      <c r="M80" s="13">
        <v>3443</v>
      </c>
      <c r="N80" s="89">
        <f t="shared" si="78"/>
        <v>0.41708002722815002</v>
      </c>
      <c r="O80" s="331"/>
      <c r="P80" s="89">
        <f t="shared" si="71"/>
        <v>4.9999999999991829E-2</v>
      </c>
      <c r="Q80" s="358"/>
      <c r="R80" s="20">
        <f t="shared" si="72"/>
        <v>8.3416005445643631</v>
      </c>
      <c r="S80" s="348"/>
      <c r="T80" s="15">
        <f t="shared" si="19"/>
        <v>4.2909193201239084</v>
      </c>
      <c r="U80" s="130">
        <f t="shared" si="73"/>
        <v>2.0269705804062539E-5</v>
      </c>
      <c r="V80" s="13">
        <f t="shared" si="74"/>
        <v>1.2084659740807524E-4</v>
      </c>
      <c r="W80" s="13">
        <f t="shared" si="51"/>
        <v>1.404612380210881</v>
      </c>
      <c r="X80" s="13">
        <f t="shared" si="38"/>
        <v>80.478361237908388</v>
      </c>
      <c r="Y80" s="130">
        <f t="shared" si="39"/>
        <v>2.0036379812876648E-5</v>
      </c>
      <c r="Z80" s="141">
        <f t="shared" si="40"/>
        <v>-6.9239999999979318E-3</v>
      </c>
      <c r="AA80" s="142">
        <f t="shared" si="41"/>
        <v>279.52163876209158</v>
      </c>
      <c r="AB80" s="13">
        <v>200</v>
      </c>
      <c r="AC80" s="13">
        <v>13</v>
      </c>
      <c r="AD80" s="13">
        <f t="shared" si="22"/>
        <v>4</v>
      </c>
      <c r="AE80" s="161">
        <f t="shared" si="23"/>
        <v>79.521638762091584</v>
      </c>
      <c r="AF80" s="15">
        <f t="shared" si="56"/>
        <v>0.16407301392110904</v>
      </c>
      <c r="AG80" s="366"/>
      <c r="AH80" s="331"/>
      <c r="AI80" s="339"/>
      <c r="AJ80" s="85">
        <f t="shared" si="57"/>
        <v>1.5286939123948102</v>
      </c>
      <c r="AK80" s="13">
        <f t="shared" si="2"/>
        <v>0.33</v>
      </c>
      <c r="AL80" s="15">
        <f t="shared" si="24"/>
        <v>14.330886011442766</v>
      </c>
      <c r="AM80" s="15">
        <f t="shared" si="25"/>
        <v>7.2294876076224455</v>
      </c>
      <c r="AN80" s="15">
        <f t="shared" si="58"/>
        <v>8.9916508268092166</v>
      </c>
      <c r="AO80" s="15">
        <f t="shared" si="26"/>
        <v>4.625305185310661</v>
      </c>
      <c r="AP80" s="15">
        <f t="shared" si="27"/>
        <v>0.17685901445402605</v>
      </c>
      <c r="AQ80" s="20">
        <f t="shared" si="59"/>
        <v>4.6385256196181203E-2</v>
      </c>
      <c r="AR80" s="13">
        <f t="shared" si="60"/>
        <v>271444678.04701972</v>
      </c>
      <c r="AS80" s="13">
        <f t="shared" si="28"/>
        <v>1.8119331537710358E-3</v>
      </c>
      <c r="AT80" s="15">
        <f t="shared" si="61"/>
        <v>640.37138611895466</v>
      </c>
      <c r="AU80" s="13">
        <f t="shared" si="62"/>
        <v>24729.891644538733</v>
      </c>
      <c r="AV80" s="339"/>
      <c r="AW80" s="339"/>
      <c r="AX80" s="356"/>
      <c r="AY80" s="339"/>
      <c r="AZ80" s="339"/>
      <c r="BA80" s="331"/>
      <c r="BB80" s="331"/>
      <c r="BC80" s="331"/>
      <c r="BD80" s="339"/>
      <c r="BE80" s="339"/>
      <c r="BF80" s="339"/>
      <c r="BG80" s="339"/>
      <c r="BH80" s="337"/>
      <c r="BI80" s="331"/>
      <c r="BJ80" s="331"/>
      <c r="BK80" s="331"/>
      <c r="BL80" s="15">
        <f t="shared" si="63"/>
        <v>-3.1365783967377478E-2</v>
      </c>
      <c r="BM80" s="20">
        <f t="shared" si="75"/>
        <v>1332.371916344156</v>
      </c>
      <c r="BN80" s="20">
        <f t="shared" si="64"/>
        <v>8042.9559361508009</v>
      </c>
      <c r="BO80" s="20">
        <f t="shared" si="65"/>
        <v>65.708162738096746</v>
      </c>
      <c r="BP80" s="20">
        <f t="shared" si="30"/>
        <v>75.564387148811264</v>
      </c>
      <c r="BQ80" s="15">
        <f t="shared" si="31"/>
        <v>349.50835170421902</v>
      </c>
      <c r="BR80" s="15">
        <f t="shared" si="66"/>
        <v>3.3653303970842887</v>
      </c>
      <c r="BS80" s="6">
        <f t="shared" si="67"/>
        <v>835.55319990556131</v>
      </c>
      <c r="BT80" s="15">
        <f t="shared" si="68"/>
        <v>852.60530602608299</v>
      </c>
      <c r="BU80" s="13">
        <f t="shared" si="69"/>
        <v>1023.5357815439171</v>
      </c>
      <c r="BV80" s="13">
        <f t="shared" si="32"/>
        <v>511.76789077195855</v>
      </c>
      <c r="BW80" s="13">
        <f t="shared" si="33"/>
        <v>511.76789077195855</v>
      </c>
      <c r="BX80" s="139">
        <f t="shared" si="70"/>
        <v>48.739799121138908</v>
      </c>
      <c r="BY80" s="15">
        <f t="shared" si="76"/>
        <v>4.253936462977434E-3</v>
      </c>
      <c r="BZ80" s="15">
        <f t="shared" si="77"/>
        <v>4.253936462977434E-3</v>
      </c>
      <c r="CA80" s="66">
        <f t="shared" si="83"/>
        <v>8.507872925954868E-3</v>
      </c>
      <c r="CB80" s="331"/>
      <c r="CC80" s="360">
        <f t="shared" ref="CC80" si="92">SUM(CA80:CA84)*1000</f>
        <v>43.200093168553167</v>
      </c>
      <c r="CD80" s="360">
        <v>62</v>
      </c>
      <c r="CE80" s="360">
        <f t="shared" ref="CE80" si="93">AVERAGE(AN80:AN84)</f>
        <v>9.001214276675265</v>
      </c>
      <c r="CF80" s="115"/>
    </row>
    <row r="81" spans="3:84" ht="15.75" x14ac:dyDescent="0.3">
      <c r="C81" s="13">
        <v>51</v>
      </c>
      <c r="D81" s="379"/>
      <c r="E81" s="379"/>
      <c r="F81" s="19" t="s">
        <v>128</v>
      </c>
      <c r="G81" s="256"/>
      <c r="H81" s="54">
        <v>0.94305555555554998</v>
      </c>
      <c r="I81" s="13">
        <v>-8.6523620000000001</v>
      </c>
      <c r="J81" s="13">
        <v>115.804305</v>
      </c>
      <c r="K81" s="13">
        <f t="shared" si="16"/>
        <v>-0.15101220497444162</v>
      </c>
      <c r="L81" s="13">
        <f t="shared" si="16"/>
        <v>2.0211664102337319</v>
      </c>
      <c r="M81" s="13">
        <v>3443</v>
      </c>
      <c r="N81" s="89">
        <f t="shared" si="78"/>
        <v>0.42676120007304957</v>
      </c>
      <c r="O81" s="331">
        <f>SUM(N81:N85)</f>
        <v>2.1397449116560003</v>
      </c>
      <c r="P81" s="89">
        <f t="shared" si="71"/>
        <v>4.9999999999991829E-2</v>
      </c>
      <c r="Q81" s="357">
        <f t="shared" ref="Q81" si="94">SUM(P81:P85)</f>
        <v>0.24999999999995914</v>
      </c>
      <c r="R81" s="20">
        <f t="shared" si="72"/>
        <v>8.535224001462387</v>
      </c>
      <c r="S81" s="346">
        <f t="shared" ref="S81" si="95">AVERAGE(R81:R85)</f>
        <v>8.5589796466253993</v>
      </c>
      <c r="T81" s="15">
        <f t="shared" si="19"/>
        <v>4.3905192263522519</v>
      </c>
      <c r="U81" s="130">
        <f t="shared" si="73"/>
        <v>5.8531075136275896E-5</v>
      </c>
      <c r="V81" s="13">
        <f t="shared" si="74"/>
        <v>1.1088076737930663E-4</v>
      </c>
      <c r="W81" s="13">
        <f t="shared" si="51"/>
        <v>1.0850989709783443</v>
      </c>
      <c r="X81" s="13">
        <f t="shared" si="38"/>
        <v>62.171591391047727</v>
      </c>
      <c r="Y81" s="130">
        <f t="shared" si="39"/>
        <v>5.7857664703619971E-5</v>
      </c>
      <c r="Z81" s="141">
        <f t="shared" si="40"/>
        <v>-6.3530000000042719E-3</v>
      </c>
      <c r="AA81" s="142">
        <f t="shared" si="41"/>
        <v>297.82840860895226</v>
      </c>
      <c r="AB81" s="13">
        <v>200</v>
      </c>
      <c r="AC81" s="13">
        <v>13</v>
      </c>
      <c r="AD81" s="13">
        <f t="shared" si="22"/>
        <v>4</v>
      </c>
      <c r="AE81" s="161">
        <f t="shared" si="23"/>
        <v>97.828408608952259</v>
      </c>
      <c r="AF81" s="15">
        <f t="shared" si="56"/>
        <v>0.16788144180846262</v>
      </c>
      <c r="AG81" s="366"/>
      <c r="AH81" s="331"/>
      <c r="AI81" s="339"/>
      <c r="AJ81" s="85">
        <f t="shared" si="57"/>
        <v>1.5069098639930678</v>
      </c>
      <c r="AK81" s="13">
        <f t="shared" si="2"/>
        <v>0.33</v>
      </c>
      <c r="AL81" s="15">
        <f t="shared" si="24"/>
        <v>14.330886011442766</v>
      </c>
      <c r="AM81" s="15">
        <f t="shared" si="25"/>
        <v>7.1264666518331143</v>
      </c>
      <c r="AN81" s="15">
        <f t="shared" si="58"/>
        <v>9.1901575117911172</v>
      </c>
      <c r="AO81" s="15">
        <f t="shared" si="26"/>
        <v>4.7274170240653506</v>
      </c>
      <c r="AP81" s="15">
        <f t="shared" si="27"/>
        <v>0.18076349176799811</v>
      </c>
      <c r="AQ81" s="20">
        <f t="shared" si="59"/>
        <v>4.6436766674075848E-2</v>
      </c>
      <c r="AR81" s="13">
        <f t="shared" si="60"/>
        <v>277437302.11939085</v>
      </c>
      <c r="AS81" s="13">
        <f t="shared" si="28"/>
        <v>1.8066032076560928E-3</v>
      </c>
      <c r="AT81" s="15">
        <f t="shared" si="61"/>
        <v>666.99037378487515</v>
      </c>
      <c r="AU81" s="13">
        <f t="shared" si="62"/>
        <v>25757.864934624569</v>
      </c>
      <c r="AV81" s="339"/>
      <c r="AW81" s="339"/>
      <c r="AX81" s="356"/>
      <c r="AY81" s="339"/>
      <c r="AZ81" s="339"/>
      <c r="BA81" s="331"/>
      <c r="BB81" s="331"/>
      <c r="BC81" s="331"/>
      <c r="BD81" s="339"/>
      <c r="BE81" s="339"/>
      <c r="BF81" s="339"/>
      <c r="BG81" s="339"/>
      <c r="BH81" s="337"/>
      <c r="BI81" s="331"/>
      <c r="BJ81" s="331"/>
      <c r="BK81" s="331"/>
      <c r="BL81" s="15">
        <f t="shared" si="63"/>
        <v>-3.5957470589958303E-2</v>
      </c>
      <c r="BM81" s="20">
        <f t="shared" si="75"/>
        <v>1696.7710919244601</v>
      </c>
      <c r="BN81" s="20">
        <f t="shared" si="64"/>
        <v>8402.0010611902271</v>
      </c>
      <c r="BO81" s="20">
        <f t="shared" si="65"/>
        <v>68.773252948434887</v>
      </c>
      <c r="BP81" s="20">
        <f t="shared" si="30"/>
        <v>79.089240890700125</v>
      </c>
      <c r="BQ81" s="15">
        <f t="shared" si="31"/>
        <v>373.8878238071012</v>
      </c>
      <c r="BR81" s="15">
        <f t="shared" si="66"/>
        <v>3.4396260513374783</v>
      </c>
      <c r="BS81" s="6">
        <f t="shared" si="67"/>
        <v>893.83605875069281</v>
      </c>
      <c r="BT81" s="15">
        <f t="shared" si="68"/>
        <v>912.07761097009472</v>
      </c>
      <c r="BU81" s="13">
        <f t="shared" si="69"/>
        <v>1094.9311056063564</v>
      </c>
      <c r="BV81" s="13">
        <f t="shared" si="32"/>
        <v>547.46555280317818</v>
      </c>
      <c r="BW81" s="13">
        <f t="shared" si="33"/>
        <v>547.46555280317818</v>
      </c>
      <c r="BX81" s="139">
        <f t="shared" si="70"/>
        <v>52.13957645744555</v>
      </c>
      <c r="BY81" s="15">
        <f t="shared" si="76"/>
        <v>4.5557174006606322E-3</v>
      </c>
      <c r="BZ81" s="15">
        <f t="shared" si="77"/>
        <v>4.5557174006606322E-3</v>
      </c>
      <c r="CA81" s="66">
        <f t="shared" si="83"/>
        <v>9.1114348013212644E-3</v>
      </c>
      <c r="CB81" s="331"/>
      <c r="CC81" s="361"/>
      <c r="CD81" s="361"/>
      <c r="CE81" s="361"/>
      <c r="CF81" s="115"/>
    </row>
    <row r="82" spans="3:84" ht="15.75" x14ac:dyDescent="0.3">
      <c r="C82" s="13">
        <v>52</v>
      </c>
      <c r="D82" s="379"/>
      <c r="E82" s="379"/>
      <c r="F82" s="19" t="s">
        <v>128</v>
      </c>
      <c r="G82" s="256"/>
      <c r="H82" s="54">
        <v>0.94513888888888298</v>
      </c>
      <c r="I82" s="13">
        <v>-8.6487920000000003</v>
      </c>
      <c r="J82" s="13">
        <v>115.79901</v>
      </c>
      <c r="K82" s="13">
        <f t="shared" si="16"/>
        <v>-0.15094989672014542</v>
      </c>
      <c r="L82" s="13">
        <f t="shared" si="16"/>
        <v>2.0210739950498389</v>
      </c>
      <c r="M82" s="13">
        <v>3443</v>
      </c>
      <c r="N82" s="89">
        <f t="shared" si="78"/>
        <v>0.3807540053091068</v>
      </c>
      <c r="O82" s="331"/>
      <c r="P82" s="89">
        <f t="shared" si="71"/>
        <v>4.9999999999991829E-2</v>
      </c>
      <c r="Q82" s="331"/>
      <c r="R82" s="20">
        <f t="shared" si="72"/>
        <v>7.6150801061833802</v>
      </c>
      <c r="S82" s="347"/>
      <c r="T82" s="15">
        <f t="shared" si="19"/>
        <v>3.9171972066207306</v>
      </c>
      <c r="U82" s="130">
        <f t="shared" si="73"/>
        <v>6.3032886147161037E-5</v>
      </c>
      <c r="V82" s="13">
        <f t="shared" si="74"/>
        <v>9.2415183893024277E-5</v>
      </c>
      <c r="W82" s="13">
        <f t="shared" si="51"/>
        <v>0.97221100201046851</v>
      </c>
      <c r="X82" s="13">
        <f t="shared" si="38"/>
        <v>55.703587211384637</v>
      </c>
      <c r="Y82" s="130">
        <f t="shared" si="39"/>
        <v>6.2308254296206123E-5</v>
      </c>
      <c r="Z82" s="141">
        <f t="shared" si="40"/>
        <v>-5.2950000000038244E-3</v>
      </c>
      <c r="AA82" s="142">
        <f t="shared" si="41"/>
        <v>304.29641278861538</v>
      </c>
      <c r="AB82" s="13">
        <v>200</v>
      </c>
      <c r="AC82" s="13">
        <v>13</v>
      </c>
      <c r="AD82" s="13">
        <f t="shared" si="22"/>
        <v>4</v>
      </c>
      <c r="AE82" s="161">
        <f t="shared" si="23"/>
        <v>104.29641278861538</v>
      </c>
      <c r="AF82" s="15">
        <f t="shared" si="56"/>
        <v>0.14978290288502866</v>
      </c>
      <c r="AG82" s="366"/>
      <c r="AH82" s="331"/>
      <c r="AI82" s="339"/>
      <c r="AJ82" s="85">
        <f t="shared" si="57"/>
        <v>1.607924038219769</v>
      </c>
      <c r="AK82" s="13">
        <f t="shared" si="2"/>
        <v>0.33</v>
      </c>
      <c r="AL82" s="15">
        <f t="shared" si="24"/>
        <v>14.330886011442766</v>
      </c>
      <c r="AM82" s="15">
        <f t="shared" si="25"/>
        <v>7.6041821152394631</v>
      </c>
      <c r="AN82" s="15">
        <f t="shared" si="58"/>
        <v>8.241801718429711</v>
      </c>
      <c r="AO82" s="15">
        <f t="shared" si="26"/>
        <v>4.2395828039602428</v>
      </c>
      <c r="AP82" s="15">
        <f t="shared" si="27"/>
        <v>0.16211004601078741</v>
      </c>
      <c r="AQ82" s="20">
        <f t="shared" si="59"/>
        <v>4.6197908942372717E-2</v>
      </c>
      <c r="AR82" s="13">
        <f t="shared" si="60"/>
        <v>248807839.30312136</v>
      </c>
      <c r="AS82" s="13">
        <f t="shared" si="28"/>
        <v>1.8334235875659998E-3</v>
      </c>
      <c r="AT82" s="15">
        <f t="shared" si="61"/>
        <v>544.39987618051373</v>
      </c>
      <c r="AU82" s="13">
        <f t="shared" si="62"/>
        <v>21023.659459299368</v>
      </c>
      <c r="AV82" s="339"/>
      <c r="AW82" s="339"/>
      <c r="AX82" s="356"/>
      <c r="AY82" s="339"/>
      <c r="AZ82" s="339"/>
      <c r="BA82" s="331"/>
      <c r="BB82" s="331"/>
      <c r="BC82" s="331"/>
      <c r="BD82" s="339"/>
      <c r="BE82" s="339"/>
      <c r="BF82" s="339"/>
      <c r="BG82" s="339"/>
      <c r="BH82" s="337"/>
      <c r="BI82" s="331"/>
      <c r="BJ82" s="331"/>
      <c r="BK82" s="331"/>
      <c r="BL82" s="15">
        <f t="shared" si="63"/>
        <v>-1.7073305680138904E-2</v>
      </c>
      <c r="BM82" s="20">
        <f t="shared" si="75"/>
        <v>490.14516724385675</v>
      </c>
      <c r="BN82" s="20">
        <f t="shared" si="64"/>
        <v>6757.4236327350791</v>
      </c>
      <c r="BO82" s="20">
        <f t="shared" si="65"/>
        <v>55.137885265371658</v>
      </c>
      <c r="BP82" s="20">
        <f t="shared" si="30"/>
        <v>63.408568055177405</v>
      </c>
      <c r="BQ82" s="15">
        <f t="shared" si="31"/>
        <v>268.82587475047291</v>
      </c>
      <c r="BR82" s="15">
        <f t="shared" si="66"/>
        <v>3.0846822662502769</v>
      </c>
      <c r="BS82" s="6">
        <f t="shared" si="67"/>
        <v>642.66939193275311</v>
      </c>
      <c r="BT82" s="15">
        <f t="shared" si="68"/>
        <v>655.78509380893172</v>
      </c>
      <c r="BU82" s="13">
        <f t="shared" si="69"/>
        <v>787.25701537686882</v>
      </c>
      <c r="BV82" s="13">
        <f t="shared" si="32"/>
        <v>393.62850768843441</v>
      </c>
      <c r="BW82" s="13">
        <f t="shared" si="33"/>
        <v>393.62850768843441</v>
      </c>
      <c r="BX82" s="139">
        <f t="shared" si="70"/>
        <v>37.488429303660418</v>
      </c>
      <c r="BY82" s="15">
        <f t="shared" si="76"/>
        <v>3.2587186607919735E-3</v>
      </c>
      <c r="BZ82" s="15">
        <f t="shared" si="77"/>
        <v>3.2587186607919735E-3</v>
      </c>
      <c r="CA82" s="66">
        <f t="shared" si="83"/>
        <v>6.517437321583947E-3</v>
      </c>
      <c r="CB82" s="331"/>
      <c r="CC82" s="361"/>
      <c r="CD82" s="361"/>
      <c r="CE82" s="361"/>
      <c r="CF82" s="115"/>
    </row>
    <row r="83" spans="3:84" ht="15.75" x14ac:dyDescent="0.3">
      <c r="C83" s="13">
        <v>53</v>
      </c>
      <c r="D83" s="379"/>
      <c r="E83" s="379"/>
      <c r="F83" s="19" t="s">
        <v>128</v>
      </c>
      <c r="G83" s="256"/>
      <c r="H83" s="54">
        <v>0.94722222222221597</v>
      </c>
      <c r="I83" s="13">
        <v>-8.6451569999999993</v>
      </c>
      <c r="J83" s="13">
        <v>115.793173</v>
      </c>
      <c r="K83" s="13">
        <f t="shared" si="16"/>
        <v>-0.1508864540018354</v>
      </c>
      <c r="L83" s="13">
        <f t="shared" si="16"/>
        <v>2.0209721201813999</v>
      </c>
      <c r="M83" s="13">
        <v>3443</v>
      </c>
      <c r="N83" s="89">
        <f t="shared" si="78"/>
        <v>0.40983087801005219</v>
      </c>
      <c r="O83" s="331"/>
      <c r="P83" s="89">
        <f t="shared" si="71"/>
        <v>4.9999999999991829E-2</v>
      </c>
      <c r="Q83" s="331"/>
      <c r="R83" s="20">
        <f t="shared" si="72"/>
        <v>8.1966175602023839</v>
      </c>
      <c r="S83" s="347"/>
      <c r="T83" s="15">
        <f t="shared" si="19"/>
        <v>4.216340072968106</v>
      </c>
      <c r="U83" s="130">
        <f t="shared" si="73"/>
        <v>6.4179926644826663E-5</v>
      </c>
      <c r="V83" s="13">
        <f t="shared" si="74"/>
        <v>1.0187486843893367E-4</v>
      </c>
      <c r="W83" s="13">
        <f t="shared" si="51"/>
        <v>1.0086182996905813</v>
      </c>
      <c r="X83" s="13">
        <f t="shared" si="38"/>
        <v>57.789571711931529</v>
      </c>
      <c r="Y83" s="130">
        <f t="shared" si="39"/>
        <v>6.3442718310019464E-5</v>
      </c>
      <c r="Z83" s="141">
        <f t="shared" si="40"/>
        <v>-5.836999999999648E-3</v>
      </c>
      <c r="AA83" s="142">
        <f t="shared" si="41"/>
        <v>302.21042828806844</v>
      </c>
      <c r="AB83" s="13">
        <v>200</v>
      </c>
      <c r="AC83" s="13">
        <v>13</v>
      </c>
      <c r="AD83" s="13">
        <f t="shared" si="22"/>
        <v>4</v>
      </c>
      <c r="AE83" s="161">
        <f t="shared" si="23"/>
        <v>102.21042828806844</v>
      </c>
      <c r="AF83" s="15">
        <f t="shared" si="56"/>
        <v>0.16122130757477149</v>
      </c>
      <c r="AG83" s="366"/>
      <c r="AH83" s="331"/>
      <c r="AI83" s="339"/>
      <c r="AJ83" s="85">
        <f t="shared" si="57"/>
        <v>1.5448213239067166</v>
      </c>
      <c r="AK83" s="13">
        <f t="shared" si="2"/>
        <v>0.33</v>
      </c>
      <c r="AL83" s="15">
        <f t="shared" si="24"/>
        <v>14.330886011442766</v>
      </c>
      <c r="AM83" s="15">
        <f t="shared" si="25"/>
        <v>7.3057572393145751</v>
      </c>
      <c r="AN83" s="15">
        <f t="shared" si="58"/>
        <v>8.8426393226644162</v>
      </c>
      <c r="AO83" s="15">
        <f t="shared" si="26"/>
        <v>4.5486536675785754</v>
      </c>
      <c r="AP83" s="15">
        <f t="shared" si="27"/>
        <v>0.17392807015103051</v>
      </c>
      <c r="AQ83" s="20">
        <f t="shared" si="59"/>
        <v>4.6347121380335136E-2</v>
      </c>
      <c r="AR83" s="13">
        <f t="shared" si="60"/>
        <v>266946240.4912276</v>
      </c>
      <c r="AS83" s="13">
        <f t="shared" si="28"/>
        <v>1.8160279882273539E-3</v>
      </c>
      <c r="AT83" s="15">
        <f t="shared" si="61"/>
        <v>620.72214431253235</v>
      </c>
      <c r="AU83" s="13">
        <f t="shared" si="62"/>
        <v>23971.076320644956</v>
      </c>
      <c r="AV83" s="339"/>
      <c r="AW83" s="339"/>
      <c r="AX83" s="356"/>
      <c r="AY83" s="339"/>
      <c r="AZ83" s="339"/>
      <c r="BA83" s="331"/>
      <c r="BB83" s="331"/>
      <c r="BC83" s="331"/>
      <c r="BD83" s="339"/>
      <c r="BE83" s="339"/>
      <c r="BF83" s="339"/>
      <c r="BG83" s="339"/>
      <c r="BH83" s="337"/>
      <c r="BI83" s="331"/>
      <c r="BJ83" s="331"/>
      <c r="BK83" s="331"/>
      <c r="BL83" s="15">
        <f t="shared" si="63"/>
        <v>-2.8136303810299183E-2</v>
      </c>
      <c r="BM83" s="20">
        <f t="shared" si="75"/>
        <v>1104.5967724170478</v>
      </c>
      <c r="BN83" s="20">
        <f t="shared" si="64"/>
        <v>7778.5857670626483</v>
      </c>
      <c r="BO83" s="20">
        <f t="shared" si="65"/>
        <v>63.487493136985265</v>
      </c>
      <c r="BP83" s="20">
        <f t="shared" si="30"/>
        <v>73.010617107533051</v>
      </c>
      <c r="BQ83" s="15">
        <f t="shared" si="31"/>
        <v>332.10001127835528</v>
      </c>
      <c r="BR83" s="15">
        <f t="shared" si="66"/>
        <v>3.3095594431101225</v>
      </c>
      <c r="BS83" s="6">
        <f t="shared" si="67"/>
        <v>793.9358981245</v>
      </c>
      <c r="BT83" s="15">
        <f t="shared" si="68"/>
        <v>810.13867155561229</v>
      </c>
      <c r="BU83" s="13">
        <f t="shared" si="69"/>
        <v>972.55542803794992</v>
      </c>
      <c r="BV83" s="13">
        <f t="shared" si="32"/>
        <v>486.27771401897496</v>
      </c>
      <c r="BW83" s="13">
        <f t="shared" si="33"/>
        <v>486.27771401897496</v>
      </c>
      <c r="BX83" s="139">
        <f t="shared" si="70"/>
        <v>46.312163239902375</v>
      </c>
      <c r="BY83" s="15">
        <f t="shared" si="76"/>
        <v>4.0387329447251277E-3</v>
      </c>
      <c r="BZ83" s="15">
        <f t="shared" si="77"/>
        <v>4.0387329447251277E-3</v>
      </c>
      <c r="CA83" s="66">
        <f t="shared" si="83"/>
        <v>8.0774658894502555E-3</v>
      </c>
      <c r="CB83" s="331"/>
      <c r="CC83" s="361"/>
      <c r="CD83" s="361"/>
      <c r="CE83" s="361"/>
      <c r="CF83" s="115"/>
    </row>
    <row r="84" spans="3:84" ht="15.75" x14ac:dyDescent="0.3">
      <c r="C84" s="13">
        <v>54</v>
      </c>
      <c r="D84" s="379"/>
      <c r="E84" s="379"/>
      <c r="F84" s="19" t="s">
        <v>128</v>
      </c>
      <c r="G84" s="257"/>
      <c r="H84" s="54">
        <v>0.94930555555554896</v>
      </c>
      <c r="I84" s="13">
        <v>-8.6413360000000008</v>
      </c>
      <c r="J84" s="13">
        <v>115.786586</v>
      </c>
      <c r="K84" s="13">
        <f t="shared" si="16"/>
        <v>-0.15081976497111674</v>
      </c>
      <c r="L84" s="13">
        <f t="shared" si="16"/>
        <v>2.0208571553435712</v>
      </c>
      <c r="M84" s="13">
        <v>3443</v>
      </c>
      <c r="N84" s="89">
        <f t="shared" si="78"/>
        <v>0.45371689585198555</v>
      </c>
      <c r="O84" s="331"/>
      <c r="P84" s="89">
        <f t="shared" si="71"/>
        <v>4.9999999999991829E-2</v>
      </c>
      <c r="Q84" s="331"/>
      <c r="R84" s="20">
        <f t="shared" si="72"/>
        <v>9.0743379170411931</v>
      </c>
      <c r="S84" s="347"/>
      <c r="T84" s="15">
        <f t="shared" si="19"/>
        <v>4.6678394245259893</v>
      </c>
      <c r="U84" s="130">
        <f t="shared" si="73"/>
        <v>6.7463290432732769E-5</v>
      </c>
      <c r="V84" s="13">
        <f t="shared" si="74"/>
        <v>1.1496483782869049E-4</v>
      </c>
      <c r="W84" s="13">
        <f t="shared" si="51"/>
        <v>1.0401268060701909</v>
      </c>
      <c r="X84" s="13">
        <f t="shared" si="38"/>
        <v>59.594876146244196</v>
      </c>
      <c r="Y84" s="130">
        <f t="shared" si="39"/>
        <v>6.6689030718658504E-5</v>
      </c>
      <c r="Z84" s="141">
        <f t="shared" si="40"/>
        <v>-6.5869999999961237E-3</v>
      </c>
      <c r="AA84" s="142">
        <f t="shared" si="41"/>
        <v>300.40512385375581</v>
      </c>
      <c r="AB84" s="13">
        <v>200</v>
      </c>
      <c r="AC84" s="13">
        <v>13</v>
      </c>
      <c r="AD84" s="13">
        <f t="shared" si="22"/>
        <v>4</v>
      </c>
      <c r="AE84" s="161">
        <f t="shared" si="23"/>
        <v>100.40512385375581</v>
      </c>
      <c r="AF84" s="15">
        <f t="shared" si="56"/>
        <v>0.17848540737877086</v>
      </c>
      <c r="AG84" s="366"/>
      <c r="AH84" s="331"/>
      <c r="AI84" s="339"/>
      <c r="AJ84" s="85">
        <f t="shared" si="57"/>
        <v>1.4447731872755649</v>
      </c>
      <c r="AK84" s="13">
        <f t="shared" si="2"/>
        <v>0.33</v>
      </c>
      <c r="AL84" s="15">
        <f t="shared" si="24"/>
        <v>14.330886011442766</v>
      </c>
      <c r="AM84" s="15">
        <f t="shared" si="25"/>
        <v>6.8326103535475413</v>
      </c>
      <c r="AN84" s="15">
        <f t="shared" si="58"/>
        <v>9.7398220036818621</v>
      </c>
      <c r="AO84" s="15">
        <f t="shared" si="26"/>
        <v>5.0101644386939492</v>
      </c>
      <c r="AP84" s="15">
        <f t="shared" si="27"/>
        <v>0.19157497924550584</v>
      </c>
      <c r="AQ84" s="20">
        <f t="shared" si="59"/>
        <v>4.658369482321862E-2</v>
      </c>
      <c r="AR84" s="13">
        <f t="shared" si="60"/>
        <v>294030862.51325101</v>
      </c>
      <c r="AS84" s="13">
        <f t="shared" si="28"/>
        <v>1.7925384394306902E-3</v>
      </c>
      <c r="AT84" s="15">
        <f t="shared" si="61"/>
        <v>743.32954869648836</v>
      </c>
      <c r="AU84" s="13">
        <f t="shared" si="62"/>
        <v>28705.93470276221</v>
      </c>
      <c r="AV84" s="339"/>
      <c r="AW84" s="339"/>
      <c r="AX84" s="356"/>
      <c r="AY84" s="339"/>
      <c r="AZ84" s="339"/>
      <c r="BA84" s="331"/>
      <c r="BB84" s="331"/>
      <c r="BC84" s="331"/>
      <c r="BD84" s="339"/>
      <c r="BE84" s="339"/>
      <c r="BF84" s="339"/>
      <c r="BG84" s="339"/>
      <c r="BH84" s="337"/>
      <c r="BI84" s="331"/>
      <c r="BJ84" s="331"/>
      <c r="BK84" s="331"/>
      <c r="BL84" s="15">
        <f t="shared" si="63"/>
        <v>-5.0300549362727438E-2</v>
      </c>
      <c r="BM84" s="20">
        <f t="shared" si="75"/>
        <v>3168.1012572269742</v>
      </c>
      <c r="BN84" s="20">
        <f t="shared" si="64"/>
        <v>9437.1066390623891</v>
      </c>
      <c r="BO84" s="20">
        <f t="shared" si="65"/>
        <v>77.995170096333268</v>
      </c>
      <c r="BP84" s="20">
        <f t="shared" si="30"/>
        <v>89.694445610783262</v>
      </c>
      <c r="BQ84" s="15">
        <f t="shared" si="31"/>
        <v>449.38392174751488</v>
      </c>
      <c r="BR84" s="15">
        <f t="shared" si="66"/>
        <v>3.6453505237827941</v>
      </c>
      <c r="BS84" s="6">
        <f t="shared" si="67"/>
        <v>1074.3210340221287</v>
      </c>
      <c r="BT84" s="15">
        <f t="shared" si="68"/>
        <v>1096.2459530838048</v>
      </c>
      <c r="BU84" s="13">
        <f t="shared" si="69"/>
        <v>1316.0215523214945</v>
      </c>
      <c r="BV84" s="13">
        <f t="shared" si="32"/>
        <v>658.01077616074724</v>
      </c>
      <c r="BW84" s="13">
        <f t="shared" si="33"/>
        <v>658.01077616074724</v>
      </c>
      <c r="BX84" s="139">
        <f t="shared" si="70"/>
        <v>62.667692967690215</v>
      </c>
      <c r="BY84" s="15">
        <f t="shared" si="76"/>
        <v>5.4929411151214145E-3</v>
      </c>
      <c r="BZ84" s="15">
        <f t="shared" si="77"/>
        <v>5.4929411151214145E-3</v>
      </c>
      <c r="CA84" s="66">
        <f t="shared" si="83"/>
        <v>1.0985882230242829E-2</v>
      </c>
      <c r="CB84" s="331"/>
      <c r="CC84" s="362"/>
      <c r="CD84" s="362"/>
      <c r="CE84" s="362"/>
      <c r="CF84" s="115"/>
    </row>
    <row r="85" spans="3:84" ht="15.75" x14ac:dyDescent="0.3">
      <c r="C85" s="13">
        <v>55</v>
      </c>
      <c r="D85" s="379"/>
      <c r="E85" s="379"/>
      <c r="F85" s="19" t="s">
        <v>128</v>
      </c>
      <c r="G85" s="255">
        <v>0.95138888888888884</v>
      </c>
      <c r="H85" s="54">
        <v>0.95138888888888196</v>
      </c>
      <c r="I85" s="13">
        <v>-8.6372440000000008</v>
      </c>
      <c r="J85" s="13">
        <v>115.77987</v>
      </c>
      <c r="K85" s="13">
        <f t="shared" si="16"/>
        <v>-0.15074834609812512</v>
      </c>
      <c r="L85" s="13">
        <f t="shared" si="16"/>
        <v>2.020739939031007</v>
      </c>
      <c r="M85" s="13">
        <v>3443</v>
      </c>
      <c r="N85" s="89">
        <f t="shared" si="78"/>
        <v>0.46868193241180617</v>
      </c>
      <c r="O85" s="331"/>
      <c r="P85" s="89">
        <f t="shared" si="71"/>
        <v>4.9999999999991829E-2</v>
      </c>
      <c r="Q85" s="358"/>
      <c r="R85" s="20">
        <f t="shared" si="72"/>
        <v>9.3736386482376552</v>
      </c>
      <c r="S85" s="348"/>
      <c r="T85" s="15">
        <f t="shared" si="19"/>
        <v>4.8217997206534493</v>
      </c>
      <c r="U85" s="130">
        <f t="shared" si="73"/>
        <v>7.2247283926946463E-5</v>
      </c>
      <c r="V85" s="13">
        <f t="shared" si="74"/>
        <v>1.1721631256422782E-4</v>
      </c>
      <c r="W85" s="13">
        <f t="shared" si="51"/>
        <v>1.0184351890113548</v>
      </c>
      <c r="X85" s="13">
        <f t="shared" si="38"/>
        <v>58.352038037958906</v>
      </c>
      <c r="Y85" s="130">
        <f t="shared" si="39"/>
        <v>7.1418872991613203E-5</v>
      </c>
      <c r="Z85" s="141">
        <f t="shared" si="40"/>
        <v>-6.7159999999972797E-3</v>
      </c>
      <c r="AA85" s="142">
        <f t="shared" si="41"/>
        <v>301.64796196204111</v>
      </c>
      <c r="AB85" s="13">
        <v>200</v>
      </c>
      <c r="AC85" s="13">
        <v>13</v>
      </c>
      <c r="AD85" s="13">
        <f t="shared" si="22"/>
        <v>4</v>
      </c>
      <c r="AE85" s="161">
        <f t="shared" si="23"/>
        <v>101.64796196204111</v>
      </c>
      <c r="AF85" s="15">
        <f t="shared" si="56"/>
        <v>0.1843724278341192</v>
      </c>
      <c r="AG85" s="366"/>
      <c r="AH85" s="331"/>
      <c r="AI85" s="339"/>
      <c r="AJ85" s="85">
        <f t="shared" si="57"/>
        <v>1.4093349666038617</v>
      </c>
      <c r="AK85" s="13">
        <f t="shared" si="2"/>
        <v>0.33</v>
      </c>
      <c r="AL85" s="15">
        <f t="shared" si="24"/>
        <v>14.330886011442766</v>
      </c>
      <c r="AM85" s="15">
        <f t="shared" si="25"/>
        <v>6.665016190252345</v>
      </c>
      <c r="AN85" s="15">
        <f t="shared" si="58"/>
        <v>10.04300666869425</v>
      </c>
      <c r="AO85" s="15">
        <f t="shared" si="26"/>
        <v>5.1661226303763224</v>
      </c>
      <c r="AP85" s="15">
        <f t="shared" si="27"/>
        <v>0.19753839376020105</v>
      </c>
      <c r="AQ85" s="20">
        <f t="shared" si="59"/>
        <v>4.6667491904866201E-2</v>
      </c>
      <c r="AR85" s="13">
        <f t="shared" si="60"/>
        <v>303183560.42915601</v>
      </c>
      <c r="AS85" s="13">
        <f t="shared" si="28"/>
        <v>1.7851826363328234E-3</v>
      </c>
      <c r="AT85" s="15">
        <f t="shared" si="61"/>
        <v>787.08391186382551</v>
      </c>
      <c r="AU85" s="13">
        <f t="shared" si="62"/>
        <v>30395.642712143883</v>
      </c>
      <c r="AV85" s="339"/>
      <c r="AW85" s="339"/>
      <c r="AX85" s="356"/>
      <c r="AY85" s="339"/>
      <c r="AZ85" s="339"/>
      <c r="BA85" s="331"/>
      <c r="BB85" s="331"/>
      <c r="BC85" s="331"/>
      <c r="BD85" s="339"/>
      <c r="BE85" s="339"/>
      <c r="BF85" s="339"/>
      <c r="BG85" s="339"/>
      <c r="BH85" s="337"/>
      <c r="BI85" s="331"/>
      <c r="BJ85" s="331"/>
      <c r="BK85" s="331"/>
      <c r="BL85" s="15">
        <f t="shared" si="63"/>
        <v>-5.9148082674460513E-2</v>
      </c>
      <c r="BM85" s="20">
        <f t="shared" si="75"/>
        <v>4352.4378739025524</v>
      </c>
      <c r="BN85" s="20">
        <f t="shared" si="64"/>
        <v>10033.774221913478</v>
      </c>
      <c r="BO85" s="20">
        <f t="shared" si="65"/>
        <v>83.625202171337818</v>
      </c>
      <c r="BP85" s="20">
        <f t="shared" si="30"/>
        <v>96.168982497038485</v>
      </c>
      <c r="BQ85" s="15">
        <f t="shared" si="31"/>
        <v>496.82075681821499</v>
      </c>
      <c r="BR85" s="15">
        <f t="shared" si="66"/>
        <v>3.7588242994830101</v>
      </c>
      <c r="BS85" s="6">
        <f t="shared" si="67"/>
        <v>1187.7260475030623</v>
      </c>
      <c r="BT85" s="15">
        <f t="shared" si="68"/>
        <v>1211.9653545949616</v>
      </c>
      <c r="BU85" s="13">
        <f t="shared" si="69"/>
        <v>1454.9404016746239</v>
      </c>
      <c r="BV85" s="13">
        <f t="shared" si="32"/>
        <v>727.47020083731195</v>
      </c>
      <c r="BW85" s="13">
        <f t="shared" si="33"/>
        <v>727.47020083731195</v>
      </c>
      <c r="BX85" s="139">
        <f t="shared" si="70"/>
        <v>69.282876270220186</v>
      </c>
      <c r="BY85" s="15">
        <f t="shared" si="76"/>
        <v>6.0836983797823109E-3</v>
      </c>
      <c r="BZ85" s="15">
        <f t="shared" si="77"/>
        <v>6.0836983797823109E-3</v>
      </c>
      <c r="CA85" s="66">
        <f t="shared" si="83"/>
        <v>1.2167396759564622E-2</v>
      </c>
      <c r="CB85" s="331"/>
      <c r="CC85" s="360">
        <f t="shared" ref="CC85" si="96">SUM(CA85:CA89)*1000</f>
        <v>70.979255107720064</v>
      </c>
      <c r="CD85" s="360">
        <v>60</v>
      </c>
      <c r="CE85" s="360">
        <f t="shared" ref="CE85" si="97">AVERAGE(AN85:AN89)</f>
        <v>9.7016261742157859</v>
      </c>
      <c r="CF85" s="115"/>
    </row>
    <row r="86" spans="3:84" ht="15.75" x14ac:dyDescent="0.3">
      <c r="C86" s="13">
        <v>56</v>
      </c>
      <c r="D86" s="379"/>
      <c r="E86" s="379"/>
      <c r="F86" s="19" t="s">
        <v>128</v>
      </c>
      <c r="G86" s="256"/>
      <c r="H86" s="54">
        <v>0.95347222222221495</v>
      </c>
      <c r="I86" s="13">
        <v>-8.6343390000000007</v>
      </c>
      <c r="J86" s="13">
        <v>115.774793</v>
      </c>
      <c r="K86" s="13">
        <f t="shared" si="16"/>
        <v>-0.15069764428335469</v>
      </c>
      <c r="L86" s="13">
        <f t="shared" si="16"/>
        <v>2.0206513286648833</v>
      </c>
      <c r="M86" s="13">
        <v>3443</v>
      </c>
      <c r="N86" s="89">
        <f t="shared" si="78"/>
        <v>0.34849972290773412</v>
      </c>
      <c r="O86" s="331">
        <f>SUM(N86:N90)</f>
        <v>2.2138577064626785</v>
      </c>
      <c r="P86" s="89">
        <f t="shared" si="71"/>
        <v>4.9999999999991829E-2</v>
      </c>
      <c r="Q86" s="357">
        <f t="shared" ref="Q86" si="98">SUM(P86:P90)</f>
        <v>0.24999999999996181</v>
      </c>
      <c r="R86" s="20">
        <f t="shared" si="72"/>
        <v>6.9699944581558215</v>
      </c>
      <c r="S86" s="346">
        <f t="shared" ref="S86" si="99">AVERAGE(R86:R90)</f>
        <v>8.8554308258520766</v>
      </c>
      <c r="T86" s="15">
        <f t="shared" si="19"/>
        <v>3.5853651492753542</v>
      </c>
      <c r="U86" s="130">
        <f t="shared" si="73"/>
        <v>5.1289443460189587E-5</v>
      </c>
      <c r="V86" s="13">
        <f t="shared" si="74"/>
        <v>8.861036612373141E-5</v>
      </c>
      <c r="W86" s="13">
        <f t="shared" si="51"/>
        <v>1.0460960278054268</v>
      </c>
      <c r="X86" s="13">
        <f t="shared" si="38"/>
        <v>59.936887358650964</v>
      </c>
      <c r="Y86" s="130">
        <f t="shared" si="39"/>
        <v>5.0701814770431897E-5</v>
      </c>
      <c r="Z86" s="141">
        <f t="shared" si="40"/>
        <v>-5.0769999999999982E-3</v>
      </c>
      <c r="AA86" s="142">
        <f t="shared" si="41"/>
        <v>300.06311264134905</v>
      </c>
      <c r="AB86" s="13">
        <v>200</v>
      </c>
      <c r="AC86" s="13">
        <v>13</v>
      </c>
      <c r="AD86" s="13">
        <f t="shared" si="22"/>
        <v>4</v>
      </c>
      <c r="AE86" s="161">
        <f t="shared" si="23"/>
        <v>100.06311264134905</v>
      </c>
      <c r="AF86" s="15">
        <f t="shared" si="56"/>
        <v>0.13709455297619699</v>
      </c>
      <c r="AG86" s="366"/>
      <c r="AH86" s="331"/>
      <c r="AI86" s="339"/>
      <c r="AJ86" s="85">
        <f t="shared" si="57"/>
        <v>1.6749529279387978</v>
      </c>
      <c r="AK86" s="13">
        <f t="shared" si="2"/>
        <v>0.33</v>
      </c>
      <c r="AL86" s="15">
        <f t="shared" si="24"/>
        <v>14.330886011442766</v>
      </c>
      <c r="AM86" s="15">
        <f t="shared" si="25"/>
        <v>7.921174629991663</v>
      </c>
      <c r="AN86" s="15">
        <f t="shared" si="58"/>
        <v>7.5695953224291124</v>
      </c>
      <c r="AO86" s="15">
        <f t="shared" si="26"/>
        <v>3.893799833857535</v>
      </c>
      <c r="AP86" s="15">
        <f t="shared" si="27"/>
        <v>0.14888825137082068</v>
      </c>
      <c r="AQ86" s="20">
        <f t="shared" si="59"/>
        <v>4.6039412684996645E-2</v>
      </c>
      <c r="AR86" s="13">
        <f t="shared" si="60"/>
        <v>228514919.54254833</v>
      </c>
      <c r="AS86" s="13">
        <f t="shared" si="28"/>
        <v>1.8547922984167061E-3</v>
      </c>
      <c r="AT86" s="15">
        <f t="shared" si="61"/>
        <v>464.5703492024943</v>
      </c>
      <c r="AU86" s="13">
        <f t="shared" si="62"/>
        <v>17940.799114514255</v>
      </c>
      <c r="AV86" s="339"/>
      <c r="AW86" s="339"/>
      <c r="AX86" s="356"/>
      <c r="AY86" s="339"/>
      <c r="AZ86" s="339"/>
      <c r="BA86" s="331"/>
      <c r="BB86" s="331"/>
      <c r="BC86" s="331"/>
      <c r="BD86" s="339"/>
      <c r="BE86" s="339"/>
      <c r="BF86" s="339"/>
      <c r="BG86" s="339"/>
      <c r="BH86" s="337"/>
      <c r="BI86" s="331"/>
      <c r="BJ86" s="331"/>
      <c r="BK86" s="331"/>
      <c r="BL86" s="15">
        <f t="shared" si="63"/>
        <v>-8.4289637367309812E-3</v>
      </c>
      <c r="BM86" s="20">
        <f t="shared" si="75"/>
        <v>173.79946063739473</v>
      </c>
      <c r="BN86" s="20">
        <f t="shared" si="64"/>
        <v>5700.0956965059431</v>
      </c>
      <c r="BO86" s="20">
        <f t="shared" si="65"/>
        <v>46.741687412790846</v>
      </c>
      <c r="BP86" s="20">
        <f t="shared" si="30"/>
        <v>53.752940524709473</v>
      </c>
      <c r="BQ86" s="15">
        <f t="shared" si="31"/>
        <v>209.30319088446771</v>
      </c>
      <c r="BR86" s="15">
        <f t="shared" si="66"/>
        <v>2.8330936913436089</v>
      </c>
      <c r="BS86" s="6">
        <f t="shared" si="67"/>
        <v>500.37130741288212</v>
      </c>
      <c r="BT86" s="15">
        <f t="shared" si="68"/>
        <v>510.5829667478389</v>
      </c>
      <c r="BU86" s="13">
        <f t="shared" si="69"/>
        <v>612.94473799260379</v>
      </c>
      <c r="BV86" s="13">
        <f t="shared" si="32"/>
        <v>306.4723689963019</v>
      </c>
      <c r="BW86" s="13">
        <f t="shared" si="33"/>
        <v>306.4723689963019</v>
      </c>
      <c r="BX86" s="139">
        <f t="shared" si="70"/>
        <v>29.187844666314465</v>
      </c>
      <c r="BY86" s="15">
        <f t="shared" si="76"/>
        <v>2.5284775708002607E-3</v>
      </c>
      <c r="BZ86" s="15">
        <f t="shared" si="77"/>
        <v>2.5284775708002607E-3</v>
      </c>
      <c r="CA86" s="66">
        <f t="shared" si="83"/>
        <v>5.0569551416005214E-3</v>
      </c>
      <c r="CB86" s="331"/>
      <c r="CC86" s="361"/>
      <c r="CD86" s="361"/>
      <c r="CE86" s="361"/>
      <c r="CF86" s="115"/>
    </row>
    <row r="87" spans="3:84" ht="15.75" x14ac:dyDescent="0.3">
      <c r="C87" s="13">
        <v>57</v>
      </c>
      <c r="D87" s="379"/>
      <c r="E87" s="379"/>
      <c r="F87" s="19" t="s">
        <v>128</v>
      </c>
      <c r="G87" s="256"/>
      <c r="H87" s="54">
        <v>0.95555555555554805</v>
      </c>
      <c r="I87" s="13">
        <v>-8.6307880000000008</v>
      </c>
      <c r="J87" s="13">
        <v>115.76933</v>
      </c>
      <c r="K87" s="13">
        <f t="shared" si="16"/>
        <v>-0.15063566764161637</v>
      </c>
      <c r="L87" s="13">
        <f t="shared" si="16"/>
        <v>2.0205559813278469</v>
      </c>
      <c r="M87" s="13">
        <v>3443</v>
      </c>
      <c r="N87" s="89">
        <f t="shared" si="78"/>
        <v>0.38842477827950667</v>
      </c>
      <c r="O87" s="331"/>
      <c r="P87" s="89">
        <f t="shared" si="71"/>
        <v>4.9999999999994493E-2</v>
      </c>
      <c r="Q87" s="331"/>
      <c r="R87" s="20">
        <f t="shared" si="72"/>
        <v>7.7684955655909889</v>
      </c>
      <c r="S87" s="347"/>
      <c r="T87" s="15">
        <f t="shared" si="19"/>
        <v>3.9961141189400045</v>
      </c>
      <c r="U87" s="130">
        <f t="shared" si="73"/>
        <v>6.2694405264115906E-5</v>
      </c>
      <c r="V87" s="13">
        <f t="shared" si="74"/>
        <v>9.5347337036422175E-5</v>
      </c>
      <c r="W87" s="13">
        <f t="shared" si="51"/>
        <v>0.98914089772750813</v>
      </c>
      <c r="X87" s="13">
        <f t="shared" si="38"/>
        <v>56.67359878356762</v>
      </c>
      <c r="Y87" s="130">
        <f t="shared" si="39"/>
        <v>6.1976641738320515E-5</v>
      </c>
      <c r="Z87" s="141">
        <f t="shared" si="40"/>
        <v>-5.4630000000059908E-3</v>
      </c>
      <c r="AA87" s="142">
        <f t="shared" si="41"/>
        <v>303.32640121643237</v>
      </c>
      <c r="AB87" s="13">
        <v>200</v>
      </c>
      <c r="AC87" s="13">
        <v>13</v>
      </c>
      <c r="AD87" s="13">
        <f t="shared" si="22"/>
        <v>4</v>
      </c>
      <c r="AE87" s="161">
        <f t="shared" si="23"/>
        <v>103.32640121643237</v>
      </c>
      <c r="AF87" s="15">
        <f t="shared" si="56"/>
        <v>0.15280046967843022</v>
      </c>
      <c r="AG87" s="366"/>
      <c r="AH87" s="331"/>
      <c r="AI87" s="339"/>
      <c r="AJ87" s="85">
        <f t="shared" si="57"/>
        <v>1.5915233855246205</v>
      </c>
      <c r="AK87" s="13">
        <f t="shared" si="2"/>
        <v>0.33</v>
      </c>
      <c r="AL87" s="15">
        <f t="shared" si="24"/>
        <v>14.330886011442766</v>
      </c>
      <c r="AM87" s="15">
        <f t="shared" si="25"/>
        <v>7.5266202734246086</v>
      </c>
      <c r="AN87" s="15">
        <f t="shared" si="58"/>
        <v>8.4007912207392224</v>
      </c>
      <c r="AO87" s="15">
        <f t="shared" si="26"/>
        <v>4.3213670039482555</v>
      </c>
      <c r="AP87" s="15">
        <f t="shared" si="27"/>
        <v>0.16523725003912429</v>
      </c>
      <c r="AQ87" s="20">
        <f t="shared" si="59"/>
        <v>4.6236689863282603E-2</v>
      </c>
      <c r="AR87" s="13">
        <f t="shared" si="60"/>
        <v>253607497.90847847</v>
      </c>
      <c r="AS87" s="13">
        <f t="shared" si="28"/>
        <v>1.8286754420682315E-3</v>
      </c>
      <c r="AT87" s="15">
        <f t="shared" si="61"/>
        <v>564.14130021019423</v>
      </c>
      <c r="AU87" s="13">
        <f t="shared" si="62"/>
        <v>21786.034680531073</v>
      </c>
      <c r="AV87" s="339"/>
      <c r="AW87" s="339"/>
      <c r="AX87" s="356"/>
      <c r="AY87" s="339"/>
      <c r="AZ87" s="339"/>
      <c r="BA87" s="331"/>
      <c r="BB87" s="331"/>
      <c r="BC87" s="331"/>
      <c r="BD87" s="339"/>
      <c r="BE87" s="339"/>
      <c r="BF87" s="339"/>
      <c r="BG87" s="339"/>
      <c r="BH87" s="337"/>
      <c r="BI87" s="331"/>
      <c r="BJ87" s="331"/>
      <c r="BK87" s="331"/>
      <c r="BL87" s="15">
        <f t="shared" si="63"/>
        <v>-1.969145992094077E-2</v>
      </c>
      <c r="BM87" s="20">
        <f t="shared" si="75"/>
        <v>613.43106570307657</v>
      </c>
      <c r="BN87" s="20">
        <f t="shared" si="64"/>
        <v>7020.6481046184126</v>
      </c>
      <c r="BO87" s="20">
        <f t="shared" si="65"/>
        <v>57.261029102444503</v>
      </c>
      <c r="BP87" s="20">
        <f t="shared" si="30"/>
        <v>65.850183467811178</v>
      </c>
      <c r="BQ87" s="15">
        <f t="shared" si="31"/>
        <v>284.56281004173815</v>
      </c>
      <c r="BR87" s="15">
        <f t="shared" si="66"/>
        <v>3.1441877136086425</v>
      </c>
      <c r="BS87" s="6">
        <f t="shared" si="67"/>
        <v>680.29094396493804</v>
      </c>
      <c r="BT87" s="15">
        <f t="shared" si="68"/>
        <v>694.17443261728374</v>
      </c>
      <c r="BU87" s="13">
        <f t="shared" si="69"/>
        <v>833.34265620322185</v>
      </c>
      <c r="BV87" s="13">
        <f t="shared" si="32"/>
        <v>416.67132810161092</v>
      </c>
      <c r="BW87" s="13">
        <f t="shared" si="33"/>
        <v>416.67132810161092</v>
      </c>
      <c r="BX87" s="139">
        <f t="shared" si="70"/>
        <v>39.682983628724848</v>
      </c>
      <c r="BY87" s="15">
        <f t="shared" si="76"/>
        <v>3.4523781326462402E-3</v>
      </c>
      <c r="BZ87" s="15">
        <f t="shared" si="77"/>
        <v>3.4523781326462402E-3</v>
      </c>
      <c r="CA87" s="66">
        <f t="shared" si="83"/>
        <v>6.9047562652924804E-3</v>
      </c>
      <c r="CB87" s="331"/>
      <c r="CC87" s="361"/>
      <c r="CD87" s="361"/>
      <c r="CE87" s="361"/>
      <c r="CF87" s="115"/>
    </row>
    <row r="88" spans="3:84" ht="15.75" x14ac:dyDescent="0.3">
      <c r="C88" s="13">
        <v>58</v>
      </c>
      <c r="D88" s="379"/>
      <c r="E88" s="379"/>
      <c r="F88" s="19" t="s">
        <v>128</v>
      </c>
      <c r="G88" s="256"/>
      <c r="H88" s="54">
        <v>0.95763888888888105</v>
      </c>
      <c r="I88" s="13">
        <v>-8.6250309999999999</v>
      </c>
      <c r="J88" s="13">
        <v>115.760229</v>
      </c>
      <c r="K88" s="13">
        <f t="shared" si="16"/>
        <v>-0.15053518903657903</v>
      </c>
      <c r="L88" s="13">
        <f t="shared" si="16"/>
        <v>2.0203971389126227</v>
      </c>
      <c r="M88" s="13">
        <v>3443</v>
      </c>
      <c r="N88" s="89">
        <f t="shared" si="78"/>
        <v>0.64190521353953522</v>
      </c>
      <c r="O88" s="331"/>
      <c r="P88" s="89">
        <f t="shared" si="71"/>
        <v>4.9999999999991829E-2</v>
      </c>
      <c r="Q88" s="331"/>
      <c r="R88" s="20">
        <f t="shared" si="72"/>
        <v>12.838104270792803</v>
      </c>
      <c r="S88" s="347"/>
      <c r="T88" s="15">
        <f t="shared" si="19"/>
        <v>6.6039208368958171</v>
      </c>
      <c r="U88" s="130">
        <f t="shared" si="73"/>
        <v>1.0164100750314352E-4</v>
      </c>
      <c r="V88" s="13">
        <f t="shared" si="74"/>
        <v>1.5884241522412523E-4</v>
      </c>
      <c r="W88" s="13">
        <f t="shared" si="51"/>
        <v>1.0015641488022786</v>
      </c>
      <c r="X88" s="13">
        <f t="shared" si="38"/>
        <v>57.385398637983329</v>
      </c>
      <c r="Y88" s="130">
        <f t="shared" si="39"/>
        <v>1.0047860503734074E-4</v>
      </c>
      <c r="Z88" s="141">
        <f t="shared" si="40"/>
        <v>-9.101000000001136E-3</v>
      </c>
      <c r="AA88" s="142">
        <f t="shared" si="41"/>
        <v>302.61460136201669</v>
      </c>
      <c r="AB88" s="13">
        <v>200</v>
      </c>
      <c r="AC88" s="13">
        <v>13</v>
      </c>
      <c r="AD88" s="13">
        <f t="shared" si="22"/>
        <v>4</v>
      </c>
      <c r="AE88" s="161">
        <f t="shared" si="23"/>
        <v>102.61460136201669</v>
      </c>
      <c r="AF88" s="15">
        <f t="shared" si="56"/>
        <v>0.25251586305160839</v>
      </c>
      <c r="AG88" s="366"/>
      <c r="AH88" s="331"/>
      <c r="AI88" s="339"/>
      <c r="AJ88" s="85">
        <f t="shared" si="57"/>
        <v>0.95019700977180233</v>
      </c>
      <c r="AK88" s="13">
        <f t="shared" si="2"/>
        <v>0.33</v>
      </c>
      <c r="AL88" s="15">
        <f t="shared" si="24"/>
        <v>14.330886011442766</v>
      </c>
      <c r="AM88" s="15">
        <f t="shared" si="25"/>
        <v>4.4936644616996446</v>
      </c>
      <c r="AN88" s="15">
        <f t="shared" si="58"/>
        <v>13.442149359446852</v>
      </c>
      <c r="AO88" s="15">
        <f t="shared" si="26"/>
        <v>6.9146416304994602</v>
      </c>
      <c r="AP88" s="15">
        <f t="shared" si="27"/>
        <v>0.26439697599992562</v>
      </c>
      <c r="AQ88" s="20">
        <f t="shared" si="59"/>
        <v>4.7753167769142374E-2</v>
      </c>
      <c r="AR88" s="13">
        <f t="shared" si="60"/>
        <v>405798665.38587755</v>
      </c>
      <c r="AS88" s="13">
        <f t="shared" si="28"/>
        <v>1.7174352284256599E-3</v>
      </c>
      <c r="AT88" s="15">
        <f t="shared" si="61"/>
        <v>1356.5277412885553</v>
      </c>
      <c r="AU88" s="13">
        <f t="shared" si="62"/>
        <v>52386.450709784265</v>
      </c>
      <c r="AV88" s="339"/>
      <c r="AW88" s="339"/>
      <c r="AX88" s="356"/>
      <c r="AY88" s="339"/>
      <c r="AZ88" s="339"/>
      <c r="BA88" s="331"/>
      <c r="BB88" s="331"/>
      <c r="BC88" s="331"/>
      <c r="BD88" s="339"/>
      <c r="BE88" s="339"/>
      <c r="BF88" s="339"/>
      <c r="BG88" s="339"/>
      <c r="BH88" s="337"/>
      <c r="BI88" s="331"/>
      <c r="BJ88" s="331"/>
      <c r="BK88" s="331"/>
      <c r="BL88" s="15">
        <f t="shared" si="63"/>
        <v>-0.18350504438463802</v>
      </c>
      <c r="BM88" s="20">
        <f t="shared" si="75"/>
        <v>54190.213147032722</v>
      </c>
      <c r="BN88" s="20">
        <f t="shared" si="64"/>
        <v>17975.221701791914</v>
      </c>
      <c r="BO88" s="20">
        <f t="shared" si="65"/>
        <v>191.49783308554311</v>
      </c>
      <c r="BP88" s="20">
        <f t="shared" si="30"/>
        <v>220.22250804837458</v>
      </c>
      <c r="BQ88" s="15">
        <f t="shared" si="31"/>
        <v>1522.7597221242934</v>
      </c>
      <c r="BR88" s="15">
        <f t="shared" si="66"/>
        <v>5.0310309767162655</v>
      </c>
      <c r="BS88" s="6">
        <f t="shared" si="67"/>
        <v>3640.3901431946747</v>
      </c>
      <c r="BT88" s="15">
        <f t="shared" si="68"/>
        <v>3714.6838195864029</v>
      </c>
      <c r="BU88" s="13">
        <f t="shared" si="69"/>
        <v>4459.40434524178</v>
      </c>
      <c r="BV88" s="13">
        <f t="shared" si="32"/>
        <v>2229.70217262089</v>
      </c>
      <c r="BW88" s="13">
        <f t="shared" si="33"/>
        <v>2229.70217262089</v>
      </c>
      <c r="BX88" s="139">
        <f t="shared" si="70"/>
        <v>212.3525878686562</v>
      </c>
      <c r="BY88" s="15">
        <f t="shared" si="76"/>
        <v>1.9080381272850076E-2</v>
      </c>
      <c r="BZ88" s="15">
        <f t="shared" si="77"/>
        <v>1.9080381272850076E-2</v>
      </c>
      <c r="CA88" s="66">
        <f t="shared" si="83"/>
        <v>3.8160762545700153E-2</v>
      </c>
      <c r="CB88" s="331"/>
      <c r="CC88" s="361"/>
      <c r="CD88" s="361"/>
      <c r="CE88" s="361"/>
      <c r="CF88" s="115"/>
    </row>
    <row r="89" spans="3:84" ht="15.75" x14ac:dyDescent="0.3">
      <c r="C89" s="13">
        <v>59</v>
      </c>
      <c r="D89" s="379"/>
      <c r="E89" s="379"/>
      <c r="F89" s="19" t="s">
        <v>128</v>
      </c>
      <c r="G89" s="257"/>
      <c r="H89" s="54">
        <v>0.95972222222221404</v>
      </c>
      <c r="I89" s="13">
        <v>-8.6214010000000005</v>
      </c>
      <c r="J89" s="13">
        <v>115.754187</v>
      </c>
      <c r="K89" s="13">
        <f t="shared" si="16"/>
        <v>-0.15047183358473165</v>
      </c>
      <c r="L89" s="13">
        <f t="shared" si="16"/>
        <v>2.0202916861192173</v>
      </c>
      <c r="M89" s="13">
        <v>3443</v>
      </c>
      <c r="N89" s="89">
        <f t="shared" si="78"/>
        <v>0.42004899019026948</v>
      </c>
      <c r="O89" s="331"/>
      <c r="P89" s="89">
        <f t="shared" si="71"/>
        <v>4.9999999999991829E-2</v>
      </c>
      <c r="Q89" s="331"/>
      <c r="R89" s="20">
        <f t="shared" si="72"/>
        <v>8.4009798038067629</v>
      </c>
      <c r="S89" s="347"/>
      <c r="T89" s="15">
        <f t="shared" si="19"/>
        <v>4.3214640110781986</v>
      </c>
      <c r="U89" s="130">
        <f t="shared" si="73"/>
        <v>6.4087588643824736E-5</v>
      </c>
      <c r="V89" s="13">
        <f t="shared" si="74"/>
        <v>1.0545279340545832E-4</v>
      </c>
      <c r="W89" s="13">
        <f t="shared" si="51"/>
        <v>1.0247071007140056</v>
      </c>
      <c r="X89" s="13">
        <f t="shared" si="38"/>
        <v>58.711392107999508</v>
      </c>
      <c r="Y89" s="130">
        <f t="shared" si="39"/>
        <v>6.3355451847380007E-5</v>
      </c>
      <c r="Z89" s="141">
        <f t="shared" si="40"/>
        <v>-6.0419999999936636E-3</v>
      </c>
      <c r="AA89" s="142">
        <f t="shared" si="41"/>
        <v>301.28860789200047</v>
      </c>
      <c r="AB89" s="13">
        <v>200</v>
      </c>
      <c r="AC89" s="13">
        <v>13</v>
      </c>
      <c r="AD89" s="13">
        <f t="shared" si="22"/>
        <v>4</v>
      </c>
      <c r="AE89" s="161">
        <f t="shared" si="23"/>
        <v>101.28860789200047</v>
      </c>
      <c r="AF89" s="15">
        <f t="shared" si="56"/>
        <v>0.16524095932634086</v>
      </c>
      <c r="AG89" s="366"/>
      <c r="AH89" s="331"/>
      <c r="AI89" s="339"/>
      <c r="AJ89" s="85">
        <f t="shared" si="57"/>
        <v>1.5220432276849805</v>
      </c>
      <c r="AK89" s="13">
        <f t="shared" si="2"/>
        <v>0.33</v>
      </c>
      <c r="AL89" s="15">
        <f t="shared" si="24"/>
        <v>14.330886011442766</v>
      </c>
      <c r="AM89" s="15">
        <f t="shared" si="25"/>
        <v>7.1980352401458214</v>
      </c>
      <c r="AN89" s="15">
        <f t="shared" si="58"/>
        <v>9.0525882997694875</v>
      </c>
      <c r="AO89" s="15">
        <f t="shared" si="26"/>
        <v>4.6566514214014241</v>
      </c>
      <c r="AP89" s="15">
        <f t="shared" si="27"/>
        <v>0.1780576087520763</v>
      </c>
      <c r="AQ89" s="20">
        <f t="shared" si="59"/>
        <v>4.6400982379919506E-2</v>
      </c>
      <c r="AR89" s="13">
        <f t="shared" si="60"/>
        <v>273284290.48830587</v>
      </c>
      <c r="AS89" s="13">
        <f t="shared" si="28"/>
        <v>1.81028203805918E-3</v>
      </c>
      <c r="AT89" s="15">
        <f t="shared" si="61"/>
        <v>648.4890703792737</v>
      </c>
      <c r="AU89" s="13">
        <f t="shared" si="62"/>
        <v>25043.380748695832</v>
      </c>
      <c r="AV89" s="339"/>
      <c r="AW89" s="339"/>
      <c r="AX89" s="356"/>
      <c r="AY89" s="339"/>
      <c r="AZ89" s="339"/>
      <c r="BA89" s="331"/>
      <c r="BB89" s="331"/>
      <c r="BC89" s="331"/>
      <c r="BD89" s="339"/>
      <c r="BE89" s="339"/>
      <c r="BF89" s="339"/>
      <c r="BG89" s="339"/>
      <c r="BH89" s="337"/>
      <c r="BI89" s="331"/>
      <c r="BJ89" s="331"/>
      <c r="BK89" s="331"/>
      <c r="BL89" s="15">
        <f t="shared" si="63"/>
        <v>-3.2740545592667793E-2</v>
      </c>
      <c r="BM89" s="20">
        <f t="shared" si="75"/>
        <v>1436.3918899511027</v>
      </c>
      <c r="BN89" s="20">
        <f t="shared" si="64"/>
        <v>8152.3414563309907</v>
      </c>
      <c r="BO89" s="20">
        <f t="shared" si="65"/>
        <v>66.635672854611443</v>
      </c>
      <c r="BP89" s="20">
        <f t="shared" si="30"/>
        <v>76.631023782803155</v>
      </c>
      <c r="BQ89" s="15">
        <f t="shared" si="31"/>
        <v>356.84396582163663</v>
      </c>
      <c r="BR89" s="15">
        <f t="shared" si="66"/>
        <v>3.3881376361580364</v>
      </c>
      <c r="BS89" s="6">
        <f t="shared" si="67"/>
        <v>853.09010802004252</v>
      </c>
      <c r="BT89" s="15">
        <f t="shared" si="68"/>
        <v>870.50011022453316</v>
      </c>
      <c r="BU89" s="13">
        <f t="shared" si="69"/>
        <v>1045.0181395252498</v>
      </c>
      <c r="BV89" s="13">
        <f t="shared" si="32"/>
        <v>522.5090697626249</v>
      </c>
      <c r="BW89" s="13">
        <f t="shared" si="33"/>
        <v>522.5090697626249</v>
      </c>
      <c r="BX89" s="139">
        <f t="shared" si="70"/>
        <v>49.76276854882142</v>
      </c>
      <c r="BY89" s="15">
        <f t="shared" si="76"/>
        <v>4.3446921977811411E-3</v>
      </c>
      <c r="BZ89" s="15">
        <f t="shared" si="77"/>
        <v>4.3446921977811411E-3</v>
      </c>
      <c r="CA89" s="66">
        <f t="shared" si="83"/>
        <v>8.6893843955622822E-3</v>
      </c>
      <c r="CB89" s="331"/>
      <c r="CC89" s="362"/>
      <c r="CD89" s="362"/>
      <c r="CE89" s="362"/>
      <c r="CF89" s="115"/>
    </row>
    <row r="90" spans="3:84" ht="15.75" x14ac:dyDescent="0.3">
      <c r="C90" s="13">
        <v>60</v>
      </c>
      <c r="D90" s="379"/>
      <c r="E90" s="379"/>
      <c r="F90" s="19" t="s">
        <v>128</v>
      </c>
      <c r="G90" s="255">
        <v>0.96180555555555547</v>
      </c>
      <c r="H90" s="54">
        <v>0.96180555555554703</v>
      </c>
      <c r="I90" s="82">
        <v>-8.6179880000000004</v>
      </c>
      <c r="J90" s="13">
        <v>115.748115</v>
      </c>
      <c r="K90" s="13">
        <f t="shared" si="16"/>
        <v>-0.15041226549736109</v>
      </c>
      <c r="L90" s="13">
        <f t="shared" si="16"/>
        <v>2.0201857097270364</v>
      </c>
      <c r="M90" s="13">
        <v>3443</v>
      </c>
      <c r="N90" s="89">
        <f t="shared" si="78"/>
        <v>0.41497900154563272</v>
      </c>
      <c r="O90" s="331"/>
      <c r="P90" s="89">
        <f t="shared" si="71"/>
        <v>4.9999999999991829E-2</v>
      </c>
      <c r="Q90" s="358"/>
      <c r="R90" s="20">
        <f t="shared" si="72"/>
        <v>8.2995800309140115</v>
      </c>
      <c r="S90" s="348"/>
      <c r="T90" s="15">
        <f t="shared" si="19"/>
        <v>4.2693039679021672</v>
      </c>
      <c r="U90" s="130">
        <f t="shared" si="73"/>
        <v>6.0255892780178241E-5</v>
      </c>
      <c r="V90" s="13">
        <f t="shared" si="74"/>
        <v>1.0597639218090649E-4</v>
      </c>
      <c r="W90" s="13">
        <f t="shared" si="51"/>
        <v>1.0538014035854759</v>
      </c>
      <c r="X90" s="13">
        <f t="shared" si="38"/>
        <v>60.378372870410111</v>
      </c>
      <c r="Y90" s="130">
        <f t="shared" si="39"/>
        <v>5.956808737056507E-5</v>
      </c>
      <c r="Z90" s="141">
        <f t="shared" si="40"/>
        <v>-6.072000000003186E-3</v>
      </c>
      <c r="AA90" s="142">
        <f t="shared" si="41"/>
        <v>299.62162712958991</v>
      </c>
      <c r="AB90" s="13">
        <v>200</v>
      </c>
      <c r="AC90" s="13">
        <v>13</v>
      </c>
      <c r="AD90" s="13">
        <f t="shared" si="22"/>
        <v>4</v>
      </c>
      <c r="AE90" s="161">
        <f t="shared" si="23"/>
        <v>99.621627129589911</v>
      </c>
      <c r="AF90" s="15">
        <f t="shared" si="56"/>
        <v>0.16324650199641386</v>
      </c>
      <c r="AG90" s="366"/>
      <c r="AH90" s="331"/>
      <c r="AI90" s="339"/>
      <c r="AJ90" s="85">
        <f t="shared" si="57"/>
        <v>1.5333843669925336</v>
      </c>
      <c r="AK90" s="13">
        <f t="shared" si="2"/>
        <v>0.33</v>
      </c>
      <c r="AL90" s="15">
        <f t="shared" si="24"/>
        <v>14.330886011442766</v>
      </c>
      <c r="AM90" s="15">
        <f t="shared" si="25"/>
        <v>7.2516696697824461</v>
      </c>
      <c r="AN90" s="15">
        <f t="shared" si="58"/>
        <v>8.9484953544333461</v>
      </c>
      <c r="AO90" s="15">
        <f t="shared" si="26"/>
        <v>4.6031060103205128</v>
      </c>
      <c r="AP90" s="15">
        <f t="shared" si="27"/>
        <v>0.17601017874413194</v>
      </c>
      <c r="AQ90" s="20">
        <f t="shared" si="59"/>
        <v>4.6374165165101192E-2</v>
      </c>
      <c r="AR90" s="13">
        <f t="shared" si="60"/>
        <v>270141877.97941601</v>
      </c>
      <c r="AS90" s="13">
        <f t="shared" si="28"/>
        <v>1.8131106221879812E-3</v>
      </c>
      <c r="AT90" s="15">
        <f t="shared" si="61"/>
        <v>634.65136062398778</v>
      </c>
      <c r="AU90" s="13">
        <f t="shared" si="62"/>
        <v>24508.995436867997</v>
      </c>
      <c r="AV90" s="339"/>
      <c r="AW90" s="339"/>
      <c r="AX90" s="356"/>
      <c r="AY90" s="339"/>
      <c r="AZ90" s="339"/>
      <c r="BA90" s="331"/>
      <c r="BB90" s="331"/>
      <c r="BC90" s="331"/>
      <c r="BD90" s="339"/>
      <c r="BE90" s="339"/>
      <c r="BF90" s="339"/>
      <c r="BG90" s="339"/>
      <c r="BH90" s="337"/>
      <c r="BI90" s="331"/>
      <c r="BJ90" s="331"/>
      <c r="BK90" s="331"/>
      <c r="BL90" s="15">
        <f t="shared" si="63"/>
        <v>-3.041108005488332E-2</v>
      </c>
      <c r="BM90" s="20">
        <f t="shared" si="75"/>
        <v>1262.6369652969945</v>
      </c>
      <c r="BN90" s="20">
        <f t="shared" si="64"/>
        <v>7965.9367944686965</v>
      </c>
      <c r="BO90" s="20">
        <f t="shared" si="65"/>
        <v>65.058223683118797</v>
      </c>
      <c r="BP90" s="20">
        <f t="shared" si="30"/>
        <v>74.816957235586614</v>
      </c>
      <c r="BQ90" s="15">
        <f t="shared" si="31"/>
        <v>344.39038552502154</v>
      </c>
      <c r="BR90" s="15">
        <f t="shared" si="66"/>
        <v>3.3491784772884232</v>
      </c>
      <c r="BS90" s="6">
        <f t="shared" si="67"/>
        <v>823.31791855338395</v>
      </c>
      <c r="BT90" s="15">
        <f t="shared" si="68"/>
        <v>840.12032505447348</v>
      </c>
      <c r="BU90" s="13">
        <f t="shared" si="69"/>
        <v>1008.5478091890438</v>
      </c>
      <c r="BV90" s="13">
        <f t="shared" si="32"/>
        <v>504.27390459452192</v>
      </c>
      <c r="BW90" s="13">
        <f t="shared" si="33"/>
        <v>504.27390459452192</v>
      </c>
      <c r="BX90" s="139">
        <f t="shared" si="70"/>
        <v>48.026086151859232</v>
      </c>
      <c r="BY90" s="15">
        <f t="shared" si="76"/>
        <v>4.1906424161489379E-3</v>
      </c>
      <c r="BZ90" s="15">
        <f t="shared" si="77"/>
        <v>4.1906424161489379E-3</v>
      </c>
      <c r="CA90" s="66">
        <f t="shared" si="83"/>
        <v>8.3812848322978757E-3</v>
      </c>
      <c r="CB90" s="331"/>
      <c r="CC90" s="360">
        <f t="shared" ref="CC90" si="100">SUM(CA90:CA94)*1000</f>
        <v>42.48232881289902</v>
      </c>
      <c r="CD90" s="360">
        <v>50</v>
      </c>
      <c r="CE90" s="360">
        <f t="shared" ref="CE90" si="101">AVERAGE(AN90:AN94)</f>
        <v>8.9383042891287765</v>
      </c>
      <c r="CF90" s="115"/>
    </row>
    <row r="91" spans="3:84" ht="15.75" x14ac:dyDescent="0.3">
      <c r="C91" s="13">
        <v>61</v>
      </c>
      <c r="D91" s="379"/>
      <c r="E91" s="379"/>
      <c r="F91" s="19" t="s">
        <v>128</v>
      </c>
      <c r="G91" s="256"/>
      <c r="H91" s="54">
        <v>0.96388888888888002</v>
      </c>
      <c r="I91" s="82">
        <v>-8.6137890000000006</v>
      </c>
      <c r="J91" s="13">
        <v>115.74154</v>
      </c>
      <c r="K91" s="13">
        <f t="shared" si="16"/>
        <v>-0.15033897912206984</v>
      </c>
      <c r="L91" s="13">
        <f t="shared" si="16"/>
        <v>2.0200709543287179</v>
      </c>
      <c r="M91" s="13">
        <v>3443</v>
      </c>
      <c r="N91" s="89">
        <f t="shared" si="78"/>
        <v>0.46504911119493492</v>
      </c>
      <c r="O91" s="331">
        <f>SUM(N91:N95)</f>
        <v>2.2175740099679575</v>
      </c>
      <c r="P91" s="89">
        <f t="shared" si="71"/>
        <v>4.9999999999991829E-2</v>
      </c>
      <c r="Q91" s="357">
        <f t="shared" ref="Q91" si="102">SUM(P91:P95)</f>
        <v>0.24999999999995914</v>
      </c>
      <c r="R91" s="20">
        <f t="shared" si="72"/>
        <v>9.3009822239002187</v>
      </c>
      <c r="S91" s="346">
        <f t="shared" ref="S91" si="103">AVERAGE(R91:R95)</f>
        <v>8.8702960398732795</v>
      </c>
      <c r="T91" s="15">
        <f t="shared" si="19"/>
        <v>4.7844252559742726</v>
      </c>
      <c r="U91" s="130">
        <f t="shared" si="73"/>
        <v>7.4131829169723929E-5</v>
      </c>
      <c r="V91" s="13">
        <f t="shared" si="74"/>
        <v>1.1475539831851123E-4</v>
      </c>
      <c r="W91" s="13">
        <f t="shared" si="51"/>
        <v>0.99723917087636615</v>
      </c>
      <c r="X91" s="13">
        <f t="shared" si="38"/>
        <v>57.137595656341304</v>
      </c>
      <c r="Y91" s="130">
        <f t="shared" si="39"/>
        <v>7.3286375291248262E-5</v>
      </c>
      <c r="Z91" s="141">
        <f t="shared" si="40"/>
        <v>-6.5749999999979991E-3</v>
      </c>
      <c r="AA91" s="142">
        <f t="shared" si="41"/>
        <v>302.86240434365868</v>
      </c>
      <c r="AB91" s="13">
        <v>200</v>
      </c>
      <c r="AC91" s="13">
        <v>13</v>
      </c>
      <c r="AD91" s="13">
        <f t="shared" si="22"/>
        <v>4</v>
      </c>
      <c r="AE91" s="161">
        <f t="shared" si="23"/>
        <v>102.86240434365868</v>
      </c>
      <c r="AF91" s="15">
        <f t="shared" si="56"/>
        <v>0.18294333056938117</v>
      </c>
      <c r="AG91" s="366"/>
      <c r="AH91" s="331"/>
      <c r="AI91" s="339"/>
      <c r="AJ91" s="85">
        <f t="shared" si="57"/>
        <v>1.4179995302383139</v>
      </c>
      <c r="AK91" s="13">
        <f t="shared" si="2"/>
        <v>0.33</v>
      </c>
      <c r="AL91" s="15">
        <f t="shared" si="24"/>
        <v>14.330886011442766</v>
      </c>
      <c r="AM91" s="15">
        <f t="shared" si="25"/>
        <v>6.7059925786011405</v>
      </c>
      <c r="AN91" s="15">
        <f t="shared" si="58"/>
        <v>9.9695387527825829</v>
      </c>
      <c r="AO91" s="15">
        <f t="shared" si="26"/>
        <v>5.1283307344313602</v>
      </c>
      <c r="AP91" s="15">
        <f t="shared" si="27"/>
        <v>0.19609333506604135</v>
      </c>
      <c r="AQ91" s="20">
        <f t="shared" si="59"/>
        <v>4.664700371069181E-2</v>
      </c>
      <c r="AR91" s="13">
        <f t="shared" si="60"/>
        <v>300965672.3944062</v>
      </c>
      <c r="AS91" s="13">
        <f t="shared" si="28"/>
        <v>1.7869403800825569E-3</v>
      </c>
      <c r="AT91" s="15">
        <f t="shared" si="61"/>
        <v>776.3741626400448</v>
      </c>
      <c r="AU91" s="13">
        <f t="shared" si="62"/>
        <v>29982.053123999667</v>
      </c>
      <c r="AV91" s="339"/>
      <c r="AW91" s="339"/>
      <c r="AX91" s="356"/>
      <c r="AY91" s="339"/>
      <c r="AZ91" s="339"/>
      <c r="BA91" s="331"/>
      <c r="BB91" s="331"/>
      <c r="BC91" s="331"/>
      <c r="BD91" s="339"/>
      <c r="BE91" s="339"/>
      <c r="BF91" s="339"/>
      <c r="BG91" s="339"/>
      <c r="BH91" s="337"/>
      <c r="BI91" s="331"/>
      <c r="BJ91" s="331"/>
      <c r="BK91" s="331"/>
      <c r="BL91" s="15">
        <f t="shared" si="63"/>
        <v>-5.6947783993360958E-2</v>
      </c>
      <c r="BM91" s="20">
        <f t="shared" si="75"/>
        <v>4036.8263330217992</v>
      </c>
      <c r="BN91" s="20">
        <f t="shared" si="64"/>
        <v>9887.5104149361759</v>
      </c>
      <c r="BO91" s="20">
        <f t="shared" si="65"/>
        <v>82.221200820089962</v>
      </c>
      <c r="BP91" s="20">
        <f t="shared" si="30"/>
        <v>94.554380943103453</v>
      </c>
      <c r="BQ91" s="15">
        <f t="shared" si="31"/>
        <v>484.90613786564836</v>
      </c>
      <c r="BR91" s="15">
        <f t="shared" si="66"/>
        <v>3.731327256349307</v>
      </c>
      <c r="BS91" s="6">
        <f t="shared" si="67"/>
        <v>1159.2423276064419</v>
      </c>
      <c r="BT91" s="15">
        <f t="shared" si="68"/>
        <v>1182.9003342922877</v>
      </c>
      <c r="BU91" s="13">
        <f t="shared" si="69"/>
        <v>1420.0484205189528</v>
      </c>
      <c r="BV91" s="13">
        <f t="shared" si="32"/>
        <v>710.02421025947638</v>
      </c>
      <c r="BW91" s="13">
        <f t="shared" si="33"/>
        <v>710.02421025947638</v>
      </c>
      <c r="BX91" s="139">
        <f t="shared" si="70"/>
        <v>67.621353358045369</v>
      </c>
      <c r="BY91" s="15">
        <f t="shared" si="76"/>
        <v>5.9351939531413428E-3</v>
      </c>
      <c r="BZ91" s="15">
        <f t="shared" si="77"/>
        <v>5.9351939531413428E-3</v>
      </c>
      <c r="CA91" s="66">
        <f t="shared" si="83"/>
        <v>1.1870387906282686E-2</v>
      </c>
      <c r="CB91" s="331"/>
      <c r="CC91" s="361"/>
      <c r="CD91" s="361"/>
      <c r="CE91" s="361"/>
      <c r="CF91" s="115"/>
    </row>
    <row r="92" spans="3:84" ht="15.75" x14ac:dyDescent="0.3">
      <c r="C92" s="13">
        <v>62</v>
      </c>
      <c r="D92" s="379"/>
      <c r="E92" s="379"/>
      <c r="F92" s="19" t="s">
        <v>128</v>
      </c>
      <c r="G92" s="256"/>
      <c r="H92" s="54">
        <v>0.96597222222221302</v>
      </c>
      <c r="I92" s="82">
        <v>-8.6104620000000001</v>
      </c>
      <c r="J92" s="13">
        <v>115.736029</v>
      </c>
      <c r="K92" s="13">
        <f t="shared" si="16"/>
        <v>-0.15028091201785598</v>
      </c>
      <c r="L92" s="13">
        <f t="shared" si="16"/>
        <v>2.0199747692336403</v>
      </c>
      <c r="M92" s="13">
        <v>3443</v>
      </c>
      <c r="N92" s="89">
        <f t="shared" si="78"/>
        <v>0.38364212080521165</v>
      </c>
      <c r="O92" s="331"/>
      <c r="P92" s="89">
        <f t="shared" si="71"/>
        <v>4.9999999999991829E-2</v>
      </c>
      <c r="Q92" s="331"/>
      <c r="R92" s="20">
        <f t="shared" si="72"/>
        <v>7.6728424161054871</v>
      </c>
      <c r="S92" s="347"/>
      <c r="T92" s="15">
        <f t="shared" si="19"/>
        <v>3.9469101388446624</v>
      </c>
      <c r="U92" s="130">
        <f t="shared" si="73"/>
        <v>5.8736396435278391E-5</v>
      </c>
      <c r="V92" s="13">
        <f t="shared" si="74"/>
        <v>9.6185095077583327E-5</v>
      </c>
      <c r="W92" s="13">
        <f t="shared" si="51"/>
        <v>1.0225753921897625</v>
      </c>
      <c r="X92" s="13">
        <f t="shared" si="38"/>
        <v>58.589254206408313</v>
      </c>
      <c r="Y92" s="130">
        <f t="shared" si="39"/>
        <v>5.8067104213854748E-5</v>
      </c>
      <c r="Z92" s="141">
        <f t="shared" si="40"/>
        <v>-5.5109999999984893E-3</v>
      </c>
      <c r="AA92" s="142">
        <f t="shared" si="41"/>
        <v>301.41074579359167</v>
      </c>
      <c r="AB92" s="13">
        <v>200</v>
      </c>
      <c r="AC92" s="13">
        <v>13</v>
      </c>
      <c r="AD92" s="13">
        <f t="shared" si="22"/>
        <v>4</v>
      </c>
      <c r="AE92" s="161">
        <f t="shared" si="23"/>
        <v>101.41074579359167</v>
      </c>
      <c r="AF92" s="15">
        <f t="shared" si="56"/>
        <v>0.15091904411228282</v>
      </c>
      <c r="AG92" s="366"/>
      <c r="AH92" s="331"/>
      <c r="AI92" s="339"/>
      <c r="AJ92" s="85">
        <f t="shared" si="57"/>
        <v>1.601769778324371</v>
      </c>
      <c r="AK92" s="13">
        <f t="shared" si="2"/>
        <v>0.33</v>
      </c>
      <c r="AL92" s="15">
        <f t="shared" si="24"/>
        <v>14.330886011442766</v>
      </c>
      <c r="AM92" s="15">
        <f t="shared" si="25"/>
        <v>7.575077436214368</v>
      </c>
      <c r="AN92" s="15">
        <f t="shared" si="58"/>
        <v>8.3017028343304204</v>
      </c>
      <c r="AO92" s="15">
        <f t="shared" si="26"/>
        <v>4.2703959379795684</v>
      </c>
      <c r="AP92" s="15">
        <f t="shared" si="27"/>
        <v>0.1632882559443081</v>
      </c>
      <c r="AQ92" s="20">
        <f t="shared" si="59"/>
        <v>4.6212461281885255E-2</v>
      </c>
      <c r="AR92" s="13">
        <f t="shared" si="60"/>
        <v>250616165.65314442</v>
      </c>
      <c r="AS92" s="13">
        <f t="shared" si="28"/>
        <v>1.8316218275365348E-3</v>
      </c>
      <c r="AT92" s="15">
        <f t="shared" si="61"/>
        <v>551.79918733446118</v>
      </c>
      <c r="AU92" s="13">
        <f t="shared" si="62"/>
        <v>21309.406397791332</v>
      </c>
      <c r="AV92" s="339"/>
      <c r="AW92" s="339"/>
      <c r="AX92" s="356"/>
      <c r="AY92" s="339"/>
      <c r="AZ92" s="339"/>
      <c r="BA92" s="331"/>
      <c r="BB92" s="331"/>
      <c r="BC92" s="331"/>
      <c r="BD92" s="339"/>
      <c r="BE92" s="339"/>
      <c r="BF92" s="339"/>
      <c r="BG92" s="339"/>
      <c r="BH92" s="337"/>
      <c r="BI92" s="331"/>
      <c r="BJ92" s="331"/>
      <c r="BK92" s="331"/>
      <c r="BL92" s="15">
        <f t="shared" si="63"/>
        <v>-1.8033504686688396E-2</v>
      </c>
      <c r="BM92" s="20">
        <f t="shared" si="75"/>
        <v>533.82883743458331</v>
      </c>
      <c r="BN92" s="20">
        <f t="shared" si="64"/>
        <v>6856.0060017740961</v>
      </c>
      <c r="BO92" s="20">
        <f t="shared" si="65"/>
        <v>55.931061358576059</v>
      </c>
      <c r="BP92" s="20">
        <f t="shared" si="30"/>
        <v>64.320720562362467</v>
      </c>
      <c r="BQ92" s="15">
        <f t="shared" si="31"/>
        <v>274.6749438174316</v>
      </c>
      <c r="BR92" s="15">
        <f t="shared" si="66"/>
        <v>3.1071016250579926</v>
      </c>
      <c r="BS92" s="6">
        <f t="shared" si="67"/>
        <v>656.65248661857606</v>
      </c>
      <c r="BT92" s="15">
        <f t="shared" si="68"/>
        <v>670.05355777405725</v>
      </c>
      <c r="BU92" s="13">
        <f t="shared" si="69"/>
        <v>804.38602373836409</v>
      </c>
      <c r="BV92" s="13">
        <f t="shared" si="32"/>
        <v>402.19301186918204</v>
      </c>
      <c r="BW92" s="13">
        <f t="shared" si="33"/>
        <v>402.19301186918204</v>
      </c>
      <c r="BX92" s="139">
        <f t="shared" si="70"/>
        <v>38.304096368493532</v>
      </c>
      <c r="BY92" s="15">
        <f t="shared" si="76"/>
        <v>3.3306701548018111E-3</v>
      </c>
      <c r="BZ92" s="15">
        <f t="shared" si="77"/>
        <v>3.3306701548018111E-3</v>
      </c>
      <c r="CA92" s="66">
        <f t="shared" si="83"/>
        <v>6.6613403096036222E-3</v>
      </c>
      <c r="CB92" s="331"/>
      <c r="CC92" s="361"/>
      <c r="CD92" s="361"/>
      <c r="CE92" s="361"/>
      <c r="CF92" s="115"/>
    </row>
    <row r="93" spans="3:84" ht="15.75" x14ac:dyDescent="0.3">
      <c r="C93" s="13">
        <v>63</v>
      </c>
      <c r="D93" s="379"/>
      <c r="E93" s="379"/>
      <c r="F93" s="19" t="s">
        <v>128</v>
      </c>
      <c r="G93" s="256"/>
      <c r="H93" s="54">
        <v>0.96805555555554601</v>
      </c>
      <c r="I93" s="82">
        <v>-8.6068339999999992</v>
      </c>
      <c r="J93" s="13">
        <v>115.730191</v>
      </c>
      <c r="K93" s="13">
        <f t="shared" si="16"/>
        <v>-0.15021759147259361</v>
      </c>
      <c r="L93" s="13">
        <f t="shared" si="16"/>
        <v>2.0198728769119092</v>
      </c>
      <c r="M93" s="13">
        <v>3443</v>
      </c>
      <c r="N93" s="89">
        <f t="shared" si="78"/>
        <v>0.40968693824952923</v>
      </c>
      <c r="O93" s="331"/>
      <c r="P93" s="89">
        <f t="shared" si="71"/>
        <v>4.9999999999991829E-2</v>
      </c>
      <c r="Q93" s="331"/>
      <c r="R93" s="20">
        <f t="shared" si="72"/>
        <v>8.1937387649919238</v>
      </c>
      <c r="S93" s="347"/>
      <c r="T93" s="15">
        <f t="shared" si="19"/>
        <v>4.2148592207118449</v>
      </c>
      <c r="U93" s="130">
        <f t="shared" si="73"/>
        <v>6.4049797813472089E-5</v>
      </c>
      <c r="V93" s="13">
        <f t="shared" si="74"/>
        <v>1.0189232173107854E-4</v>
      </c>
      <c r="W93" s="13">
        <f t="shared" si="51"/>
        <v>1.0096104344982975</v>
      </c>
      <c r="X93" s="13">
        <f t="shared" si="38"/>
        <v>57.846416849121695</v>
      </c>
      <c r="Y93" s="130">
        <f t="shared" si="39"/>
        <v>6.3320545262368633E-5</v>
      </c>
      <c r="Z93" s="141">
        <f t="shared" si="40"/>
        <v>-5.8379999999971233E-3</v>
      </c>
      <c r="AA93" s="142">
        <f t="shared" si="41"/>
        <v>302.15358315087832</v>
      </c>
      <c r="AB93" s="13">
        <v>200</v>
      </c>
      <c r="AC93" s="13">
        <v>13</v>
      </c>
      <c r="AD93" s="13">
        <f t="shared" si="22"/>
        <v>4</v>
      </c>
      <c r="AE93" s="161">
        <f t="shared" si="23"/>
        <v>102.15358315087832</v>
      </c>
      <c r="AF93" s="15">
        <f t="shared" si="56"/>
        <v>0.16116468383642313</v>
      </c>
      <c r="AG93" s="366"/>
      <c r="AH93" s="331"/>
      <c r="AI93" s="339"/>
      <c r="AJ93" s="85">
        <f t="shared" si="57"/>
        <v>1.5451399538428283</v>
      </c>
      <c r="AK93" s="13">
        <f t="shared" si="2"/>
        <v>0.33</v>
      </c>
      <c r="AL93" s="15">
        <f t="shared" si="24"/>
        <v>14.330886011442766</v>
      </c>
      <c r="AM93" s="15">
        <f t="shared" si="25"/>
        <v>7.3072641015816782</v>
      </c>
      <c r="AN93" s="15">
        <f t="shared" si="58"/>
        <v>8.83967733347672</v>
      </c>
      <c r="AO93" s="15">
        <f t="shared" si="26"/>
        <v>4.5471300203404246</v>
      </c>
      <c r="AP93" s="15">
        <f t="shared" si="27"/>
        <v>0.17386981004967098</v>
      </c>
      <c r="AQ93" s="20">
        <f t="shared" si="59"/>
        <v>4.6346367949201592E-2</v>
      </c>
      <c r="AR93" s="13">
        <f t="shared" si="60"/>
        <v>266856822.40583709</v>
      </c>
      <c r="AS93" s="13">
        <f t="shared" si="28"/>
        <v>1.8161102231968539E-3</v>
      </c>
      <c r="AT93" s="15">
        <f t="shared" si="61"/>
        <v>620.33446079264888</v>
      </c>
      <c r="AU93" s="13">
        <f t="shared" si="62"/>
        <v>23956.104740641676</v>
      </c>
      <c r="AV93" s="339"/>
      <c r="AW93" s="339"/>
      <c r="AX93" s="356"/>
      <c r="AY93" s="339"/>
      <c r="AZ93" s="339"/>
      <c r="BA93" s="331"/>
      <c r="BB93" s="331"/>
      <c r="BC93" s="331"/>
      <c r="BD93" s="339"/>
      <c r="BE93" s="339"/>
      <c r="BF93" s="339"/>
      <c r="BG93" s="339"/>
      <c r="BH93" s="337"/>
      <c r="BI93" s="331"/>
      <c r="BJ93" s="331"/>
      <c r="BK93" s="331"/>
      <c r="BL93" s="15">
        <f t="shared" si="63"/>
        <v>-2.8074031288713403E-2</v>
      </c>
      <c r="BM93" s="20">
        <f t="shared" si="75"/>
        <v>1100.4291319667479</v>
      </c>
      <c r="BN93" s="20">
        <f t="shared" si="64"/>
        <v>7773.3755063550107</v>
      </c>
      <c r="BO93" s="20">
        <f t="shared" si="65"/>
        <v>63.444011101590753</v>
      </c>
      <c r="BP93" s="20">
        <f t="shared" si="30"/>
        <v>72.960612766829371</v>
      </c>
      <c r="BQ93" s="15">
        <f t="shared" si="31"/>
        <v>331.7613926144827</v>
      </c>
      <c r="BR93" s="15">
        <f t="shared" si="66"/>
        <v>3.3084508511016932</v>
      </c>
      <c r="BS93" s="6">
        <f t="shared" si="67"/>
        <v>793.12637838980163</v>
      </c>
      <c r="BT93" s="15">
        <f t="shared" si="68"/>
        <v>809.31263101000172</v>
      </c>
      <c r="BU93" s="13">
        <f t="shared" si="69"/>
        <v>971.5637827250921</v>
      </c>
      <c r="BV93" s="13">
        <f t="shared" si="32"/>
        <v>485.78189136254605</v>
      </c>
      <c r="BW93" s="13">
        <f t="shared" si="33"/>
        <v>485.78189136254605</v>
      </c>
      <c r="BX93" s="139">
        <f t="shared" si="70"/>
        <v>46.264942034528197</v>
      </c>
      <c r="BY93" s="15">
        <f t="shared" si="76"/>
        <v>4.0345493494024559E-3</v>
      </c>
      <c r="BZ93" s="15">
        <f t="shared" si="77"/>
        <v>4.0345493494024559E-3</v>
      </c>
      <c r="CA93" s="66">
        <f t="shared" si="83"/>
        <v>8.0690986988049117E-3</v>
      </c>
      <c r="CB93" s="331"/>
      <c r="CC93" s="361"/>
      <c r="CD93" s="361"/>
      <c r="CE93" s="361"/>
      <c r="CF93" s="115"/>
    </row>
    <row r="94" spans="3:84" ht="15.75" x14ac:dyDescent="0.3">
      <c r="C94" s="13">
        <v>64</v>
      </c>
      <c r="D94" s="379"/>
      <c r="E94" s="379"/>
      <c r="F94" s="19" t="s">
        <v>128</v>
      </c>
      <c r="G94" s="257"/>
      <c r="H94" s="54">
        <v>0.970138888888879</v>
      </c>
      <c r="I94" s="82">
        <v>-8.603237</v>
      </c>
      <c r="J94" s="13">
        <v>115.72453400000001</v>
      </c>
      <c r="K94" s="13">
        <f t="shared" si="16"/>
        <v>-0.15015481197939939</v>
      </c>
      <c r="L94" s="13">
        <f t="shared" si="16"/>
        <v>2.0197741436361238</v>
      </c>
      <c r="M94" s="13">
        <v>3443</v>
      </c>
      <c r="N94" s="89">
        <f t="shared" si="78"/>
        <v>0.39961487708567817</v>
      </c>
      <c r="O94" s="331"/>
      <c r="P94" s="89">
        <f t="shared" si="71"/>
        <v>4.9999999999991829E-2</v>
      </c>
      <c r="Q94" s="331"/>
      <c r="R94" s="20">
        <f t="shared" si="72"/>
        <v>7.9922975417148692</v>
      </c>
      <c r="S94" s="347"/>
      <c r="T94" s="15">
        <f t="shared" si="19"/>
        <v>4.1112378554581284</v>
      </c>
      <c r="U94" s="130">
        <f t="shared" si="73"/>
        <v>6.3501905264411109E-5</v>
      </c>
      <c r="V94" s="13">
        <f t="shared" si="74"/>
        <v>9.8733275785356511E-5</v>
      </c>
      <c r="W94" s="13">
        <f t="shared" si="51"/>
        <v>0.99924019851110513</v>
      </c>
      <c r="X94" s="13">
        <f t="shared" si="38"/>
        <v>57.25224609450089</v>
      </c>
      <c r="Y94" s="130">
        <f t="shared" si="39"/>
        <v>6.2779493194220493E-5</v>
      </c>
      <c r="Z94" s="141">
        <f t="shared" si="40"/>
        <v>-5.656999999999357E-3</v>
      </c>
      <c r="AA94" s="142">
        <f t="shared" si="41"/>
        <v>302.74775390549911</v>
      </c>
      <c r="AB94" s="13">
        <v>200</v>
      </c>
      <c r="AC94" s="13">
        <v>13</v>
      </c>
      <c r="AD94" s="13">
        <f t="shared" si="22"/>
        <v>4</v>
      </c>
      <c r="AE94" s="161">
        <f t="shared" si="23"/>
        <v>102.74775390549911</v>
      </c>
      <c r="AF94" s="15">
        <f t="shared" si="56"/>
        <v>0.15720248635951825</v>
      </c>
      <c r="AG94" s="366"/>
      <c r="AH94" s="331"/>
      <c r="AI94" s="339"/>
      <c r="AJ94" s="85">
        <f t="shared" si="57"/>
        <v>1.5672813534403436</v>
      </c>
      <c r="AK94" s="13">
        <f t="shared" si="2"/>
        <v>0.33</v>
      </c>
      <c r="AL94" s="15">
        <f t="shared" si="24"/>
        <v>14.330886011442766</v>
      </c>
      <c r="AM94" s="15">
        <f t="shared" si="25"/>
        <v>7.4119750399243909</v>
      </c>
      <c r="AN94" s="15">
        <f t="shared" si="58"/>
        <v>8.6321071706208077</v>
      </c>
      <c r="AO94" s="15">
        <f t="shared" si="26"/>
        <v>4.4403559285673433</v>
      </c>
      <c r="AP94" s="15">
        <f t="shared" si="27"/>
        <v>0.16978706093720511</v>
      </c>
      <c r="AQ94" s="20">
        <f t="shared" si="59"/>
        <v>4.6294012480030233E-2</v>
      </c>
      <c r="AR94" s="13">
        <f t="shared" si="60"/>
        <v>260590585.30279064</v>
      </c>
      <c r="AS94" s="13">
        <f t="shared" si="28"/>
        <v>1.8219570760547674E-3</v>
      </c>
      <c r="AT94" s="15">
        <f t="shared" si="61"/>
        <v>593.44799603039053</v>
      </c>
      <c r="AU94" s="13">
        <f t="shared" si="62"/>
        <v>22917.802007746228</v>
      </c>
      <c r="AV94" s="339"/>
      <c r="AW94" s="339"/>
      <c r="AX94" s="356"/>
      <c r="AY94" s="339"/>
      <c r="AZ94" s="339"/>
      <c r="BA94" s="331"/>
      <c r="BB94" s="331"/>
      <c r="BC94" s="331"/>
      <c r="BD94" s="339"/>
      <c r="BE94" s="339"/>
      <c r="BF94" s="339"/>
      <c r="BG94" s="339"/>
      <c r="BH94" s="337"/>
      <c r="BI94" s="331"/>
      <c r="BJ94" s="331"/>
      <c r="BK94" s="331"/>
      <c r="BL94" s="15">
        <f t="shared" si="63"/>
        <v>-2.3899250670338788E-2</v>
      </c>
      <c r="BM94" s="20">
        <f t="shared" si="75"/>
        <v>839.83217642531872</v>
      </c>
      <c r="BN94" s="20">
        <f t="shared" si="64"/>
        <v>7412.598365223108</v>
      </c>
      <c r="BO94" s="20">
        <f t="shared" si="65"/>
        <v>60.457461400665018</v>
      </c>
      <c r="BP94" s="20">
        <f t="shared" si="30"/>
        <v>69.526080610764765</v>
      </c>
      <c r="BQ94" s="15">
        <f t="shared" si="31"/>
        <v>308.72054423006034</v>
      </c>
      <c r="BR94" s="15">
        <f t="shared" si="66"/>
        <v>3.2307629835408238</v>
      </c>
      <c r="BS94" s="6">
        <f t="shared" si="67"/>
        <v>738.04370439282832</v>
      </c>
      <c r="BT94" s="15">
        <f t="shared" si="68"/>
        <v>753.10582080900849</v>
      </c>
      <c r="BU94" s="13">
        <f t="shared" si="69"/>
        <v>904.08862041897783</v>
      </c>
      <c r="BV94" s="13">
        <f t="shared" si="32"/>
        <v>452.04431020948891</v>
      </c>
      <c r="BW94" s="13">
        <f t="shared" si="33"/>
        <v>452.04431020948891</v>
      </c>
      <c r="BX94" s="139">
        <f t="shared" si="70"/>
        <v>43.051839067570377</v>
      </c>
      <c r="BY94" s="15">
        <f t="shared" si="76"/>
        <v>3.7501085329549604E-3</v>
      </c>
      <c r="BZ94" s="15">
        <f t="shared" si="77"/>
        <v>3.7501085329549604E-3</v>
      </c>
      <c r="CA94" s="66">
        <f t="shared" si="83"/>
        <v>7.5002170659099207E-3</v>
      </c>
      <c r="CB94" s="331"/>
      <c r="CC94" s="362"/>
      <c r="CD94" s="362"/>
      <c r="CE94" s="362"/>
      <c r="CF94" s="115"/>
    </row>
    <row r="95" spans="3:84" ht="15.75" x14ac:dyDescent="0.3">
      <c r="C95" s="13">
        <v>65</v>
      </c>
      <c r="D95" s="379"/>
      <c r="E95" s="379"/>
      <c r="F95" s="19" t="s">
        <v>128</v>
      </c>
      <c r="G95" s="255">
        <v>0.97222222222222199</v>
      </c>
      <c r="H95" s="54">
        <v>0.972222222222212</v>
      </c>
      <c r="I95" s="82">
        <v>-8.5980889999999999</v>
      </c>
      <c r="J95" s="82">
        <v>115.716686</v>
      </c>
      <c r="K95" s="13">
        <f t="shared" si="16"/>
        <v>-0.15006496242950673</v>
      </c>
      <c r="L95" s="13">
        <f t="shared" si="16"/>
        <v>2.0196371701964271</v>
      </c>
      <c r="M95" s="13">
        <v>3443</v>
      </c>
      <c r="N95" s="89">
        <f t="shared" si="78"/>
        <v>0.5595809626326036</v>
      </c>
      <c r="O95" s="331"/>
      <c r="P95" s="89">
        <f t="shared" si="71"/>
        <v>4.9999999999991829E-2</v>
      </c>
      <c r="Q95" s="358"/>
      <c r="R95" s="20">
        <f t="shared" si="72"/>
        <v>11.191619252653901</v>
      </c>
      <c r="S95" s="348"/>
      <c r="T95" s="15">
        <f t="shared" si="19"/>
        <v>5.7569689435651661</v>
      </c>
      <c r="U95" s="130">
        <f t="shared" si="73"/>
        <v>9.0882405834431871E-5</v>
      </c>
      <c r="V95" s="13">
        <f t="shared" si="74"/>
        <v>1.3697343969676368E-4</v>
      </c>
      <c r="W95" s="13">
        <f t="shared" si="51"/>
        <v>0.98498655674294389</v>
      </c>
      <c r="X95" s="13">
        <f t="shared" si="38"/>
        <v>56.435572578493861</v>
      </c>
      <c r="Y95" s="130">
        <f t="shared" si="39"/>
        <v>8.9849549892662139E-5</v>
      </c>
      <c r="Z95" s="141">
        <f t="shared" si="40"/>
        <v>-7.8480000000098471E-3</v>
      </c>
      <c r="AA95" s="142">
        <f t="shared" si="41"/>
        <v>303.56442742150614</v>
      </c>
      <c r="AB95" s="13">
        <v>200</v>
      </c>
      <c r="AC95" s="13">
        <v>13</v>
      </c>
      <c r="AD95" s="13">
        <f t="shared" si="22"/>
        <v>4</v>
      </c>
      <c r="AE95" s="161">
        <f t="shared" si="23"/>
        <v>103.56442742150614</v>
      </c>
      <c r="AF95" s="15">
        <f t="shared" ref="AF95:AF126" si="104">T95/((9.81*$D$3)^0.5)</f>
        <v>0.22013074009363659</v>
      </c>
      <c r="AG95" s="366"/>
      <c r="AH95" s="331"/>
      <c r="AI95" s="339"/>
      <c r="AJ95" s="85">
        <f t="shared" ref="AJ95:AJ126" si="105">IF(AND(F95="NORMAL",AND($D$6&gt;=0.55,$D$6&lt;0.6)),1.7-1.4*AF95-7.4*AF95^2,IF(AND(F95="NORMAL",AND($D$6&gt;=0.6,$D$6&lt;0.65)),2.2-2.5*AF95-9.7*AF95^2,IF(AND(F95="NORMAL",AND($D$6&gt;=0.65,$D$6&lt;0.7)),2.6-3.7*AF95-11.6*AF95^2,IF(AND(F95="NORMAL",AND($D$6&gt;=0.7,$D$6&lt;0.75)),3.1-5.3*AF95-12.4*AF95^2,IF(AND(F95="NORMAL OR LOADED",AND($D$6&gt;=0.75,$D$6&lt;0.8)),2.4-10.6*AF95-9.5*AF95^2,IF(AND(F95="NORMAL OR LOADED",AND($D$6&gt;=0.8,$D$6&lt;0.85)),2.6-13.1*AF95-15.1*AF95^2,IF(AND(F95="NORMAL OR LOADED",AND($D$6&gt;=0.85,$D$6&lt;0.9)),3.1-18.7*AF95+28*AF95^2,IF(AND(F95="BALLAST",AND($D$6&gt;=0.75,$D$6&lt;0.8)),2.6-12.5*AF95-13.5*AF95^2,IF(AND(F95="BALLAST",AND($D$6&gt;=0.8,$D$6&lt;0.85)),IF(AND(F95="BALLAST",AND($D$6&gt;=0.85,$D$6&lt;0.9)),3.4-20.9*AF95+31.8*AF95^2))))))))))</f>
        <v>1.1796349852444385</v>
      </c>
      <c r="AK95" s="13">
        <f t="shared" ref="AK95:AK134" si="106">IF(AND(AE95&gt;=0,AE95&lt;=30),2/2,IF(AND(AE95&gt;30,AE95&lt;=60),(1.7-0.03*(AD95-4)^2)/2,IF(AND(AE95&gt;60,AE95&lt;=150),(0.9-0.06*(AD95-6)^2)/2,IF(AND(AE95&gt;150,AE95&lt;=180),(0.4-0.03*(AD95-8)^2)/2))))</f>
        <v>0.33</v>
      </c>
      <c r="AL95" s="15">
        <f t="shared" si="24"/>
        <v>14.330886011442766</v>
      </c>
      <c r="AM95" s="15">
        <f t="shared" si="25"/>
        <v>5.5787207878538467</v>
      </c>
      <c r="AN95" s="15">
        <f t="shared" ref="AN95:AN126" si="107">R95/(1-(0.01*AM95))</f>
        <v>11.852857053025643</v>
      </c>
      <c r="AO95" s="15">
        <f t="shared" si="26"/>
        <v>6.0971096680763903</v>
      </c>
      <c r="AP95" s="15">
        <f t="shared" si="27"/>
        <v>0.23313679070058546</v>
      </c>
      <c r="AQ95" s="20">
        <f t="shared" ref="AQ95:AQ126" si="108">N95/AN95</f>
        <v>4.7210639606065363E-2</v>
      </c>
      <c r="AR95" s="13">
        <f t="shared" ref="AR95:AR126" si="109">(AO95*$D$3)/$U$3</f>
        <v>357820274.45983672</v>
      </c>
      <c r="AS95" s="13">
        <f t="shared" si="28"/>
        <v>1.7461952185393451E-3</v>
      </c>
      <c r="AT95" s="15">
        <f t="shared" ref="AT95:AT126" si="110">0.5*1024*(AO95^2)*$W$5*$W$6*AS95</f>
        <v>1072.382621856932</v>
      </c>
      <c r="AU95" s="13">
        <f t="shared" ref="AU95:AU134" si="111">0.5*1024*AS95*$U$10*(AO95)^2</f>
        <v>41413.321417646825</v>
      </c>
      <c r="AV95" s="339"/>
      <c r="AW95" s="339"/>
      <c r="AX95" s="356"/>
      <c r="AY95" s="339"/>
      <c r="AZ95" s="339"/>
      <c r="BA95" s="331"/>
      <c r="BB95" s="331"/>
      <c r="BC95" s="331"/>
      <c r="BD95" s="339"/>
      <c r="BE95" s="339"/>
      <c r="BF95" s="339"/>
      <c r="BG95" s="339"/>
      <c r="BH95" s="337"/>
      <c r="BI95" s="331"/>
      <c r="BJ95" s="331"/>
      <c r="BK95" s="331"/>
      <c r="BL95" s="15">
        <f t="shared" ref="BL95:BL126" si="112">$BI$31*($G$6^2)*EXP(-0.1*(AP95^-2))</f>
        <v>-0.12186410857398604</v>
      </c>
      <c r="BM95" s="20">
        <f t="shared" si="75"/>
        <v>20485.805226525394</v>
      </c>
      <c r="BN95" s="20">
        <f t="shared" ref="BN95:BN126" si="113">0.5*1025*(AO95^2)*$AY$31*$W$3</f>
        <v>13976.000767374939</v>
      </c>
      <c r="BO95" s="20">
        <f t="shared" ref="BO95:BO126" si="114">((AU95*$U$8)+AT95+BM95+BN95)/1000</f>
        <v>128.79824025805331</v>
      </c>
      <c r="BP95" s="20">
        <f t="shared" si="30"/>
        <v>148.1179762967613</v>
      </c>
      <c r="BQ95" s="15">
        <f t="shared" si="31"/>
        <v>903.09154529489297</v>
      </c>
      <c r="BR95" s="15">
        <f t="shared" ref="BR95:BR126" si="115">(1-$AB$4)*AO95</f>
        <v>4.4362020835941491</v>
      </c>
      <c r="BS95" s="6">
        <f t="shared" ref="BS95:BS126" si="116">BQ95/$AB$10</f>
        <v>2158.9785388516002</v>
      </c>
      <c r="BT95" s="15">
        <f t="shared" ref="BT95:BT126" si="117">BS95/$AG$4</f>
        <v>2203.0393253587758</v>
      </c>
      <c r="BU95" s="13">
        <f t="shared" ref="BU95:BU126" si="118">((BT95/$AG$5)/85%)</f>
        <v>2644.7050724595151</v>
      </c>
      <c r="BV95" s="13">
        <f t="shared" si="32"/>
        <v>1322.3525362297576</v>
      </c>
      <c r="BW95" s="13">
        <f t="shared" si="33"/>
        <v>1322.3525362297576</v>
      </c>
      <c r="BX95" s="139">
        <f t="shared" ref="BX95:BX126" si="119">(BU95/$AC$19)*100</f>
        <v>125.93833678378643</v>
      </c>
      <c r="BY95" s="15">
        <f t="shared" si="76"/>
        <v>1.1187296336403635E-2</v>
      </c>
      <c r="BZ95" s="15">
        <f t="shared" si="77"/>
        <v>1.1187296336403635E-2</v>
      </c>
      <c r="CA95" s="66">
        <f t="shared" si="83"/>
        <v>2.237459267280727E-2</v>
      </c>
      <c r="CB95" s="331"/>
      <c r="CC95" s="360">
        <f t="shared" ref="CC95" si="120">SUM(CA95:CA99)*1000</f>
        <v>68.312806317538985</v>
      </c>
      <c r="CD95" s="360">
        <v>60</v>
      </c>
      <c r="CE95" s="360">
        <f t="shared" ref="CE95" si="121">AVERAGE(AN95:AN99)</f>
        <v>9.8239510158031518</v>
      </c>
      <c r="CF95" s="115"/>
    </row>
    <row r="96" spans="3:84" ht="15.75" x14ac:dyDescent="0.3">
      <c r="C96" s="13">
        <v>66</v>
      </c>
      <c r="D96" s="379"/>
      <c r="E96" s="379"/>
      <c r="F96" s="19" t="s">
        <v>128</v>
      </c>
      <c r="G96" s="256"/>
      <c r="H96" s="54">
        <v>0.97430555555554499</v>
      </c>
      <c r="I96" s="82">
        <v>-8.5954990000000002</v>
      </c>
      <c r="J96" s="82">
        <v>115.71190799999999</v>
      </c>
      <c r="K96" s="13">
        <f t="shared" si="16"/>
        <v>-0.15001975840188009</v>
      </c>
      <c r="L96" s="13">
        <f t="shared" si="16"/>
        <v>2.0195537783647666</v>
      </c>
      <c r="M96" s="13">
        <v>3443</v>
      </c>
      <c r="N96" s="89">
        <f t="shared" si="78"/>
        <v>0.32375580398137516</v>
      </c>
      <c r="O96" s="331">
        <f>SUM(N96:N100)</f>
        <v>2.1492190071833615</v>
      </c>
      <c r="P96" s="89">
        <f t="shared" ref="P96:P127" si="122">(H96-H95)*24</f>
        <v>4.9999999999991829E-2</v>
      </c>
      <c r="Q96" s="357">
        <f t="shared" ref="Q96" si="123">SUM(P96:P100)</f>
        <v>0.24999999999995914</v>
      </c>
      <c r="R96" s="20">
        <f t="shared" ref="R96:R127" si="124">N96/P96</f>
        <v>6.4751160796285614</v>
      </c>
      <c r="S96" s="346">
        <f t="shared" ref="S96" si="125">AVERAGE(R96:R100)</f>
        <v>8.5968760287348509</v>
      </c>
      <c r="T96" s="15">
        <f t="shared" si="19"/>
        <v>3.3307997113609318</v>
      </c>
      <c r="U96" s="130">
        <f t="shared" ref="U96:U127" si="126">LN(TAN((K96/2)+(3.14/4))/(TAN((K95/2)+(3.14/4))))</f>
        <v>4.572319631080026E-5</v>
      </c>
      <c r="V96" s="13">
        <f t="shared" ref="V96:V127" si="127">ABS(L95-L96)</f>
        <v>8.3391831660506455E-5</v>
      </c>
      <c r="W96" s="13">
        <f t="shared" si="51"/>
        <v>1.0692642597677322</v>
      </c>
      <c r="X96" s="13">
        <f t="shared" si="38"/>
        <v>61.264329268871165</v>
      </c>
      <c r="Y96" s="130">
        <f t="shared" si="39"/>
        <v>4.5204027626644105E-5</v>
      </c>
      <c r="Z96" s="141">
        <f t="shared" si="40"/>
        <v>-4.7780000000017253E-3</v>
      </c>
      <c r="AA96" s="142">
        <f t="shared" si="41"/>
        <v>298.73567073112883</v>
      </c>
      <c r="AB96" s="13">
        <v>200</v>
      </c>
      <c r="AC96" s="13">
        <v>13</v>
      </c>
      <c r="AD96" s="13">
        <f t="shared" ref="AD96:AD134" si="128">IF(AC96&lt;=0.6,0,IF(AC96&lt;=3,1,IF(AC96&lt;=6.4,2,IF(AC96&lt;=10.6,3,IF(AC96&lt;=15.5,4,IF(AC96&lt;=21,5,IF(AC96&lt;=26.9,IF(AC96&lt;=33.4,7,8))))))))</f>
        <v>4</v>
      </c>
      <c r="AE96" s="161">
        <f t="shared" ref="AE96:AE134" si="129">IF(AND(AA96&lt;=AB96,AB96&gt;AA96,(AB96-AA96)&lt;=180),AB96-AA96,IF(AND(AA96&lt;=AB96,AB96&gt;AA96,(AB96-AA96)&gt;180),360-AB96+AA96,IF(AND(AA96&lt;=180,AB96&lt;AA96),AA96-AB96,IF(AND(AA96&gt;180,AB96&lt;AA96,(AA96-AB96)&lt;=180),AA96-AB96,IF(AND(AA96&gt;180,AB96&lt;AA96,(AA96-AB96)&gt;180),360-AA96+AB96,IF(AND(AA96&gt;180,AB96&gt;AA96),AB96-AA96,0))))))</f>
        <v>98.735670731128835</v>
      </c>
      <c r="AF96" s="15">
        <f t="shared" si="104"/>
        <v>0.12736066717627473</v>
      </c>
      <c r="AG96" s="366"/>
      <c r="AH96" s="331"/>
      <c r="AI96" s="339"/>
      <c r="AJ96" s="85">
        <f t="shared" si="105"/>
        <v>1.7242571584865307</v>
      </c>
      <c r="AK96" s="13">
        <f t="shared" si="106"/>
        <v>0.33</v>
      </c>
      <c r="AL96" s="15">
        <f t="shared" ref="AL96:AL134" si="130">((0.5*AD96)+AD96^6.5)/(2.7*$G$5^(2/3))</f>
        <v>14.330886011442766</v>
      </c>
      <c r="AM96" s="15">
        <f t="shared" ref="AM96:AM134" si="131">AJ96*AK96*AL96</f>
        <v>8.1543438215859432</v>
      </c>
      <c r="AN96" s="15">
        <f t="shared" si="107"/>
        <v>7.0499970810272998</v>
      </c>
      <c r="AO96" s="15">
        <f t="shared" ref="AO96:AO134" si="132">AN96*0.5144</f>
        <v>3.6265184984804426</v>
      </c>
      <c r="AP96" s="15">
        <f t="shared" ref="AP96:AP134" si="133">AO96/((9.81*$D$3)^0.5)</f>
        <v>0.13866814444536305</v>
      </c>
      <c r="AQ96" s="20">
        <f t="shared" si="108"/>
        <v>4.5922828089199529E-2</v>
      </c>
      <c r="AR96" s="13">
        <f t="shared" si="109"/>
        <v>212829014.910822</v>
      </c>
      <c r="AS96" s="13">
        <f t="shared" ref="AS96:AS134" si="134">0.075/((LOG(AR96)-2)^2)</f>
        <v>1.8729409707660698E-3</v>
      </c>
      <c r="AT96" s="15">
        <f t="shared" si="110"/>
        <v>406.92356780579371</v>
      </c>
      <c r="AU96" s="13">
        <f t="shared" si="111"/>
        <v>15714.593058936376</v>
      </c>
      <c r="AV96" s="339"/>
      <c r="AW96" s="339"/>
      <c r="AX96" s="356"/>
      <c r="AY96" s="339"/>
      <c r="AZ96" s="339"/>
      <c r="BA96" s="331"/>
      <c r="BB96" s="331"/>
      <c r="BC96" s="331"/>
      <c r="BD96" s="339"/>
      <c r="BE96" s="339"/>
      <c r="BF96" s="339"/>
      <c r="BG96" s="339"/>
      <c r="BH96" s="337"/>
      <c r="BI96" s="331"/>
      <c r="BJ96" s="331"/>
      <c r="BK96" s="331"/>
      <c r="BL96" s="15">
        <f t="shared" si="112"/>
        <v>-4.2300828180695371E-3</v>
      </c>
      <c r="BM96" s="20">
        <f t="shared" ref="BM96:BM127" si="135">$BC$31*$BD$31*$BG$31*($D$3*$D$4*$AI$31*$AH$31)*1025*9.81*(EXP(($BK$31*(AP96^-0.9))+(BL96*COS($Y$10*(AP96^-2)))))</f>
        <v>69.030479186051039</v>
      </c>
      <c r="BN96" s="20">
        <f t="shared" si="113"/>
        <v>4944.4125103054794</v>
      </c>
      <c r="BO96" s="20">
        <f t="shared" si="114"/>
        <v>40.810105134551179</v>
      </c>
      <c r="BP96" s="20">
        <f t="shared" ref="BP96:BP134" si="136">BO96+(BO96*15%)</f>
        <v>46.931620904733855</v>
      </c>
      <c r="BQ96" s="15">
        <f t="shared" ref="BQ96:BQ134" si="137">BP96*AO96</f>
        <v>170.19839137468878</v>
      </c>
      <c r="BR96" s="15">
        <f t="shared" si="115"/>
        <v>2.638622198873346</v>
      </c>
      <c r="BS96" s="6">
        <f t="shared" si="116"/>
        <v>406.88529998919518</v>
      </c>
      <c r="BT96" s="15">
        <f t="shared" si="117"/>
        <v>415.18908162162774</v>
      </c>
      <c r="BU96" s="13">
        <f t="shared" si="118"/>
        <v>498.42626845333467</v>
      </c>
      <c r="BV96" s="13">
        <f t="shared" ref="BV96:BV134" si="138">BU96/2</f>
        <v>249.21313422666734</v>
      </c>
      <c r="BW96" s="13">
        <f t="shared" ref="BW96:BW134" si="139">BU96/2</f>
        <v>249.21313422666734</v>
      </c>
      <c r="BX96" s="139">
        <f t="shared" si="119"/>
        <v>23.734584212063556</v>
      </c>
      <c r="BY96" s="15">
        <f t="shared" ref="BY96:BY127" si="140">((($AC$20*BV96*AQ96)/1000000))</f>
        <v>2.0508672881826037E-3</v>
      </c>
      <c r="BZ96" s="15">
        <f t="shared" ref="BZ96:BZ127" si="141">((($AC$20*BV96*AQ96)/1000000))</f>
        <v>2.0508672881826037E-3</v>
      </c>
      <c r="CA96" s="66">
        <f t="shared" si="83"/>
        <v>4.1017345763652074E-3</v>
      </c>
      <c r="CB96" s="331"/>
      <c r="CC96" s="361"/>
      <c r="CD96" s="361"/>
      <c r="CE96" s="361"/>
      <c r="CF96" s="115"/>
    </row>
    <row r="97" spans="3:84" ht="15.75" x14ac:dyDescent="0.3">
      <c r="C97" s="13">
        <v>67</v>
      </c>
      <c r="D97" s="379"/>
      <c r="E97" s="379"/>
      <c r="F97" s="19" t="s">
        <v>128</v>
      </c>
      <c r="G97" s="256"/>
      <c r="H97" s="54">
        <v>0.97638888888887798</v>
      </c>
      <c r="I97" s="82">
        <v>-8.5920190000000005</v>
      </c>
      <c r="J97" s="82">
        <v>115.705944</v>
      </c>
      <c r="K97" s="13">
        <f t="shared" si="16"/>
        <v>-0.14995902094391067</v>
      </c>
      <c r="L97" s="13">
        <f t="shared" si="16"/>
        <v>2.0194496869281777</v>
      </c>
      <c r="M97" s="13">
        <v>3443</v>
      </c>
      <c r="N97" s="89">
        <f t="shared" ref="N97:N128" si="142">2*M97*ASIN(((SIN((K97-K96)/2))^2+COS(K96)*COS(K97)*(SIN((L97-L96)/2))^2)^0.5)</f>
        <v>0.4114656507442197</v>
      </c>
      <c r="O97" s="331"/>
      <c r="P97" s="89">
        <f t="shared" si="122"/>
        <v>4.9999999999991829E-2</v>
      </c>
      <c r="Q97" s="331"/>
      <c r="R97" s="20">
        <f t="shared" si="124"/>
        <v>8.2293130148857383</v>
      </c>
      <c r="S97" s="347"/>
      <c r="T97" s="15">
        <f t="shared" si="19"/>
        <v>4.2331586148572233</v>
      </c>
      <c r="U97" s="130">
        <f t="shared" si="126"/>
        <v>6.1434533717263657E-5</v>
      </c>
      <c r="V97" s="13">
        <f t="shared" si="127"/>
        <v>1.0409143658884901E-4</v>
      </c>
      <c r="W97" s="13">
        <f t="shared" si="51"/>
        <v>1.0376155267875049</v>
      </c>
      <c r="X97" s="13">
        <f t="shared" ref="X97:X134" si="143">DEGREES(W97)</f>
        <v>59.450990442167644</v>
      </c>
      <c r="Y97" s="130">
        <f t="shared" ref="Y97:Y134" si="144">K97-K96</f>
        <v>6.0737457969417541E-5</v>
      </c>
      <c r="Z97" s="141">
        <f t="shared" ref="Z97:Z134" si="145">J97-J96</f>
        <v>-5.9639999999916427E-3</v>
      </c>
      <c r="AA97" s="142">
        <f t="shared" ref="AA97:AA134" si="146">IF(AND(Y97&gt;0,Z97&gt;0),X97,IF(AND(Y97&lt;0,Z97&gt;0),X97,IF(AND(Y97&lt;0,Z97&lt;0),360-X97,360-X97)))</f>
        <v>300.54900955783233</v>
      </c>
      <c r="AB97" s="13">
        <v>200</v>
      </c>
      <c r="AC97" s="13">
        <v>13</v>
      </c>
      <c r="AD97" s="13">
        <f t="shared" si="128"/>
        <v>4</v>
      </c>
      <c r="AE97" s="161">
        <f t="shared" si="129"/>
        <v>100.54900955783233</v>
      </c>
      <c r="AF97" s="15">
        <f t="shared" si="104"/>
        <v>0.16186440259745447</v>
      </c>
      <c r="AG97" s="366"/>
      <c r="AH97" s="331"/>
      <c r="AI97" s="339"/>
      <c r="AJ97" s="85">
        <f t="shared" si="105"/>
        <v>1.5411981706725251</v>
      </c>
      <c r="AK97" s="13">
        <f t="shared" si="106"/>
        <v>0.33</v>
      </c>
      <c r="AL97" s="15">
        <f t="shared" si="130"/>
        <v>14.330886011442766</v>
      </c>
      <c r="AM97" s="15">
        <f t="shared" si="131"/>
        <v>7.2886226506341831</v>
      </c>
      <c r="AN97" s="15">
        <f t="shared" si="107"/>
        <v>8.8762709067249439</v>
      </c>
      <c r="AO97" s="15">
        <f t="shared" si="132"/>
        <v>4.5659537544193105</v>
      </c>
      <c r="AP97" s="15">
        <f t="shared" si="133"/>
        <v>0.17458957813505255</v>
      </c>
      <c r="AQ97" s="20">
        <f t="shared" si="108"/>
        <v>4.6355688674675342E-2</v>
      </c>
      <c r="AR97" s="13">
        <f t="shared" si="109"/>
        <v>267961528.41592121</v>
      </c>
      <c r="AS97" s="13">
        <f t="shared" si="134"/>
        <v>1.8150965775376776E-3</v>
      </c>
      <c r="AT97" s="15">
        <f t="shared" si="110"/>
        <v>625.13197650745303</v>
      </c>
      <c r="AU97" s="13">
        <f t="shared" si="111"/>
        <v>24141.375423189067</v>
      </c>
      <c r="AV97" s="339"/>
      <c r="AW97" s="339"/>
      <c r="AX97" s="356"/>
      <c r="AY97" s="339"/>
      <c r="AZ97" s="339"/>
      <c r="BA97" s="331"/>
      <c r="BB97" s="331"/>
      <c r="BC97" s="331"/>
      <c r="BD97" s="339"/>
      <c r="BE97" s="339"/>
      <c r="BF97" s="339"/>
      <c r="BG97" s="339"/>
      <c r="BH97" s="337"/>
      <c r="BI97" s="331"/>
      <c r="BJ97" s="331"/>
      <c r="BK97" s="331"/>
      <c r="BL97" s="15">
        <f t="shared" si="112"/>
        <v>-2.884865058731801E-2</v>
      </c>
      <c r="BM97" s="20">
        <f t="shared" si="135"/>
        <v>1152.869362428683</v>
      </c>
      <c r="BN97" s="20">
        <f t="shared" si="113"/>
        <v>7837.8675358695355</v>
      </c>
      <c r="BO97" s="20">
        <f t="shared" si="114"/>
        <v>63.982976054597216</v>
      </c>
      <c r="BP97" s="20">
        <f t="shared" si="136"/>
        <v>73.5804224627868</v>
      </c>
      <c r="BQ97" s="15">
        <f t="shared" si="137"/>
        <v>335.96480619572037</v>
      </c>
      <c r="BR97" s="15">
        <f t="shared" si="115"/>
        <v>3.3221468304899271</v>
      </c>
      <c r="BS97" s="6">
        <f t="shared" si="116"/>
        <v>803.17528180285046</v>
      </c>
      <c r="BT97" s="15">
        <f t="shared" si="117"/>
        <v>819.56661408454136</v>
      </c>
      <c r="BU97" s="13">
        <f t="shared" si="118"/>
        <v>983.87348629596806</v>
      </c>
      <c r="BV97" s="13">
        <f t="shared" si="138"/>
        <v>491.93674314798403</v>
      </c>
      <c r="BW97" s="13">
        <f t="shared" si="139"/>
        <v>491.93674314798403</v>
      </c>
      <c r="BX97" s="139">
        <f t="shared" si="119"/>
        <v>46.8511183950461</v>
      </c>
      <c r="BY97" s="15">
        <f t="shared" si="140"/>
        <v>4.0864887191299007E-3</v>
      </c>
      <c r="BZ97" s="15">
        <f t="shared" si="141"/>
        <v>4.0864887191299007E-3</v>
      </c>
      <c r="CA97" s="66">
        <f t="shared" si="83"/>
        <v>8.1729774382598014E-3</v>
      </c>
      <c r="CB97" s="331"/>
      <c r="CC97" s="361"/>
      <c r="CD97" s="361"/>
      <c r="CE97" s="361"/>
      <c r="CF97" s="115"/>
    </row>
    <row r="98" spans="3:84" ht="15.75" x14ac:dyDescent="0.3">
      <c r="C98" s="13">
        <v>68</v>
      </c>
      <c r="D98" s="379"/>
      <c r="E98" s="379"/>
      <c r="F98" s="19" t="s">
        <v>128</v>
      </c>
      <c r="G98" s="256"/>
      <c r="H98" s="54">
        <v>0.97847222222221097</v>
      </c>
      <c r="I98" s="82">
        <v>-8.5880609999999997</v>
      </c>
      <c r="J98" s="82">
        <v>115.699944</v>
      </c>
      <c r="K98" s="13">
        <f t="shared" si="16"/>
        <v>-0.14988994081211673</v>
      </c>
      <c r="L98" s="13">
        <f t="shared" si="16"/>
        <v>2.0193449671730583</v>
      </c>
      <c r="M98" s="13">
        <v>3443</v>
      </c>
      <c r="N98" s="89">
        <f t="shared" si="142"/>
        <v>0.42856210961449076</v>
      </c>
      <c r="O98" s="331"/>
      <c r="P98" s="89">
        <f t="shared" si="122"/>
        <v>4.9999999999991829E-2</v>
      </c>
      <c r="Q98" s="331"/>
      <c r="R98" s="20">
        <f t="shared" si="124"/>
        <v>8.5712421922912156</v>
      </c>
      <c r="S98" s="347"/>
      <c r="T98" s="15">
        <f t="shared" si="19"/>
        <v>4.4090469837146014</v>
      </c>
      <c r="U98" s="130">
        <f t="shared" si="126"/>
        <v>6.987226636043818E-5</v>
      </c>
      <c r="V98" s="13">
        <f t="shared" si="127"/>
        <v>1.047197551193868E-4</v>
      </c>
      <c r="W98" s="13">
        <f t="shared" si="51"/>
        <v>0.9824031364439676</v>
      </c>
      <c r="X98" s="13">
        <f t="shared" si="143"/>
        <v>56.287553498654098</v>
      </c>
      <c r="Y98" s="130">
        <f t="shared" si="144"/>
        <v>6.9080131793936017E-5</v>
      </c>
      <c r="Z98" s="141">
        <f t="shared" si="145"/>
        <v>-6.0000000000002274E-3</v>
      </c>
      <c r="AA98" s="142">
        <f t="shared" si="146"/>
        <v>303.71244650134588</v>
      </c>
      <c r="AB98" s="13">
        <v>200</v>
      </c>
      <c r="AC98" s="13">
        <v>13</v>
      </c>
      <c r="AD98" s="13">
        <f t="shared" si="128"/>
        <v>4</v>
      </c>
      <c r="AE98" s="161">
        <f t="shared" si="129"/>
        <v>103.71244650134588</v>
      </c>
      <c r="AF98" s="15">
        <f t="shared" si="104"/>
        <v>0.16858989255405993</v>
      </c>
      <c r="AG98" s="366"/>
      <c r="AH98" s="331"/>
      <c r="AI98" s="339"/>
      <c r="AJ98" s="85">
        <f t="shared" si="105"/>
        <v>1.5028265154623726</v>
      </c>
      <c r="AK98" s="13">
        <f t="shared" si="106"/>
        <v>0.33</v>
      </c>
      <c r="AL98" s="15">
        <f t="shared" si="130"/>
        <v>14.330886011442766</v>
      </c>
      <c r="AM98" s="15">
        <f t="shared" si="131"/>
        <v>7.1071557110614476</v>
      </c>
      <c r="AN98" s="15">
        <f t="shared" si="107"/>
        <v>9.2270209378354213</v>
      </c>
      <c r="AO98" s="15">
        <f t="shared" si="132"/>
        <v>4.7463795704225404</v>
      </c>
      <c r="AP98" s="15">
        <f t="shared" si="133"/>
        <v>0.18148856765508167</v>
      </c>
      <c r="AQ98" s="20">
        <f t="shared" si="108"/>
        <v>4.6446422144461687E-2</v>
      </c>
      <c r="AR98" s="13">
        <f t="shared" si="109"/>
        <v>278550154.58742392</v>
      </c>
      <c r="AS98" s="13">
        <f t="shared" si="134"/>
        <v>1.8056286550979883E-3</v>
      </c>
      <c r="AT98" s="15">
        <f t="shared" si="110"/>
        <v>671.98925657065286</v>
      </c>
      <c r="AU98" s="13">
        <f t="shared" si="111"/>
        <v>25950.912019981173</v>
      </c>
      <c r="AV98" s="339"/>
      <c r="AW98" s="339"/>
      <c r="AX98" s="356"/>
      <c r="AY98" s="339"/>
      <c r="AZ98" s="339"/>
      <c r="BA98" s="331"/>
      <c r="BB98" s="331"/>
      <c r="BC98" s="331"/>
      <c r="BD98" s="339"/>
      <c r="BE98" s="339"/>
      <c r="BF98" s="339"/>
      <c r="BG98" s="339"/>
      <c r="BH98" s="337"/>
      <c r="BI98" s="331"/>
      <c r="BJ98" s="331"/>
      <c r="BK98" s="331"/>
      <c r="BL98" s="15">
        <f t="shared" si="112"/>
        <v>-3.6845799243863817E-2</v>
      </c>
      <c r="BM98" s="20">
        <f t="shared" si="135"/>
        <v>1772.9509315681519</v>
      </c>
      <c r="BN98" s="20">
        <f t="shared" si="113"/>
        <v>8469.5402148226185</v>
      </c>
      <c r="BO98" s="20">
        <f t="shared" si="114"/>
        <v>69.356718695997372</v>
      </c>
      <c r="BP98" s="20">
        <f t="shared" si="136"/>
        <v>79.760226500396982</v>
      </c>
      <c r="BQ98" s="15">
        <f t="shared" si="137"/>
        <v>378.57230959375875</v>
      </c>
      <c r="BR98" s="15">
        <f t="shared" si="115"/>
        <v>3.4534230292892554</v>
      </c>
      <c r="BS98" s="6">
        <f t="shared" si="116"/>
        <v>905.03503888913099</v>
      </c>
      <c r="BT98" s="15">
        <f t="shared" si="117"/>
        <v>923.50514172360306</v>
      </c>
      <c r="BU98" s="13">
        <f t="shared" si="118"/>
        <v>1108.6496299202918</v>
      </c>
      <c r="BV98" s="13">
        <f t="shared" si="138"/>
        <v>554.32481496014589</v>
      </c>
      <c r="BW98" s="13">
        <f t="shared" si="139"/>
        <v>554.32481496014589</v>
      </c>
      <c r="BX98" s="139">
        <f t="shared" si="119"/>
        <v>52.792839520013892</v>
      </c>
      <c r="BY98" s="15">
        <f t="shared" si="140"/>
        <v>4.6137556614534872E-3</v>
      </c>
      <c r="BZ98" s="15">
        <f t="shared" si="141"/>
        <v>4.6137556614534872E-3</v>
      </c>
      <c r="CA98" s="66">
        <f t="shared" ref="CA98:CA126" si="147">((($AC$20*BU98*AQ98)/1000000))</f>
        <v>9.2275113229069745E-3</v>
      </c>
      <c r="CB98" s="331"/>
      <c r="CC98" s="361"/>
      <c r="CD98" s="361"/>
      <c r="CE98" s="361"/>
      <c r="CF98" s="115"/>
    </row>
    <row r="99" spans="3:84" ht="15.75" x14ac:dyDescent="0.3">
      <c r="C99" s="13">
        <v>69</v>
      </c>
      <c r="D99" s="379"/>
      <c r="E99" s="379"/>
      <c r="F99" s="19" t="s">
        <v>128</v>
      </c>
      <c r="G99" s="257"/>
      <c r="H99" s="54">
        <v>0.98055555555554397</v>
      </c>
      <c r="I99" s="82">
        <v>-8.5829120000000003</v>
      </c>
      <c r="J99" s="82">
        <v>115.691829</v>
      </c>
      <c r="K99" s="13">
        <f t="shared" si="16"/>
        <v>-0.14980007380893157</v>
      </c>
      <c r="L99" s="13">
        <f t="shared" si="16"/>
        <v>2.019203333704259</v>
      </c>
      <c r="M99" s="13">
        <v>3443</v>
      </c>
      <c r="N99" s="89">
        <f t="shared" si="142"/>
        <v>0.57291623656170343</v>
      </c>
      <c r="O99" s="331"/>
      <c r="P99" s="89">
        <f t="shared" si="122"/>
        <v>4.9999999999991829E-2</v>
      </c>
      <c r="Q99" s="331"/>
      <c r="R99" s="20">
        <f t="shared" si="124"/>
        <v>11.45832473123594</v>
      </c>
      <c r="S99" s="347"/>
      <c r="T99" s="15">
        <f t="shared" si="19"/>
        <v>5.8941622417477673</v>
      </c>
      <c r="U99" s="130">
        <f t="shared" si="126"/>
        <v>9.0896401801878545E-5</v>
      </c>
      <c r="V99" s="13">
        <f t="shared" si="127"/>
        <v>1.4163346879936256E-4</v>
      </c>
      <c r="W99" s="13">
        <f t="shared" si="51"/>
        <v>1.000227016389968</v>
      </c>
      <c r="X99" s="13">
        <f t="shared" si="143"/>
        <v>57.308786594107787</v>
      </c>
      <c r="Y99" s="130">
        <f t="shared" si="144"/>
        <v>8.9867003185167826E-5</v>
      </c>
      <c r="Z99" s="141">
        <f t="shared" si="145"/>
        <v>-8.1150000000036471E-3</v>
      </c>
      <c r="AA99" s="142">
        <f t="shared" si="146"/>
        <v>302.6912134058922</v>
      </c>
      <c r="AB99" s="13">
        <v>200</v>
      </c>
      <c r="AC99" s="13">
        <v>13</v>
      </c>
      <c r="AD99" s="13">
        <f t="shared" si="128"/>
        <v>4</v>
      </c>
      <c r="AE99" s="161">
        <f t="shared" si="129"/>
        <v>102.6912134058922</v>
      </c>
      <c r="AF99" s="15">
        <f t="shared" si="104"/>
        <v>0.22537663642569505</v>
      </c>
      <c r="AG99" s="366"/>
      <c r="AH99" s="331"/>
      <c r="AI99" s="339"/>
      <c r="AJ99" s="85">
        <f t="shared" si="105"/>
        <v>1.1438505149441311</v>
      </c>
      <c r="AK99" s="13">
        <f t="shared" si="106"/>
        <v>0.33</v>
      </c>
      <c r="AL99" s="15">
        <f t="shared" si="130"/>
        <v>14.330886011442766</v>
      </c>
      <c r="AM99" s="15">
        <f t="shared" si="131"/>
        <v>5.4094891434521699</v>
      </c>
      <c r="AN99" s="15">
        <f t="shared" si="107"/>
        <v>12.113609100402446</v>
      </c>
      <c r="AO99" s="15">
        <f t="shared" si="132"/>
        <v>6.2312405212470177</v>
      </c>
      <c r="AP99" s="15">
        <f t="shared" si="133"/>
        <v>0.2382655875148959</v>
      </c>
      <c r="AQ99" s="20">
        <f t="shared" si="108"/>
        <v>4.7295255428266188E-2</v>
      </c>
      <c r="AR99" s="13">
        <f t="shared" si="109"/>
        <v>365691994.22671902</v>
      </c>
      <c r="AS99" s="13">
        <f t="shared" si="134"/>
        <v>1.7411699980372599E-3</v>
      </c>
      <c r="AT99" s="15">
        <f t="shared" si="110"/>
        <v>1116.8610998064437</v>
      </c>
      <c r="AU99" s="13">
        <f t="shared" si="111"/>
        <v>43130.993324993884</v>
      </c>
      <c r="AV99" s="339"/>
      <c r="AW99" s="339"/>
      <c r="AX99" s="356"/>
      <c r="AY99" s="339"/>
      <c r="AZ99" s="339"/>
      <c r="BA99" s="331"/>
      <c r="BB99" s="331"/>
      <c r="BC99" s="331"/>
      <c r="BD99" s="339"/>
      <c r="BE99" s="339"/>
      <c r="BF99" s="339"/>
      <c r="BG99" s="339"/>
      <c r="BH99" s="337"/>
      <c r="BI99" s="331"/>
      <c r="BJ99" s="331"/>
      <c r="BK99" s="331"/>
      <c r="BL99" s="15">
        <f t="shared" si="112"/>
        <v>-0.13179674009026202</v>
      </c>
      <c r="BM99" s="20">
        <f t="shared" si="135"/>
        <v>24543.602042336825</v>
      </c>
      <c r="BN99" s="20">
        <f t="shared" si="113"/>
        <v>14597.683137326621</v>
      </c>
      <c r="BO99" s="20">
        <f t="shared" si="114"/>
        <v>137.39044697756552</v>
      </c>
      <c r="BP99" s="20">
        <f t="shared" si="136"/>
        <v>157.99901402420033</v>
      </c>
      <c r="BQ99" s="15">
        <f t="shared" si="137"/>
        <v>984.52985850467292</v>
      </c>
      <c r="BR99" s="15">
        <f t="shared" si="115"/>
        <v>4.5337944843714055</v>
      </c>
      <c r="BS99" s="6">
        <f t="shared" si="116"/>
        <v>2353.6692890598492</v>
      </c>
      <c r="BT99" s="15">
        <f t="shared" si="117"/>
        <v>2401.7033561835196</v>
      </c>
      <c r="BU99" s="13">
        <f t="shared" si="118"/>
        <v>2883.1973063427608</v>
      </c>
      <c r="BV99" s="13">
        <f t="shared" si="138"/>
        <v>1441.5986531713804</v>
      </c>
      <c r="BW99" s="13">
        <f t="shared" si="139"/>
        <v>1441.5986531713804</v>
      </c>
      <c r="BX99" s="139">
        <f t="shared" si="119"/>
        <v>137.29510982584577</v>
      </c>
      <c r="BY99" s="15">
        <f t="shared" si="140"/>
        <v>1.2217995153599863E-2</v>
      </c>
      <c r="BZ99" s="15">
        <f t="shared" si="141"/>
        <v>1.2217995153599863E-2</v>
      </c>
      <c r="CA99" s="66">
        <f t="shared" si="147"/>
        <v>2.4435990307199725E-2</v>
      </c>
      <c r="CB99" s="331"/>
      <c r="CC99" s="362"/>
      <c r="CD99" s="362"/>
      <c r="CE99" s="362"/>
      <c r="CF99" s="115"/>
    </row>
    <row r="100" spans="3:84" ht="15.75" x14ac:dyDescent="0.3">
      <c r="C100" s="13">
        <v>70</v>
      </c>
      <c r="D100" s="379"/>
      <c r="E100" s="379"/>
      <c r="F100" s="19" t="s">
        <v>128</v>
      </c>
      <c r="G100" s="255">
        <v>0.98263888888888895</v>
      </c>
      <c r="H100" s="54">
        <v>0.98263888888887696</v>
      </c>
      <c r="I100" s="13">
        <v>-8.5794549999999994</v>
      </c>
      <c r="J100" s="82">
        <v>115.68583099999999</v>
      </c>
      <c r="K100" s="13">
        <f t="shared" si="16"/>
        <v>-0.14973973777669009</v>
      </c>
      <c r="L100" s="13">
        <f t="shared" si="16"/>
        <v>2.0190986488557239</v>
      </c>
      <c r="M100" s="13">
        <v>3443</v>
      </c>
      <c r="N100" s="89">
        <f t="shared" si="142"/>
        <v>0.41251920628157246</v>
      </c>
      <c r="O100" s="331"/>
      <c r="P100" s="89">
        <f t="shared" si="122"/>
        <v>4.9999999999991829E-2</v>
      </c>
      <c r="Q100" s="358"/>
      <c r="R100" s="20">
        <f t="shared" si="124"/>
        <v>8.250384125632797</v>
      </c>
      <c r="S100" s="348"/>
      <c r="T100" s="15">
        <f t="shared" si="19"/>
        <v>4.2439975942255108</v>
      </c>
      <c r="U100" s="130">
        <f t="shared" si="126"/>
        <v>6.1026467229308914E-5</v>
      </c>
      <c r="V100" s="13">
        <f t="shared" si="127"/>
        <v>1.0468484853509707E-4</v>
      </c>
      <c r="W100" s="13">
        <f t="shared" si="51"/>
        <v>1.0430048366697116</v>
      </c>
      <c r="X100" s="13">
        <f t="shared" si="143"/>
        <v>59.759775152906236</v>
      </c>
      <c r="Y100" s="130">
        <f t="shared" si="144"/>
        <v>6.033603224148143E-5</v>
      </c>
      <c r="Z100" s="141">
        <f t="shared" si="145"/>
        <v>-5.9980000000052769E-3</v>
      </c>
      <c r="AA100" s="142">
        <f t="shared" si="146"/>
        <v>300.24022484709377</v>
      </c>
      <c r="AB100" s="13">
        <v>200</v>
      </c>
      <c r="AC100" s="13">
        <v>13</v>
      </c>
      <c r="AD100" s="13">
        <f t="shared" si="128"/>
        <v>4</v>
      </c>
      <c r="AE100" s="161">
        <f t="shared" si="129"/>
        <v>100.24022484709377</v>
      </c>
      <c r="AF100" s="15">
        <f t="shared" si="104"/>
        <v>0.16227885551071322</v>
      </c>
      <c r="AG100" s="366"/>
      <c r="AH100" s="331"/>
      <c r="AI100" s="339"/>
      <c r="AJ100" s="85">
        <f t="shared" si="105"/>
        <v>1.538858919848308</v>
      </c>
      <c r="AK100" s="13">
        <f t="shared" si="106"/>
        <v>0.33</v>
      </c>
      <c r="AL100" s="15">
        <f t="shared" si="130"/>
        <v>14.330886011442766</v>
      </c>
      <c r="AM100" s="15">
        <f t="shared" si="131"/>
        <v>7.2775598834525548</v>
      </c>
      <c r="AN100" s="15">
        <f t="shared" si="107"/>
        <v>8.897936805009099</v>
      </c>
      <c r="AO100" s="15">
        <f t="shared" si="132"/>
        <v>4.5770986924966799</v>
      </c>
      <c r="AP100" s="15">
        <f t="shared" si="133"/>
        <v>0.17501573007217761</v>
      </c>
      <c r="AQ100" s="20">
        <f t="shared" si="108"/>
        <v>4.636122005826615E-2</v>
      </c>
      <c r="AR100" s="13">
        <f t="shared" si="109"/>
        <v>268615589.93339109</v>
      </c>
      <c r="AS100" s="13">
        <f t="shared" si="134"/>
        <v>1.8144987957864473E-3</v>
      </c>
      <c r="AT100" s="15">
        <f t="shared" si="110"/>
        <v>627.98055679420975</v>
      </c>
      <c r="AU100" s="13">
        <f t="shared" si="111"/>
        <v>24251.382027730229</v>
      </c>
      <c r="AV100" s="339"/>
      <c r="AW100" s="339"/>
      <c r="AX100" s="356"/>
      <c r="AY100" s="339"/>
      <c r="AZ100" s="339"/>
      <c r="BA100" s="331"/>
      <c r="BB100" s="331"/>
      <c r="BC100" s="331"/>
      <c r="BD100" s="339"/>
      <c r="BE100" s="339"/>
      <c r="BF100" s="339"/>
      <c r="BG100" s="339"/>
      <c r="BH100" s="337"/>
      <c r="BI100" s="331"/>
      <c r="BJ100" s="331"/>
      <c r="BK100" s="331"/>
      <c r="BL100" s="15">
        <f t="shared" si="112"/>
        <v>-2.9312681399453994E-2</v>
      </c>
      <c r="BM100" s="20">
        <f t="shared" si="135"/>
        <v>1184.909346460797</v>
      </c>
      <c r="BN100" s="20">
        <f t="shared" si="113"/>
        <v>7876.1767967713622</v>
      </c>
      <c r="BO100" s="20">
        <f t="shared" si="114"/>
        <v>64.303912078438913</v>
      </c>
      <c r="BP100" s="20">
        <f t="shared" si="136"/>
        <v>73.949498890204751</v>
      </c>
      <c r="BQ100" s="15">
        <f t="shared" si="137"/>
        <v>338.47415468114087</v>
      </c>
      <c r="BR100" s="15">
        <f t="shared" si="115"/>
        <v>3.3302557870631082</v>
      </c>
      <c r="BS100" s="6">
        <f t="shared" si="116"/>
        <v>809.1742633620828</v>
      </c>
      <c r="BT100" s="15">
        <f t="shared" si="117"/>
        <v>825.68802383885998</v>
      </c>
      <c r="BU100" s="13">
        <f t="shared" si="118"/>
        <v>991.22211745361346</v>
      </c>
      <c r="BV100" s="13">
        <f t="shared" si="138"/>
        <v>495.61105872680673</v>
      </c>
      <c r="BW100" s="13">
        <f t="shared" si="139"/>
        <v>495.61105872680673</v>
      </c>
      <c r="BX100" s="139">
        <f t="shared" si="119"/>
        <v>47.201053212076829</v>
      </c>
      <c r="BY100" s="15">
        <f t="shared" si="140"/>
        <v>4.1175022975643207E-3</v>
      </c>
      <c r="BZ100" s="15">
        <f t="shared" si="141"/>
        <v>4.1175022975643207E-3</v>
      </c>
      <c r="CA100" s="66">
        <f t="shared" si="147"/>
        <v>8.2350045951286414E-3</v>
      </c>
      <c r="CB100" s="331"/>
      <c r="CC100" s="360">
        <f t="shared" ref="CC100" si="148">SUM(CA100:CA104)*1000</f>
        <v>44.150114252989468</v>
      </c>
      <c r="CD100" s="360">
        <v>48</v>
      </c>
      <c r="CE100" s="360">
        <f t="shared" ref="CE100" si="149">AVERAGE(AN100:AN104)</f>
        <v>9.0330646214214472</v>
      </c>
      <c r="CF100" s="115"/>
    </row>
    <row r="101" spans="3:84" ht="15.75" x14ac:dyDescent="0.3">
      <c r="C101" s="13">
        <v>71</v>
      </c>
      <c r="D101" s="379"/>
      <c r="E101" s="379"/>
      <c r="F101" s="19" t="s">
        <v>128</v>
      </c>
      <c r="G101" s="256"/>
      <c r="H101" s="54">
        <v>0.98472222222220995</v>
      </c>
      <c r="I101" s="13">
        <v>-8.5762669999999996</v>
      </c>
      <c r="J101" s="82">
        <v>115.67843499999999</v>
      </c>
      <c r="K101" s="13">
        <f t="shared" si="16"/>
        <v>-0.14968409668013652</v>
      </c>
      <c r="L101" s="13">
        <f t="shared" si="16"/>
        <v>2.0189695643042467</v>
      </c>
      <c r="M101" s="13">
        <v>3443</v>
      </c>
      <c r="N101" s="89">
        <f t="shared" si="142"/>
        <v>0.47940681459032403</v>
      </c>
      <c r="O101" s="331">
        <f>SUM(N101:N105)</f>
        <v>2.1044587118941784</v>
      </c>
      <c r="P101" s="89">
        <f t="shared" si="122"/>
        <v>4.9999999999991829E-2</v>
      </c>
      <c r="Q101" s="357">
        <f t="shared" ref="Q101" si="150">SUM(P101:P105)</f>
        <v>0.24999999999996181</v>
      </c>
      <c r="R101" s="20">
        <f t="shared" si="124"/>
        <v>9.5881362918080466</v>
      </c>
      <c r="S101" s="346">
        <f t="shared" ref="S101" si="151">AVERAGE(R101:R105)</f>
        <v>8.4178348475780016</v>
      </c>
      <c r="T101" s="15">
        <f t="shared" si="19"/>
        <v>4.9321373085060589</v>
      </c>
      <c r="U101" s="130">
        <f t="shared" si="126"/>
        <v>5.6277311614039765E-5</v>
      </c>
      <c r="V101" s="13">
        <f t="shared" si="127"/>
        <v>1.2908455147719877E-4</v>
      </c>
      <c r="W101" s="13">
        <f t="shared" si="51"/>
        <v>1.1596687219705013</v>
      </c>
      <c r="X101" s="13">
        <f t="shared" si="143"/>
        <v>66.444123402239811</v>
      </c>
      <c r="Y101" s="130">
        <f t="shared" si="144"/>
        <v>5.5641096553565861E-5</v>
      </c>
      <c r="Z101" s="141">
        <f t="shared" si="145"/>
        <v>-7.3959999999999582E-3</v>
      </c>
      <c r="AA101" s="142">
        <f t="shared" si="146"/>
        <v>293.55587659776018</v>
      </c>
      <c r="AB101" s="13">
        <v>200</v>
      </c>
      <c r="AC101" s="13">
        <v>13</v>
      </c>
      <c r="AD101" s="13">
        <f t="shared" si="128"/>
        <v>4</v>
      </c>
      <c r="AE101" s="161">
        <f t="shared" si="129"/>
        <v>93.555876597760175</v>
      </c>
      <c r="AF101" s="15">
        <f t="shared" si="104"/>
        <v>0.18859143528617262</v>
      </c>
      <c r="AG101" s="366"/>
      <c r="AH101" s="331"/>
      <c r="AI101" s="339"/>
      <c r="AJ101" s="85">
        <f t="shared" si="105"/>
        <v>1.3835241359905719</v>
      </c>
      <c r="AK101" s="13">
        <f t="shared" si="106"/>
        <v>0.33</v>
      </c>
      <c r="AL101" s="15">
        <f t="shared" si="130"/>
        <v>14.330886011442766</v>
      </c>
      <c r="AM101" s="15">
        <f t="shared" si="131"/>
        <v>6.5429518066970402</v>
      </c>
      <c r="AN101" s="15">
        <f t="shared" si="107"/>
        <v>10.259404161766714</v>
      </c>
      <c r="AO101" s="15">
        <f t="shared" si="132"/>
        <v>5.2774375008127974</v>
      </c>
      <c r="AP101" s="15">
        <f t="shared" si="133"/>
        <v>0.20179476982420563</v>
      </c>
      <c r="AQ101" s="20">
        <f t="shared" si="108"/>
        <v>4.6728524096643846E-2</v>
      </c>
      <c r="AR101" s="13">
        <f t="shared" si="109"/>
        <v>309716281.61335719</v>
      </c>
      <c r="AS101" s="13">
        <f t="shared" si="134"/>
        <v>1.78009367705077E-3</v>
      </c>
      <c r="AT101" s="15">
        <f t="shared" si="110"/>
        <v>819.02661464705045</v>
      </c>
      <c r="AU101" s="13">
        <f t="shared" si="111"/>
        <v>31629.207477506658</v>
      </c>
      <c r="AV101" s="339"/>
      <c r="AW101" s="339"/>
      <c r="AX101" s="356"/>
      <c r="AY101" s="339"/>
      <c r="AZ101" s="339"/>
      <c r="BA101" s="331"/>
      <c r="BB101" s="331"/>
      <c r="BC101" s="331"/>
      <c r="BD101" s="339"/>
      <c r="BE101" s="339"/>
      <c r="BF101" s="339"/>
      <c r="BG101" s="339"/>
      <c r="BH101" s="337"/>
      <c r="BI101" s="331"/>
      <c r="BJ101" s="331"/>
      <c r="BK101" s="331"/>
      <c r="BL101" s="15">
        <f t="shared" si="112"/>
        <v>-6.5825798903221933E-2</v>
      </c>
      <c r="BM101" s="20">
        <f t="shared" si="135"/>
        <v>5399.7591677618511</v>
      </c>
      <c r="BN101" s="20">
        <f t="shared" si="113"/>
        <v>10470.829791695725</v>
      </c>
      <c r="BO101" s="20">
        <f t="shared" si="114"/>
        <v>87.919546876598403</v>
      </c>
      <c r="BP101" s="20">
        <f t="shared" si="136"/>
        <v>101.10747890808817</v>
      </c>
      <c r="BQ101" s="15">
        <f t="shared" si="137"/>
        <v>533.5884008021834</v>
      </c>
      <c r="BR101" s="15">
        <f t="shared" si="115"/>
        <v>3.8398159967048677</v>
      </c>
      <c r="BS101" s="6">
        <f t="shared" si="116"/>
        <v>1275.6247269881007</v>
      </c>
      <c r="BT101" s="15">
        <f t="shared" si="117"/>
        <v>1301.6578846817354</v>
      </c>
      <c r="BU101" s="13">
        <f t="shared" si="118"/>
        <v>1562.6145074210508</v>
      </c>
      <c r="BV101" s="13">
        <f t="shared" si="138"/>
        <v>781.3072537105254</v>
      </c>
      <c r="BW101" s="13">
        <f t="shared" si="139"/>
        <v>781.3072537105254</v>
      </c>
      <c r="BX101" s="139">
        <f t="shared" si="119"/>
        <v>74.41021463909766</v>
      </c>
      <c r="BY101" s="15">
        <f t="shared" si="140"/>
        <v>6.5424728018755674E-3</v>
      </c>
      <c r="BZ101" s="15">
        <f t="shared" si="141"/>
        <v>6.5424728018755674E-3</v>
      </c>
      <c r="CA101" s="66">
        <f t="shared" si="147"/>
        <v>1.3084945603751135E-2</v>
      </c>
      <c r="CB101" s="331"/>
      <c r="CC101" s="361"/>
      <c r="CD101" s="361"/>
      <c r="CE101" s="361"/>
      <c r="CF101" s="115"/>
    </row>
    <row r="102" spans="3:84" ht="15.75" x14ac:dyDescent="0.3">
      <c r="C102" s="13">
        <v>72</v>
      </c>
      <c r="D102" s="379"/>
      <c r="E102" s="379"/>
      <c r="F102" s="19" t="s">
        <v>128</v>
      </c>
      <c r="G102" s="256"/>
      <c r="H102" s="54">
        <v>0.98680555555554295</v>
      </c>
      <c r="I102" s="13">
        <v>-8.5757019999999997</v>
      </c>
      <c r="J102" s="82">
        <v>115.671881</v>
      </c>
      <c r="K102" s="13">
        <f t="shared" si="16"/>
        <v>-0.14967423556986276</v>
      </c>
      <c r="L102" s="13">
        <f t="shared" si="16"/>
        <v>2.0188551754250712</v>
      </c>
      <c r="M102" s="13">
        <v>3443</v>
      </c>
      <c r="N102" s="89">
        <f t="shared" si="142"/>
        <v>0.39091455066133263</v>
      </c>
      <c r="O102" s="331"/>
      <c r="P102" s="89">
        <f t="shared" si="122"/>
        <v>4.9999999999991829E-2</v>
      </c>
      <c r="Q102" s="331"/>
      <c r="R102" s="20">
        <f t="shared" si="124"/>
        <v>7.8182910132279302</v>
      </c>
      <c r="S102" s="347"/>
      <c r="T102" s="15">
        <f t="shared" si="19"/>
        <v>4.0217288972044472</v>
      </c>
      <c r="U102" s="130">
        <f t="shared" si="126"/>
        <v>9.9738152901062115E-6</v>
      </c>
      <c r="V102" s="13">
        <f t="shared" si="127"/>
        <v>1.1438887917547547E-4</v>
      </c>
      <c r="W102" s="13">
        <f t="shared" si="51"/>
        <v>1.4838241070913587</v>
      </c>
      <c r="X102" s="13">
        <f t="shared" si="143"/>
        <v>85.016858876102745</v>
      </c>
      <c r="Y102" s="130">
        <f t="shared" si="144"/>
        <v>9.8611102737622414E-6</v>
      </c>
      <c r="Z102" s="141">
        <f t="shared" si="145"/>
        <v>-6.5539999999941756E-3</v>
      </c>
      <c r="AA102" s="142">
        <f t="shared" si="146"/>
        <v>274.98314112389727</v>
      </c>
      <c r="AB102" s="13">
        <v>200</v>
      </c>
      <c r="AC102" s="13">
        <v>13</v>
      </c>
      <c r="AD102" s="13">
        <f t="shared" si="128"/>
        <v>4</v>
      </c>
      <c r="AE102" s="161">
        <f t="shared" si="129"/>
        <v>74.983141123897269</v>
      </c>
      <c r="AF102" s="15">
        <f t="shared" si="104"/>
        <v>0.15377990871170635</v>
      </c>
      <c r="AG102" s="366"/>
      <c r="AH102" s="331"/>
      <c r="AI102" s="339"/>
      <c r="AJ102" s="85">
        <f t="shared" si="105"/>
        <v>1.5861621030839412</v>
      </c>
      <c r="AK102" s="13">
        <f t="shared" si="106"/>
        <v>0.33</v>
      </c>
      <c r="AL102" s="15">
        <f t="shared" si="130"/>
        <v>14.330886011442766</v>
      </c>
      <c r="AM102" s="15">
        <f t="shared" si="131"/>
        <v>7.5012657373388771</v>
      </c>
      <c r="AN102" s="15">
        <f t="shared" si="107"/>
        <v>8.4523221593789231</v>
      </c>
      <c r="AO102" s="15">
        <f t="shared" si="132"/>
        <v>4.3478745187845176</v>
      </c>
      <c r="AP102" s="15">
        <f t="shared" si="133"/>
        <v>0.16625082487618703</v>
      </c>
      <c r="AQ102" s="20">
        <f t="shared" si="108"/>
        <v>4.6249367131323001E-2</v>
      </c>
      <c r="AR102" s="13">
        <f t="shared" si="109"/>
        <v>255163140.95088941</v>
      </c>
      <c r="AS102" s="13">
        <f t="shared" si="134"/>
        <v>1.8271596564156786E-3</v>
      </c>
      <c r="AT102" s="15">
        <f t="shared" si="110"/>
        <v>570.61010758852285</v>
      </c>
      <c r="AU102" s="13">
        <f t="shared" si="111"/>
        <v>22035.847381415471</v>
      </c>
      <c r="AV102" s="339"/>
      <c r="AW102" s="339"/>
      <c r="AX102" s="356"/>
      <c r="AY102" s="339"/>
      <c r="AZ102" s="339"/>
      <c r="BA102" s="331"/>
      <c r="BB102" s="331"/>
      <c r="BC102" s="331"/>
      <c r="BD102" s="339"/>
      <c r="BE102" s="339"/>
      <c r="BF102" s="339"/>
      <c r="BG102" s="339"/>
      <c r="BH102" s="337"/>
      <c r="BI102" s="331"/>
      <c r="BJ102" s="331"/>
      <c r="BK102" s="331"/>
      <c r="BL102" s="15">
        <f t="shared" si="112"/>
        <v>-2.058798394735464E-2</v>
      </c>
      <c r="BM102" s="20">
        <f t="shared" si="135"/>
        <v>658.70752874288019</v>
      </c>
      <c r="BN102" s="20">
        <f t="shared" si="113"/>
        <v>7107.042390266909</v>
      </c>
      <c r="BO102" s="20">
        <f t="shared" si="114"/>
        <v>57.961754412047341</v>
      </c>
      <c r="BP102" s="20">
        <f t="shared" si="136"/>
        <v>66.656017573854442</v>
      </c>
      <c r="BQ102" s="15">
        <f t="shared" si="137"/>
        <v>289.81200033301474</v>
      </c>
      <c r="BR102" s="15">
        <f t="shared" si="115"/>
        <v>3.1634743426754</v>
      </c>
      <c r="BS102" s="6">
        <f t="shared" si="116"/>
        <v>692.83993663822639</v>
      </c>
      <c r="BT102" s="15">
        <f t="shared" si="117"/>
        <v>706.97952718186366</v>
      </c>
      <c r="BU102" s="13">
        <f t="shared" si="118"/>
        <v>848.7149185856706</v>
      </c>
      <c r="BV102" s="13">
        <f t="shared" si="138"/>
        <v>424.3574592928353</v>
      </c>
      <c r="BW102" s="13">
        <f t="shared" si="139"/>
        <v>424.3574592928353</v>
      </c>
      <c r="BX102" s="139">
        <f t="shared" si="119"/>
        <v>40.414996123127175</v>
      </c>
      <c r="BY102" s="15">
        <f t="shared" si="140"/>
        <v>3.5170264962111628E-3</v>
      </c>
      <c r="BZ102" s="15">
        <f t="shared" si="141"/>
        <v>3.5170264962111628E-3</v>
      </c>
      <c r="CA102" s="66">
        <f t="shared" si="147"/>
        <v>7.0340529924223256E-3</v>
      </c>
      <c r="CB102" s="331"/>
      <c r="CC102" s="361"/>
      <c r="CD102" s="361"/>
      <c r="CE102" s="361"/>
      <c r="CF102" s="115"/>
    </row>
    <row r="103" spans="3:84" ht="15.75" x14ac:dyDescent="0.3">
      <c r="C103" s="13">
        <v>73</v>
      </c>
      <c r="D103" s="379"/>
      <c r="E103" s="379"/>
      <c r="F103" s="19" t="s">
        <v>128</v>
      </c>
      <c r="G103" s="256"/>
      <c r="H103" s="54">
        <v>0.98888888888887605</v>
      </c>
      <c r="I103" s="13">
        <v>-8.5745190000000004</v>
      </c>
      <c r="J103" s="82">
        <v>115.665083</v>
      </c>
      <c r="K103" s="13">
        <f t="shared" si="16"/>
        <v>-0.14965358832481168</v>
      </c>
      <c r="L103" s="13">
        <f t="shared" si="16"/>
        <v>2.0187365279425205</v>
      </c>
      <c r="M103" s="13">
        <v>3443</v>
      </c>
      <c r="N103" s="89">
        <f t="shared" si="142"/>
        <v>0.41014442277637292</v>
      </c>
      <c r="O103" s="331"/>
      <c r="P103" s="89">
        <f t="shared" si="122"/>
        <v>4.9999999999994493E-2</v>
      </c>
      <c r="Q103" s="331"/>
      <c r="R103" s="20">
        <f t="shared" si="124"/>
        <v>8.2028884555283614</v>
      </c>
      <c r="S103" s="347"/>
      <c r="T103" s="15">
        <f t="shared" si="19"/>
        <v>4.2195658215237888</v>
      </c>
      <c r="U103" s="130">
        <f t="shared" si="126"/>
        <v>2.0883179116220035E-5</v>
      </c>
      <c r="V103" s="13">
        <f t="shared" si="127"/>
        <v>1.1864748255074886E-4</v>
      </c>
      <c r="W103" s="13">
        <f t="shared" si="51"/>
        <v>1.3965705488698372</v>
      </c>
      <c r="X103" s="13">
        <f t="shared" si="143"/>
        <v>80.017598242510559</v>
      </c>
      <c r="Y103" s="130">
        <f t="shared" si="144"/>
        <v>2.0647245051075291E-5</v>
      </c>
      <c r="Z103" s="141">
        <f t="shared" si="145"/>
        <v>-6.7980000000034124E-3</v>
      </c>
      <c r="AA103" s="142">
        <f t="shared" si="146"/>
        <v>279.98240175748947</v>
      </c>
      <c r="AB103" s="13">
        <v>200</v>
      </c>
      <c r="AC103" s="13">
        <v>13</v>
      </c>
      <c r="AD103" s="13">
        <f t="shared" si="128"/>
        <v>4</v>
      </c>
      <c r="AE103" s="161">
        <f t="shared" si="129"/>
        <v>79.98240175748947</v>
      </c>
      <c r="AF103" s="15">
        <f t="shared" si="104"/>
        <v>0.16134465137319723</v>
      </c>
      <c r="AG103" s="366"/>
      <c r="AH103" s="331"/>
      <c r="AI103" s="339"/>
      <c r="AJ103" s="85">
        <f t="shared" si="105"/>
        <v>1.5441270352576431</v>
      </c>
      <c r="AK103" s="13">
        <f t="shared" si="106"/>
        <v>0.33</v>
      </c>
      <c r="AL103" s="15">
        <f t="shared" si="130"/>
        <v>14.330886011442766</v>
      </c>
      <c r="AM103" s="15">
        <f t="shared" si="131"/>
        <v>7.3024738147232355</v>
      </c>
      <c r="AN103" s="15">
        <f t="shared" si="107"/>
        <v>8.8490910093253738</v>
      </c>
      <c r="AO103" s="15">
        <f t="shared" si="132"/>
        <v>4.551972415196972</v>
      </c>
      <c r="AP103" s="15">
        <f t="shared" si="133"/>
        <v>0.17405496997914896</v>
      </c>
      <c r="AQ103" s="20">
        <f t="shared" si="108"/>
        <v>4.6348763092633284E-2</v>
      </c>
      <c r="AR103" s="13">
        <f t="shared" si="109"/>
        <v>267141007.39691329</v>
      </c>
      <c r="AS103" s="13">
        <f t="shared" si="134"/>
        <v>1.8158489819155952E-3</v>
      </c>
      <c r="AT103" s="15">
        <f t="shared" si="110"/>
        <v>621.56697207113757</v>
      </c>
      <c r="AU103" s="13">
        <f t="shared" si="111"/>
        <v>24003.701917886625</v>
      </c>
      <c r="AV103" s="339"/>
      <c r="AW103" s="339"/>
      <c r="AX103" s="356"/>
      <c r="AY103" s="339"/>
      <c r="AZ103" s="339"/>
      <c r="BA103" s="331"/>
      <c r="BB103" s="331"/>
      <c r="BC103" s="331"/>
      <c r="BD103" s="339"/>
      <c r="BE103" s="339"/>
      <c r="BF103" s="339"/>
      <c r="BG103" s="339"/>
      <c r="BH103" s="337"/>
      <c r="BI103" s="331"/>
      <c r="BJ103" s="331"/>
      <c r="BK103" s="331"/>
      <c r="BL103" s="15">
        <f t="shared" si="112"/>
        <v>-2.8272204191523039E-2</v>
      </c>
      <c r="BM103" s="20">
        <f t="shared" si="135"/>
        <v>1113.7211482429614</v>
      </c>
      <c r="BN103" s="20">
        <f t="shared" si="113"/>
        <v>7789.9405908805475</v>
      </c>
      <c r="BO103" s="20">
        <f t="shared" si="114"/>
        <v>63.582290995557173</v>
      </c>
      <c r="BP103" s="20">
        <f t="shared" si="136"/>
        <v>73.119634644890752</v>
      </c>
      <c r="BQ103" s="15">
        <f t="shared" si="137"/>
        <v>332.83855991282354</v>
      </c>
      <c r="BR103" s="15">
        <f t="shared" si="115"/>
        <v>3.3119741339884481</v>
      </c>
      <c r="BS103" s="6">
        <f t="shared" si="116"/>
        <v>795.701511655069</v>
      </c>
      <c r="BT103" s="15">
        <f t="shared" si="117"/>
        <v>811.94031801537653</v>
      </c>
      <c r="BU103" s="13">
        <f t="shared" si="118"/>
        <v>974.71826892602223</v>
      </c>
      <c r="BV103" s="13">
        <f t="shared" si="138"/>
        <v>487.35913446301112</v>
      </c>
      <c r="BW103" s="13">
        <f t="shared" si="139"/>
        <v>487.35913446301112</v>
      </c>
      <c r="BX103" s="139">
        <f t="shared" si="119"/>
        <v>46.415155663143914</v>
      </c>
      <c r="BY103" s="15">
        <f t="shared" si="140"/>
        <v>4.0478579571148381E-3</v>
      </c>
      <c r="BZ103" s="15">
        <f t="shared" si="141"/>
        <v>4.0478579571148381E-3</v>
      </c>
      <c r="CA103" s="66">
        <f t="shared" si="147"/>
        <v>8.0957159142296762E-3</v>
      </c>
      <c r="CB103" s="331"/>
      <c r="CC103" s="361"/>
      <c r="CD103" s="361"/>
      <c r="CE103" s="361"/>
      <c r="CF103" s="115"/>
    </row>
    <row r="104" spans="3:84" ht="15.75" x14ac:dyDescent="0.3">
      <c r="C104" s="13">
        <v>74</v>
      </c>
      <c r="D104" s="379"/>
      <c r="E104" s="379"/>
      <c r="F104" s="19" t="s">
        <v>128</v>
      </c>
      <c r="G104" s="257"/>
      <c r="H104" s="54">
        <v>0.99097222222220904</v>
      </c>
      <c r="I104" s="13">
        <v>-8.5729880000000005</v>
      </c>
      <c r="J104" s="82">
        <v>115.65847599999999</v>
      </c>
      <c r="K104" s="13">
        <f t="shared" si="16"/>
        <v>-0.14962686733396363</v>
      </c>
      <c r="L104" s="13">
        <f t="shared" si="16"/>
        <v>2.0186212140388409</v>
      </c>
      <c r="M104" s="13">
        <v>3443</v>
      </c>
      <c r="N104" s="89">
        <f t="shared" si="142"/>
        <v>0.40322466161912457</v>
      </c>
      <c r="O104" s="331"/>
      <c r="P104" s="89">
        <f t="shared" si="122"/>
        <v>4.9999999999991829E-2</v>
      </c>
      <c r="Q104" s="331"/>
      <c r="R104" s="20">
        <f t="shared" si="124"/>
        <v>8.0644932323838088</v>
      </c>
      <c r="S104" s="347"/>
      <c r="T104" s="15">
        <f t="shared" si="19"/>
        <v>4.1483753187382311</v>
      </c>
      <c r="U104" s="130">
        <f t="shared" si="126"/>
        <v>2.7026231982548431E-5</v>
      </c>
      <c r="V104" s="13">
        <f t="shared" si="127"/>
        <v>1.1531390367958139E-4</v>
      </c>
      <c r="W104" s="13">
        <f t="shared" si="51"/>
        <v>1.3405805553775723</v>
      </c>
      <c r="X104" s="13">
        <f t="shared" si="143"/>
        <v>76.809607920438822</v>
      </c>
      <c r="Y104" s="130">
        <f t="shared" si="144"/>
        <v>2.6720990848050352E-5</v>
      </c>
      <c r="Z104" s="141">
        <f t="shared" si="145"/>
        <v>-6.607000000002472E-3</v>
      </c>
      <c r="AA104" s="142">
        <f t="shared" si="146"/>
        <v>283.19039207956121</v>
      </c>
      <c r="AB104" s="13">
        <v>200</v>
      </c>
      <c r="AC104" s="13">
        <v>13</v>
      </c>
      <c r="AD104" s="13">
        <f t="shared" si="128"/>
        <v>4</v>
      </c>
      <c r="AE104" s="161">
        <f t="shared" si="129"/>
        <v>83.190392079561207</v>
      </c>
      <c r="AF104" s="15">
        <f t="shared" si="104"/>
        <v>0.15862252133924259</v>
      </c>
      <c r="AG104" s="366"/>
      <c r="AH104" s="331"/>
      <c r="AI104" s="339"/>
      <c r="AJ104" s="85">
        <f t="shared" si="105"/>
        <v>1.5593809851745144</v>
      </c>
      <c r="AK104" s="13">
        <f t="shared" si="106"/>
        <v>0.33</v>
      </c>
      <c r="AL104" s="15">
        <f t="shared" si="130"/>
        <v>14.330886011442766</v>
      </c>
      <c r="AM104" s="15">
        <f t="shared" si="131"/>
        <v>7.3746126784926052</v>
      </c>
      <c r="AN104" s="15">
        <f t="shared" si="107"/>
        <v>8.7065689716271262</v>
      </c>
      <c r="AO104" s="15">
        <f t="shared" si="132"/>
        <v>4.4786590790049932</v>
      </c>
      <c r="AP104" s="15">
        <f t="shared" si="133"/>
        <v>0.17125166860426266</v>
      </c>
      <c r="AQ104" s="20">
        <f t="shared" si="108"/>
        <v>4.6312693660746133E-2</v>
      </c>
      <c r="AR104" s="13">
        <f t="shared" si="109"/>
        <v>262838477.26281837</v>
      </c>
      <c r="AS104" s="13">
        <f t="shared" si="134"/>
        <v>1.8198403603307337E-3</v>
      </c>
      <c r="AT104" s="15">
        <f t="shared" si="110"/>
        <v>603.02908784681256</v>
      </c>
      <c r="AU104" s="13">
        <f t="shared" si="111"/>
        <v>23287.805052217798</v>
      </c>
      <c r="AV104" s="339"/>
      <c r="AW104" s="339"/>
      <c r="AX104" s="356"/>
      <c r="AY104" s="339"/>
      <c r="AZ104" s="339"/>
      <c r="BA104" s="331"/>
      <c r="BB104" s="331"/>
      <c r="BC104" s="331"/>
      <c r="BD104" s="339"/>
      <c r="BE104" s="339"/>
      <c r="BF104" s="339"/>
      <c r="BG104" s="339"/>
      <c r="BH104" s="337"/>
      <c r="BI104" s="331"/>
      <c r="BJ104" s="331"/>
      <c r="BK104" s="331"/>
      <c r="BL104" s="15">
        <f t="shared" si="112"/>
        <v>-2.5353781309826552E-2</v>
      </c>
      <c r="BM104" s="20">
        <f t="shared" si="135"/>
        <v>926.46687146132297</v>
      </c>
      <c r="BN104" s="20">
        <f t="shared" si="113"/>
        <v>7541.0342238122685</v>
      </c>
      <c r="BO104" s="20">
        <f t="shared" si="114"/>
        <v>61.515371086421595</v>
      </c>
      <c r="BP104" s="20">
        <f t="shared" si="136"/>
        <v>70.742676749384827</v>
      </c>
      <c r="BQ104" s="15">
        <f t="shared" si="137"/>
        <v>316.83233149674777</v>
      </c>
      <c r="BR104" s="15">
        <f t="shared" si="115"/>
        <v>3.2586320108390208</v>
      </c>
      <c r="BS104" s="6">
        <f t="shared" si="116"/>
        <v>757.43617319817974</v>
      </c>
      <c r="BT104" s="15">
        <f t="shared" si="117"/>
        <v>772.89405428385692</v>
      </c>
      <c r="BU104" s="13">
        <f t="shared" si="118"/>
        <v>927.84400274172503</v>
      </c>
      <c r="BV104" s="13">
        <f t="shared" si="138"/>
        <v>463.92200137086252</v>
      </c>
      <c r="BW104" s="13">
        <f t="shared" si="139"/>
        <v>463.92200137086252</v>
      </c>
      <c r="BX104" s="139">
        <f t="shared" si="119"/>
        <v>44.183047749605954</v>
      </c>
      <c r="BY104" s="15">
        <f t="shared" si="140"/>
        <v>3.8501975737288449E-3</v>
      </c>
      <c r="BZ104" s="15">
        <f t="shared" si="141"/>
        <v>3.8501975737288449E-3</v>
      </c>
      <c r="CA104" s="66">
        <f t="shared" si="147"/>
        <v>7.7003951474576898E-3</v>
      </c>
      <c r="CB104" s="331"/>
      <c r="CC104" s="362"/>
      <c r="CD104" s="362"/>
      <c r="CE104" s="362"/>
      <c r="CF104" s="115"/>
    </row>
    <row r="105" spans="3:84" ht="15.75" x14ac:dyDescent="0.3">
      <c r="C105" s="13">
        <v>75</v>
      </c>
      <c r="D105" s="379"/>
      <c r="E105" s="379"/>
      <c r="F105" s="19" t="s">
        <v>128</v>
      </c>
      <c r="G105" s="255">
        <v>0.99305555555555503</v>
      </c>
      <c r="H105" s="54">
        <v>0.99305555555554204</v>
      </c>
      <c r="I105" s="82">
        <v>-8.5713469999999994</v>
      </c>
      <c r="J105" s="82">
        <v>115.65159199999999</v>
      </c>
      <c r="K105" s="13">
        <f t="shared" si="16"/>
        <v>-0.1495982264809384</v>
      </c>
      <c r="L105" s="13">
        <f t="shared" si="16"/>
        <v>2.0185010655731337</v>
      </c>
      <c r="M105" s="13">
        <v>3443</v>
      </c>
      <c r="N105" s="89">
        <f t="shared" si="142"/>
        <v>0.42076826224702446</v>
      </c>
      <c r="O105" s="331"/>
      <c r="P105" s="89">
        <f t="shared" si="122"/>
        <v>4.9999999999991829E-2</v>
      </c>
      <c r="Q105" s="358"/>
      <c r="R105" s="20">
        <f t="shared" si="124"/>
        <v>8.4153652449418637</v>
      </c>
      <c r="S105" s="348"/>
      <c r="T105" s="15">
        <f t="shared" si="19"/>
        <v>4.3288638819980942</v>
      </c>
      <c r="U105" s="130">
        <f t="shared" si="126"/>
        <v>2.8967903731015267E-5</v>
      </c>
      <c r="V105" s="13">
        <f t="shared" si="127"/>
        <v>1.2014846570718163E-4</v>
      </c>
      <c r="W105" s="13">
        <f t="shared" si="51"/>
        <v>1.3342106606302024</v>
      </c>
      <c r="X105" s="13">
        <f t="shared" si="143"/>
        <v>76.444639835471989</v>
      </c>
      <c r="Y105" s="130">
        <f t="shared" si="144"/>
        <v>2.8640853025230228E-5</v>
      </c>
      <c r="Z105" s="141">
        <f t="shared" si="145"/>
        <v>-6.8839999999994461E-3</v>
      </c>
      <c r="AA105" s="142">
        <f t="shared" si="146"/>
        <v>283.555360164528</v>
      </c>
      <c r="AB105" s="13">
        <v>200</v>
      </c>
      <c r="AC105" s="13">
        <v>13</v>
      </c>
      <c r="AD105" s="13">
        <f t="shared" si="128"/>
        <v>4</v>
      </c>
      <c r="AE105" s="161">
        <f t="shared" si="129"/>
        <v>83.555360164527997</v>
      </c>
      <c r="AF105" s="15">
        <f t="shared" si="104"/>
        <v>0.16552391014267537</v>
      </c>
      <c r="AG105" s="366"/>
      <c r="AH105" s="331"/>
      <c r="AI105" s="339"/>
      <c r="AJ105" s="85">
        <f t="shared" si="105"/>
        <v>1.5204280258027834</v>
      </c>
      <c r="AK105" s="13">
        <f t="shared" si="106"/>
        <v>0.33</v>
      </c>
      <c r="AL105" s="15">
        <f t="shared" si="130"/>
        <v>14.330886011442766</v>
      </c>
      <c r="AM105" s="15">
        <f t="shared" si="131"/>
        <v>7.1903966397062744</v>
      </c>
      <c r="AN105" s="15">
        <f t="shared" si="107"/>
        <v>9.0673431845978207</v>
      </c>
      <c r="AO105" s="15">
        <f t="shared" si="132"/>
        <v>4.6642413341571185</v>
      </c>
      <c r="AP105" s="15">
        <f t="shared" si="133"/>
        <v>0.17834782624821627</v>
      </c>
      <c r="AQ105" s="20">
        <f t="shared" si="108"/>
        <v>4.6404801680139288E-2</v>
      </c>
      <c r="AR105" s="13">
        <f t="shared" si="109"/>
        <v>273729718.70154411</v>
      </c>
      <c r="AS105" s="13">
        <f t="shared" si="134"/>
        <v>1.8098842600000763E-3</v>
      </c>
      <c r="AT105" s="15">
        <f t="shared" si="110"/>
        <v>650.46178892005571</v>
      </c>
      <c r="AU105" s="13">
        <f t="shared" si="111"/>
        <v>25119.563284043605</v>
      </c>
      <c r="AV105" s="339"/>
      <c r="AW105" s="339"/>
      <c r="AX105" s="356"/>
      <c r="AY105" s="339"/>
      <c r="AZ105" s="339"/>
      <c r="BA105" s="331"/>
      <c r="BB105" s="331"/>
      <c r="BC105" s="331"/>
      <c r="BD105" s="339"/>
      <c r="BE105" s="339"/>
      <c r="BF105" s="339"/>
      <c r="BG105" s="339"/>
      <c r="BH105" s="337"/>
      <c r="BI105" s="331"/>
      <c r="BJ105" s="331"/>
      <c r="BK105" s="331"/>
      <c r="BL105" s="15">
        <f t="shared" si="112"/>
        <v>-3.3078086367640668E-2</v>
      </c>
      <c r="BM105" s="20">
        <f t="shared" si="135"/>
        <v>1462.5884621118823</v>
      </c>
      <c r="BN105" s="20">
        <f t="shared" si="113"/>
        <v>8178.9382446818299</v>
      </c>
      <c r="BO105" s="20">
        <f t="shared" si="114"/>
        <v>66.862004306053606</v>
      </c>
      <c r="BP105" s="20">
        <f t="shared" si="136"/>
        <v>76.891304951961644</v>
      </c>
      <c r="BQ105" s="15">
        <f t="shared" si="137"/>
        <v>358.63960279421946</v>
      </c>
      <c r="BR105" s="15">
        <f t="shared" si="115"/>
        <v>3.3936599883239165</v>
      </c>
      <c r="BS105" s="6">
        <f t="shared" si="116"/>
        <v>857.38285298878088</v>
      </c>
      <c r="BT105" s="15">
        <f t="shared" si="117"/>
        <v>874.88046223344986</v>
      </c>
      <c r="BU105" s="13">
        <f t="shared" si="118"/>
        <v>1050.2766653462784</v>
      </c>
      <c r="BV105" s="13">
        <f t="shared" si="138"/>
        <v>525.13833267313919</v>
      </c>
      <c r="BW105" s="13">
        <f t="shared" si="139"/>
        <v>525.13833267313919</v>
      </c>
      <c r="BX105" s="139">
        <f t="shared" si="119"/>
        <v>50.013174540298962</v>
      </c>
      <c r="BY105" s="15">
        <f t="shared" si="140"/>
        <v>4.3669140806746175E-3</v>
      </c>
      <c r="BZ105" s="15">
        <f t="shared" si="141"/>
        <v>4.3669140806746175E-3</v>
      </c>
      <c r="CA105" s="66">
        <f t="shared" si="147"/>
        <v>8.7338281613492351E-3</v>
      </c>
      <c r="CB105" s="331"/>
      <c r="CC105" s="360">
        <f t="shared" ref="CC105" si="152">SUM(CA105:CA109)*1000</f>
        <v>45.313997447463137</v>
      </c>
      <c r="CD105" s="360">
        <v>50</v>
      </c>
      <c r="CE105" s="360">
        <f t="shared" ref="CE105" si="153">AVERAGE(AN105:AN109)</f>
        <v>8.8746762719595225</v>
      </c>
      <c r="CF105" s="115"/>
    </row>
    <row r="106" spans="3:84" ht="15.75" x14ac:dyDescent="0.3">
      <c r="C106" s="13">
        <v>76</v>
      </c>
      <c r="D106" s="379"/>
      <c r="E106" s="379"/>
      <c r="F106" s="19" t="s">
        <v>128</v>
      </c>
      <c r="G106" s="256"/>
      <c r="H106" s="54">
        <v>0.99513888888887503</v>
      </c>
      <c r="I106" s="82">
        <v>-8.5698469999999993</v>
      </c>
      <c r="J106" s="82">
        <v>115.643072</v>
      </c>
      <c r="K106" s="13">
        <f t="shared" si="16"/>
        <v>-0.14957204654215847</v>
      </c>
      <c r="L106" s="13">
        <f t="shared" si="16"/>
        <v>2.0183523635208642</v>
      </c>
      <c r="M106" s="13">
        <v>3443</v>
      </c>
      <c r="N106" s="89">
        <f t="shared" si="142"/>
        <v>0.51422551177914511</v>
      </c>
      <c r="O106" s="331">
        <f>SUM(N106:N110)</f>
        <v>2.4090383857122371</v>
      </c>
      <c r="P106" s="89">
        <f t="shared" si="122"/>
        <v>4.9999999999991829E-2</v>
      </c>
      <c r="Q106" s="357">
        <f t="shared" ref="Q106" si="154">SUM(P106:P110)</f>
        <v>0.24999999999978861</v>
      </c>
      <c r="R106" s="20">
        <f t="shared" si="124"/>
        <v>10.284510235584582</v>
      </c>
      <c r="S106" s="346">
        <f t="shared" ref="S106" si="155">AVERAGE(R106:R110)</f>
        <v>9.6361535428571798</v>
      </c>
      <c r="T106" s="15">
        <f t="shared" si="19"/>
        <v>5.2903520651847087</v>
      </c>
      <c r="U106" s="130">
        <f t="shared" si="126"/>
        <v>2.6478778250094102E-5</v>
      </c>
      <c r="V106" s="13">
        <f t="shared" si="127"/>
        <v>1.4870205226946709E-4</v>
      </c>
      <c r="W106" s="13">
        <f t="shared" si="51"/>
        <v>1.3945773322284984</v>
      </c>
      <c r="X106" s="13">
        <f t="shared" si="143"/>
        <v>79.903395341306606</v>
      </c>
      <c r="Y106" s="130">
        <f t="shared" si="144"/>
        <v>2.6179938779929968E-5</v>
      </c>
      <c r="Z106" s="141">
        <f t="shared" si="145"/>
        <v>-8.5199999999900911E-3</v>
      </c>
      <c r="AA106" s="142">
        <f t="shared" si="146"/>
        <v>280.09660465869342</v>
      </c>
      <c r="AB106" s="13">
        <v>200</v>
      </c>
      <c r="AC106" s="13">
        <v>13</v>
      </c>
      <c r="AD106" s="13">
        <f t="shared" si="128"/>
        <v>4</v>
      </c>
      <c r="AE106" s="161">
        <f t="shared" si="129"/>
        <v>80.096604658693423</v>
      </c>
      <c r="AF106" s="15">
        <f t="shared" si="104"/>
        <v>0.20228858742875488</v>
      </c>
      <c r="AG106" s="366"/>
      <c r="AH106" s="331"/>
      <c r="AI106" s="339"/>
      <c r="AJ106" s="85">
        <f t="shared" si="105"/>
        <v>1.2973480071700791</v>
      </c>
      <c r="AK106" s="13">
        <f t="shared" si="106"/>
        <v>0.33</v>
      </c>
      <c r="AL106" s="15">
        <f t="shared" si="130"/>
        <v>14.330886011442766</v>
      </c>
      <c r="AM106" s="15">
        <f t="shared" si="131"/>
        <v>6.135408314615856</v>
      </c>
      <c r="AN106" s="15">
        <f t="shared" si="107"/>
        <v>10.956751689770579</v>
      </c>
      <c r="AO106" s="15">
        <f t="shared" si="132"/>
        <v>5.6361530692179853</v>
      </c>
      <c r="AP106" s="15">
        <f t="shared" si="133"/>
        <v>0.21551107163688185</v>
      </c>
      <c r="AQ106" s="20">
        <f t="shared" si="108"/>
        <v>4.6932295842684407E-2</v>
      </c>
      <c r="AR106" s="13">
        <f t="shared" si="109"/>
        <v>330768175.07228792</v>
      </c>
      <c r="AS106" s="13">
        <f t="shared" si="134"/>
        <v>1.7645319410806355E-3</v>
      </c>
      <c r="AT106" s="15">
        <f t="shared" si="110"/>
        <v>925.98519363645698</v>
      </c>
      <c r="AU106" s="13">
        <f t="shared" si="111"/>
        <v>35759.738800732448</v>
      </c>
      <c r="AV106" s="339"/>
      <c r="AW106" s="339"/>
      <c r="AX106" s="356"/>
      <c r="AY106" s="339"/>
      <c r="AZ106" s="339"/>
      <c r="BA106" s="331"/>
      <c r="BB106" s="331"/>
      <c r="BC106" s="331"/>
      <c r="BD106" s="339"/>
      <c r="BE106" s="339"/>
      <c r="BF106" s="339"/>
      <c r="BG106" s="339"/>
      <c r="BH106" s="337"/>
      <c r="BI106" s="331"/>
      <c r="BJ106" s="331"/>
      <c r="BK106" s="331"/>
      <c r="BL106" s="15">
        <f t="shared" si="112"/>
        <v>-8.9090806856001015E-2</v>
      </c>
      <c r="BM106" s="20">
        <f t="shared" si="135"/>
        <v>10197.313559401189</v>
      </c>
      <c r="BN106" s="20">
        <f t="shared" si="113"/>
        <v>11942.643301465083</v>
      </c>
      <c r="BO106" s="20">
        <f t="shared" si="114"/>
        <v>103.59795475139775</v>
      </c>
      <c r="BP106" s="20">
        <f t="shared" si="136"/>
        <v>119.13764796410742</v>
      </c>
      <c r="BQ106" s="15">
        <f t="shared" si="137"/>
        <v>671.47802023231588</v>
      </c>
      <c r="BR106" s="15">
        <f t="shared" si="115"/>
        <v>4.1008142136647425</v>
      </c>
      <c r="BS106" s="6">
        <f t="shared" si="116"/>
        <v>1605.2709634423024</v>
      </c>
      <c r="BT106" s="15">
        <f t="shared" si="117"/>
        <v>1638.0315953492882</v>
      </c>
      <c r="BU106" s="13">
        <f t="shared" si="118"/>
        <v>1966.424484212831</v>
      </c>
      <c r="BV106" s="13">
        <f t="shared" si="138"/>
        <v>983.21224210641549</v>
      </c>
      <c r="BW106" s="13">
        <f t="shared" si="139"/>
        <v>983.21224210641549</v>
      </c>
      <c r="BX106" s="139">
        <f t="shared" si="119"/>
        <v>93.639261152991949</v>
      </c>
      <c r="BY106" s="15">
        <f t="shared" si="140"/>
        <v>8.2690778818255688E-3</v>
      </c>
      <c r="BZ106" s="15">
        <f t="shared" si="141"/>
        <v>8.2690778818255688E-3</v>
      </c>
      <c r="CA106" s="66">
        <f t="shared" si="147"/>
        <v>1.6538155763651138E-2</v>
      </c>
      <c r="CB106" s="331"/>
      <c r="CC106" s="361"/>
      <c r="CD106" s="361"/>
      <c r="CE106" s="361"/>
      <c r="CF106" s="115"/>
    </row>
    <row r="107" spans="3:84" ht="15.75" x14ac:dyDescent="0.3">
      <c r="C107" s="13">
        <v>77</v>
      </c>
      <c r="D107" s="379"/>
      <c r="E107" s="379"/>
      <c r="F107" s="19" t="s">
        <v>128</v>
      </c>
      <c r="G107" s="256"/>
      <c r="H107" s="54">
        <v>0.99722222222220802</v>
      </c>
      <c r="I107" s="82">
        <v>-8.5688960000000005</v>
      </c>
      <c r="J107" s="82">
        <v>115.635869</v>
      </c>
      <c r="K107" s="13">
        <f t="shared" si="16"/>
        <v>-0.14955544846097205</v>
      </c>
      <c r="L107" s="13">
        <f t="shared" si="16"/>
        <v>2.0182266474548429</v>
      </c>
      <c r="M107" s="13">
        <v>3443</v>
      </c>
      <c r="N107" s="89">
        <f t="shared" si="142"/>
        <v>0.43180652323310953</v>
      </c>
      <c r="O107" s="331"/>
      <c r="P107" s="89">
        <f t="shared" si="122"/>
        <v>4.9999999999991829E-2</v>
      </c>
      <c r="Q107" s="331"/>
      <c r="R107" s="20">
        <f t="shared" si="124"/>
        <v>8.6361304646636015</v>
      </c>
      <c r="S107" s="347"/>
      <c r="T107" s="15">
        <f t="shared" si="19"/>
        <v>4.4424255110229565</v>
      </c>
      <c r="U107" s="130">
        <f t="shared" si="126"/>
        <v>1.6787491005877067E-5</v>
      </c>
      <c r="V107" s="13">
        <f t="shared" si="127"/>
        <v>1.2571606602129748E-4</v>
      </c>
      <c r="W107" s="13">
        <f t="shared" si="51"/>
        <v>1.4380466858771992</v>
      </c>
      <c r="X107" s="13">
        <f t="shared" si="143"/>
        <v>82.394005843538764</v>
      </c>
      <c r="Y107" s="130">
        <f t="shared" si="144"/>
        <v>1.6598081186425251E-5</v>
      </c>
      <c r="Z107" s="141">
        <f t="shared" si="145"/>
        <v>-7.2030000000040673E-3</v>
      </c>
      <c r="AA107" s="142">
        <f t="shared" si="146"/>
        <v>277.60599415646124</v>
      </c>
      <c r="AB107" s="13">
        <v>200</v>
      </c>
      <c r="AC107" s="13">
        <v>13</v>
      </c>
      <c r="AD107" s="13">
        <f t="shared" si="128"/>
        <v>4</v>
      </c>
      <c r="AE107" s="161">
        <f t="shared" si="129"/>
        <v>77.605994156461236</v>
      </c>
      <c r="AF107" s="15">
        <f t="shared" si="104"/>
        <v>0.16986619610748394</v>
      </c>
      <c r="AG107" s="366"/>
      <c r="AH107" s="331"/>
      <c r="AI107" s="339"/>
      <c r="AJ107" s="85">
        <f t="shared" si="105"/>
        <v>1.4954456213050364</v>
      </c>
      <c r="AK107" s="13">
        <f t="shared" si="106"/>
        <v>0.33</v>
      </c>
      <c r="AL107" s="15">
        <f t="shared" si="130"/>
        <v>14.330886011442766</v>
      </c>
      <c r="AM107" s="15">
        <f t="shared" si="131"/>
        <v>7.0722500426271155</v>
      </c>
      <c r="AN107" s="15">
        <f t="shared" si="107"/>
        <v>9.2933816525473851</v>
      </c>
      <c r="AO107" s="15">
        <f t="shared" si="132"/>
        <v>4.7805155220703748</v>
      </c>
      <c r="AP107" s="15">
        <f t="shared" si="133"/>
        <v>0.18279383304277108</v>
      </c>
      <c r="AQ107" s="20">
        <f t="shared" si="108"/>
        <v>4.6463874978678849E-2</v>
      </c>
      <c r="AR107" s="13">
        <f t="shared" si="109"/>
        <v>280553486.69928169</v>
      </c>
      <c r="AS107" s="13">
        <f t="shared" si="134"/>
        <v>1.8038860285585136E-3</v>
      </c>
      <c r="AT107" s="15">
        <f t="shared" si="110"/>
        <v>681.03200133866312</v>
      </c>
      <c r="AU107" s="13">
        <f t="shared" si="111"/>
        <v>26300.125153374636</v>
      </c>
      <c r="AV107" s="339"/>
      <c r="AW107" s="339"/>
      <c r="AX107" s="356"/>
      <c r="AY107" s="339"/>
      <c r="AZ107" s="339"/>
      <c r="BA107" s="331"/>
      <c r="BB107" s="331"/>
      <c r="BC107" s="331"/>
      <c r="BD107" s="339"/>
      <c r="BE107" s="339"/>
      <c r="BF107" s="339"/>
      <c r="BG107" s="339"/>
      <c r="BH107" s="337"/>
      <c r="BI107" s="331"/>
      <c r="BJ107" s="331"/>
      <c r="BK107" s="331"/>
      <c r="BL107" s="15">
        <f t="shared" si="112"/>
        <v>-3.8472540896599822E-2</v>
      </c>
      <c r="BM107" s="20">
        <f t="shared" si="135"/>
        <v>1917.3571308556477</v>
      </c>
      <c r="BN107" s="20">
        <f t="shared" si="113"/>
        <v>8591.8041303429891</v>
      </c>
      <c r="BO107" s="20">
        <f t="shared" si="114"/>
        <v>70.418870087719057</v>
      </c>
      <c r="BP107" s="20">
        <f t="shared" si="136"/>
        <v>80.98170060087692</v>
      </c>
      <c r="BQ107" s="15">
        <f t="shared" si="137"/>
        <v>387.1342767261479</v>
      </c>
      <c r="BR107" s="15">
        <f t="shared" si="115"/>
        <v>3.4782600402779997</v>
      </c>
      <c r="BS107" s="6">
        <f t="shared" si="116"/>
        <v>925.50373155433022</v>
      </c>
      <c r="BT107" s="15">
        <f t="shared" si="117"/>
        <v>944.39156281054102</v>
      </c>
      <c r="BU107" s="13">
        <f t="shared" si="118"/>
        <v>1133.7233647185367</v>
      </c>
      <c r="BV107" s="13">
        <f t="shared" si="138"/>
        <v>566.86168235926834</v>
      </c>
      <c r="BW107" s="13">
        <f t="shared" si="139"/>
        <v>566.86168235926834</v>
      </c>
      <c r="BX107" s="139">
        <f t="shared" si="119"/>
        <v>53.986826891358888</v>
      </c>
      <c r="BY107" s="15">
        <f t="shared" si="140"/>
        <v>4.7198753888105533E-3</v>
      </c>
      <c r="BZ107" s="15">
        <f t="shared" si="141"/>
        <v>4.7198753888105533E-3</v>
      </c>
      <c r="CA107" s="66">
        <f t="shared" si="147"/>
        <v>9.4397507776211066E-3</v>
      </c>
      <c r="CB107" s="331"/>
      <c r="CC107" s="361"/>
      <c r="CD107" s="361"/>
      <c r="CE107" s="361"/>
      <c r="CF107" s="115"/>
    </row>
    <row r="108" spans="3:84" ht="15.75" x14ac:dyDescent="0.3">
      <c r="C108" s="13">
        <v>78</v>
      </c>
      <c r="D108" s="379"/>
      <c r="E108" s="379"/>
      <c r="F108" s="19" t="s">
        <v>128</v>
      </c>
      <c r="G108" s="256"/>
      <c r="H108" s="54">
        <v>0.99930555555554201</v>
      </c>
      <c r="I108" s="82">
        <v>-8.5680130000000005</v>
      </c>
      <c r="J108" s="82">
        <v>115.62921900000001</v>
      </c>
      <c r="K108" s="13">
        <f t="shared" si="16"/>
        <v>-0.14954003720367692</v>
      </c>
      <c r="L108" s="13">
        <f t="shared" si="16"/>
        <v>2.0181105830595851</v>
      </c>
      <c r="M108" s="13">
        <v>3443</v>
      </c>
      <c r="N108" s="89">
        <f t="shared" si="142"/>
        <v>0.39869610933893002</v>
      </c>
      <c r="O108" s="331"/>
      <c r="P108" s="89">
        <f t="shared" si="122"/>
        <v>5.000000000001581E-2</v>
      </c>
      <c r="Q108" s="331"/>
      <c r="R108" s="20">
        <f t="shared" si="124"/>
        <v>7.973922186776079</v>
      </c>
      <c r="S108" s="347"/>
      <c r="T108" s="15">
        <f t="shared" si="19"/>
        <v>4.1017855728776151</v>
      </c>
      <c r="U108" s="130">
        <f t="shared" si="126"/>
        <v>1.5587085822739088E-5</v>
      </c>
      <c r="V108" s="13">
        <f t="shared" si="127"/>
        <v>1.1606439525779777E-4</v>
      </c>
      <c r="W108" s="13">
        <f t="shared" si="51"/>
        <v>1.4372982009845543</v>
      </c>
      <c r="X108" s="13">
        <f t="shared" si="143"/>
        <v>82.351120818160908</v>
      </c>
      <c r="Y108" s="130">
        <f t="shared" si="144"/>
        <v>1.5411257295122605E-5</v>
      </c>
      <c r="Z108" s="141">
        <f t="shared" si="145"/>
        <v>-6.6499999999933834E-3</v>
      </c>
      <c r="AA108" s="142">
        <f t="shared" si="146"/>
        <v>277.64887918183911</v>
      </c>
      <c r="AB108" s="13">
        <v>200</v>
      </c>
      <c r="AC108" s="13">
        <v>13</v>
      </c>
      <c r="AD108" s="13">
        <f t="shared" si="128"/>
        <v>4</v>
      </c>
      <c r="AE108" s="161">
        <f t="shared" si="129"/>
        <v>77.648879181839106</v>
      </c>
      <c r="AF108" s="15">
        <f t="shared" si="104"/>
        <v>0.15684105693712258</v>
      </c>
      <c r="AG108" s="366"/>
      <c r="AH108" s="331"/>
      <c r="AI108" s="339"/>
      <c r="AJ108" s="85">
        <f t="shared" si="105"/>
        <v>1.5692859213880026</v>
      </c>
      <c r="AK108" s="13">
        <f t="shared" si="106"/>
        <v>0.33</v>
      </c>
      <c r="AL108" s="15">
        <f t="shared" si="130"/>
        <v>14.330886011442766</v>
      </c>
      <c r="AM108" s="15">
        <f t="shared" si="131"/>
        <v>7.421455027395222</v>
      </c>
      <c r="AN108" s="15">
        <f t="shared" si="107"/>
        <v>8.6131426985978976</v>
      </c>
      <c r="AO108" s="15">
        <f t="shared" si="132"/>
        <v>4.4306006041587587</v>
      </c>
      <c r="AP108" s="15">
        <f t="shared" si="133"/>
        <v>0.16941404402449178</v>
      </c>
      <c r="AQ108" s="20">
        <f t="shared" si="108"/>
        <v>4.6289272486317021E-2</v>
      </c>
      <c r="AR108" s="13">
        <f t="shared" si="109"/>
        <v>260018075.86022618</v>
      </c>
      <c r="AS108" s="13">
        <f t="shared" si="134"/>
        <v>1.8224996879559867E-3</v>
      </c>
      <c r="AT108" s="15">
        <f t="shared" si="110"/>
        <v>591.01925054594062</v>
      </c>
      <c r="AU108" s="13">
        <f t="shared" si="111"/>
        <v>22824.008602911847</v>
      </c>
      <c r="AV108" s="339"/>
      <c r="AW108" s="339"/>
      <c r="AX108" s="356"/>
      <c r="AY108" s="339"/>
      <c r="AZ108" s="339"/>
      <c r="BA108" s="331"/>
      <c r="BB108" s="331"/>
      <c r="BC108" s="331"/>
      <c r="BD108" s="339"/>
      <c r="BE108" s="339"/>
      <c r="BF108" s="339"/>
      <c r="BG108" s="339"/>
      <c r="BH108" s="337"/>
      <c r="BI108" s="331"/>
      <c r="BJ108" s="331"/>
      <c r="BK108" s="331"/>
      <c r="BL108" s="15">
        <f t="shared" si="112"/>
        <v>-2.3536552321154234E-2</v>
      </c>
      <c r="BM108" s="20">
        <f t="shared" si="135"/>
        <v>818.90956497846446</v>
      </c>
      <c r="BN108" s="20">
        <f t="shared" si="113"/>
        <v>7380.0636454925352</v>
      </c>
      <c r="BO108" s="20">
        <f t="shared" si="114"/>
        <v>60.190349741201828</v>
      </c>
      <c r="BP108" s="20">
        <f t="shared" si="136"/>
        <v>69.218902202382097</v>
      </c>
      <c r="BQ108" s="15">
        <f t="shared" si="137"/>
        <v>306.68130991708017</v>
      </c>
      <c r="BR108" s="15">
        <f t="shared" si="115"/>
        <v>3.2236650973581149</v>
      </c>
      <c r="BS108" s="6">
        <f t="shared" si="116"/>
        <v>733.16860270424331</v>
      </c>
      <c r="BT108" s="15">
        <f t="shared" si="117"/>
        <v>748.13122724922789</v>
      </c>
      <c r="BU108" s="13">
        <f t="shared" si="118"/>
        <v>898.11671938682821</v>
      </c>
      <c r="BV108" s="13">
        <f t="shared" si="138"/>
        <v>449.0583596934141</v>
      </c>
      <c r="BW108" s="13">
        <f t="shared" si="139"/>
        <v>449.0583596934141</v>
      </c>
      <c r="BX108" s="139">
        <f t="shared" si="119"/>
        <v>42.7674628279442</v>
      </c>
      <c r="BY108" s="15">
        <f t="shared" si="140"/>
        <v>3.7249559915199753E-3</v>
      </c>
      <c r="BZ108" s="15">
        <f t="shared" si="141"/>
        <v>3.7249559915199753E-3</v>
      </c>
      <c r="CA108" s="66">
        <f t="shared" si="147"/>
        <v>7.4499119830399507E-3</v>
      </c>
      <c r="CB108" s="331"/>
      <c r="CC108" s="361"/>
      <c r="CD108" s="361"/>
      <c r="CE108" s="361"/>
      <c r="CF108" s="115"/>
    </row>
    <row r="109" spans="3:84" ht="15.75" x14ac:dyDescent="0.3">
      <c r="C109" s="13">
        <v>79</v>
      </c>
      <c r="D109" s="379"/>
      <c r="E109" s="379"/>
      <c r="F109" s="19" t="s">
        <v>128</v>
      </c>
      <c r="G109" s="257"/>
      <c r="H109" s="54">
        <v>1.00138888888887</v>
      </c>
      <c r="I109" s="82">
        <v>-8.567482</v>
      </c>
      <c r="J109" s="82">
        <v>115.62428300000001</v>
      </c>
      <c r="K109" s="13">
        <f t="shared" si="16"/>
        <v>-0.14953076950534883</v>
      </c>
      <c r="L109" s="13">
        <f t="shared" si="16"/>
        <v>2.0180244336077067</v>
      </c>
      <c r="M109" s="13">
        <v>3443</v>
      </c>
      <c r="N109" s="89">
        <f t="shared" si="142"/>
        <v>0.29503306933737855</v>
      </c>
      <c r="O109" s="331"/>
      <c r="P109" s="89">
        <f t="shared" si="122"/>
        <v>4.9999999999871925E-2</v>
      </c>
      <c r="Q109" s="331"/>
      <c r="R109" s="20">
        <f t="shared" si="124"/>
        <v>5.9006613867626854</v>
      </c>
      <c r="S109" s="347"/>
      <c r="T109" s="15">
        <f t="shared" si="19"/>
        <v>3.0353002173507253</v>
      </c>
      <c r="U109" s="130">
        <f t="shared" si="126"/>
        <v>9.373416875152406E-6</v>
      </c>
      <c r="V109" s="13">
        <f t="shared" si="127"/>
        <v>8.6149451878458905E-5</v>
      </c>
      <c r="W109" s="13">
        <f t="shared" si="51"/>
        <v>1.462418517844867</v>
      </c>
      <c r="X109" s="13">
        <f t="shared" si="143"/>
        <v>83.790408954288139</v>
      </c>
      <c r="Y109" s="130">
        <f t="shared" si="144"/>
        <v>9.2676983280970404E-6</v>
      </c>
      <c r="Z109" s="141">
        <f t="shared" si="145"/>
        <v>-4.9360000000007176E-3</v>
      </c>
      <c r="AA109" s="142">
        <f t="shared" si="146"/>
        <v>276.20959104571187</v>
      </c>
      <c r="AB109" s="13">
        <v>200</v>
      </c>
      <c r="AC109" s="13">
        <v>13</v>
      </c>
      <c r="AD109" s="13">
        <f t="shared" si="128"/>
        <v>4</v>
      </c>
      <c r="AE109" s="161">
        <f t="shared" si="129"/>
        <v>76.209591045711875</v>
      </c>
      <c r="AF109" s="15">
        <f t="shared" si="104"/>
        <v>0.11606157507565298</v>
      </c>
      <c r="AG109" s="366"/>
      <c r="AH109" s="331"/>
      <c r="AI109" s="339"/>
      <c r="AJ109" s="85">
        <f t="shared" si="105"/>
        <v>1.7791842569831657</v>
      </c>
      <c r="AK109" s="13">
        <f t="shared" si="106"/>
        <v>0.33</v>
      </c>
      <c r="AL109" s="15">
        <f t="shared" si="130"/>
        <v>14.330886011442766</v>
      </c>
      <c r="AM109" s="15">
        <f t="shared" si="131"/>
        <v>8.4141046374591504</v>
      </c>
      <c r="AN109" s="15">
        <f t="shared" si="107"/>
        <v>6.4427621342839316</v>
      </c>
      <c r="AO109" s="15">
        <f t="shared" si="132"/>
        <v>3.3141568418756542</v>
      </c>
      <c r="AP109" s="15">
        <f t="shared" si="133"/>
        <v>0.12672428938563701</v>
      </c>
      <c r="AQ109" s="20">
        <f t="shared" si="108"/>
        <v>4.5792947681153127E-2</v>
      </c>
      <c r="AR109" s="13">
        <f t="shared" si="109"/>
        <v>194497487.38684398</v>
      </c>
      <c r="AS109" s="13">
        <f t="shared" si="134"/>
        <v>1.896312694406634E-3</v>
      </c>
      <c r="AT109" s="15">
        <f t="shared" si="110"/>
        <v>344.08443454261777</v>
      </c>
      <c r="AU109" s="13">
        <f t="shared" si="111"/>
        <v>13287.86852014444</v>
      </c>
      <c r="AV109" s="339"/>
      <c r="AW109" s="339"/>
      <c r="AX109" s="356"/>
      <c r="AY109" s="339"/>
      <c r="AZ109" s="339"/>
      <c r="BA109" s="331"/>
      <c r="BB109" s="331"/>
      <c r="BC109" s="331"/>
      <c r="BD109" s="339"/>
      <c r="BE109" s="339"/>
      <c r="BF109" s="339"/>
      <c r="BG109" s="339"/>
      <c r="BH109" s="337"/>
      <c r="BI109" s="331"/>
      <c r="BJ109" s="331"/>
      <c r="BK109" s="331"/>
      <c r="BL109" s="15">
        <f t="shared" si="112"/>
        <v>-1.5154603854461602E-3</v>
      </c>
      <c r="BM109" s="20">
        <f t="shared" si="135"/>
        <v>19.567929241130784</v>
      </c>
      <c r="BN109" s="20">
        <f t="shared" si="113"/>
        <v>4129.3435584724202</v>
      </c>
      <c r="BO109" s="20">
        <f t="shared" si="114"/>
        <v>34.417677485003644</v>
      </c>
      <c r="BP109" s="20">
        <f t="shared" si="136"/>
        <v>39.580329107754189</v>
      </c>
      <c r="BQ109" s="15">
        <f t="shared" si="137"/>
        <v>131.17541851615366</v>
      </c>
      <c r="BR109" s="15">
        <f t="shared" si="115"/>
        <v>2.4113506706736141</v>
      </c>
      <c r="BS109" s="6">
        <f t="shared" si="116"/>
        <v>313.59491169721406</v>
      </c>
      <c r="BT109" s="15">
        <f t="shared" si="117"/>
        <v>319.99480785430006</v>
      </c>
      <c r="BU109" s="13">
        <f t="shared" si="118"/>
        <v>384.14742839651871</v>
      </c>
      <c r="BV109" s="13">
        <f t="shared" si="138"/>
        <v>192.07371419825935</v>
      </c>
      <c r="BW109" s="13">
        <f t="shared" si="139"/>
        <v>192.07371419825935</v>
      </c>
      <c r="BX109" s="139">
        <f t="shared" si="119"/>
        <v>18.29273468554851</v>
      </c>
      <c r="BY109" s="15">
        <f t="shared" si="140"/>
        <v>1.5761753809008521E-3</v>
      </c>
      <c r="BZ109" s="15">
        <f t="shared" si="141"/>
        <v>1.5761753809008521E-3</v>
      </c>
      <c r="CA109" s="66">
        <f t="shared" si="147"/>
        <v>3.1523507618017041E-3</v>
      </c>
      <c r="CB109" s="331"/>
      <c r="CC109" s="362"/>
      <c r="CD109" s="362"/>
      <c r="CE109" s="362"/>
      <c r="CF109" s="115"/>
    </row>
    <row r="110" spans="3:84" ht="15.75" x14ac:dyDescent="0.3">
      <c r="C110" s="13">
        <v>80</v>
      </c>
      <c r="D110" s="379"/>
      <c r="E110" s="379"/>
      <c r="F110" s="19" t="s">
        <v>128</v>
      </c>
      <c r="G110" s="255">
        <v>1.0034722222222201</v>
      </c>
      <c r="H110" s="54">
        <v>1.0034722222221999</v>
      </c>
      <c r="I110" s="13">
        <v>-8.5643589999999996</v>
      </c>
      <c r="J110" s="82">
        <v>115.611728</v>
      </c>
      <c r="K110" s="13">
        <f t="shared" ref="K110:L126" si="156">RADIANS(I110)</f>
        <v>-0.14947626287280905</v>
      </c>
      <c r="L110" s="13">
        <f t="shared" si="156"/>
        <v>2.0178053075201188</v>
      </c>
      <c r="M110" s="13">
        <v>3443</v>
      </c>
      <c r="N110" s="89">
        <f t="shared" si="142"/>
        <v>0.76927717202367396</v>
      </c>
      <c r="O110" s="331"/>
      <c r="P110" s="89">
        <f t="shared" si="122"/>
        <v>4.9999999999917222E-2</v>
      </c>
      <c r="Q110" s="358"/>
      <c r="R110" s="20">
        <f t="shared" si="124"/>
        <v>15.385543440498951</v>
      </c>
      <c r="S110" s="348"/>
      <c r="T110" s="15">
        <f t="shared" si="19"/>
        <v>7.9143235457926604</v>
      </c>
      <c r="U110" s="130">
        <f t="shared" si="126"/>
        <v>5.5128134705457107E-5</v>
      </c>
      <c r="V110" s="13">
        <f t="shared" si="127"/>
        <v>2.1912608758789531E-4</v>
      </c>
      <c r="W110" s="13">
        <f t="shared" si="51"/>
        <v>1.3243294693074492</v>
      </c>
      <c r="X110" s="13">
        <f t="shared" si="143"/>
        <v>75.878489276116937</v>
      </c>
      <c r="Y110" s="130">
        <f t="shared" si="144"/>
        <v>5.4506632539780275E-5</v>
      </c>
      <c r="Z110" s="141">
        <f t="shared" si="145"/>
        <v>-1.2555000000006089E-2</v>
      </c>
      <c r="AA110" s="142">
        <f t="shared" si="146"/>
        <v>284.12151072388303</v>
      </c>
      <c r="AB110" s="13">
        <v>200</v>
      </c>
      <c r="AC110" s="13">
        <v>13</v>
      </c>
      <c r="AD110" s="13">
        <f t="shared" si="128"/>
        <v>4</v>
      </c>
      <c r="AE110" s="161">
        <f t="shared" si="129"/>
        <v>84.121510723883034</v>
      </c>
      <c r="AF110" s="15">
        <f t="shared" si="104"/>
        <v>0.30262207709547495</v>
      </c>
      <c r="AG110" s="366"/>
      <c r="AH110" s="331"/>
      <c r="AI110" s="339"/>
      <c r="AJ110" s="85">
        <f t="shared" si="105"/>
        <v>0.55511762826919098</v>
      </c>
      <c r="AK110" s="13">
        <f t="shared" si="106"/>
        <v>0.33</v>
      </c>
      <c r="AL110" s="15">
        <f t="shared" si="130"/>
        <v>14.330886011442766</v>
      </c>
      <c r="AM110" s="15">
        <f t="shared" si="131"/>
        <v>2.6252580597105175</v>
      </c>
      <c r="AN110" s="15">
        <f t="shared" si="107"/>
        <v>15.80034322446104</v>
      </c>
      <c r="AO110" s="15">
        <f t="shared" si="132"/>
        <v>8.1276965546627586</v>
      </c>
      <c r="AP110" s="15">
        <f t="shared" si="133"/>
        <v>0.31078087712010966</v>
      </c>
      <c r="AQ110" s="20">
        <f t="shared" si="108"/>
        <v>4.8687370970064134E-2</v>
      </c>
      <c r="AR110" s="13">
        <f t="shared" si="109"/>
        <v>476989060.43020844</v>
      </c>
      <c r="AS110" s="13">
        <f t="shared" si="134"/>
        <v>1.6815210479952038E-3</v>
      </c>
      <c r="AT110" s="15">
        <f t="shared" si="110"/>
        <v>1835.0429318113256</v>
      </c>
      <c r="AU110" s="13">
        <f t="shared" si="111"/>
        <v>70865.772347830905</v>
      </c>
      <c r="AV110" s="339"/>
      <c r="AW110" s="339"/>
      <c r="AX110" s="356"/>
      <c r="AY110" s="339"/>
      <c r="AZ110" s="339"/>
      <c r="BA110" s="331"/>
      <c r="BB110" s="331"/>
      <c r="BC110" s="331"/>
      <c r="BD110" s="339"/>
      <c r="BE110" s="339"/>
      <c r="BF110" s="339"/>
      <c r="BG110" s="339"/>
      <c r="BH110" s="337"/>
      <c r="BI110" s="331"/>
      <c r="BJ110" s="331"/>
      <c r="BK110" s="331"/>
      <c r="BL110" s="15">
        <f t="shared" si="112"/>
        <v>-0.27242935318759642</v>
      </c>
      <c r="BM110" s="20">
        <f t="shared" si="135"/>
        <v>150679.47825942983</v>
      </c>
      <c r="BN110" s="20">
        <f t="shared" si="113"/>
        <v>24835.325957126868</v>
      </c>
      <c r="BO110" s="20">
        <f t="shared" si="114"/>
        <v>336.94170855127896</v>
      </c>
      <c r="BP110" s="20">
        <f t="shared" si="136"/>
        <v>387.48296483397081</v>
      </c>
      <c r="BQ110" s="15">
        <f t="shared" si="137"/>
        <v>3149.3439582715755</v>
      </c>
      <c r="BR110" s="15">
        <f t="shared" si="115"/>
        <v>5.913638814699465</v>
      </c>
      <c r="BS110" s="6">
        <f t="shared" si="116"/>
        <v>7528.9886753950677</v>
      </c>
      <c r="BT110" s="15">
        <f t="shared" si="117"/>
        <v>7682.6415055051712</v>
      </c>
      <c r="BU110" s="13">
        <f t="shared" si="118"/>
        <v>9222.8589501862807</v>
      </c>
      <c r="BV110" s="13">
        <f t="shared" si="138"/>
        <v>4611.4294750931404</v>
      </c>
      <c r="BW110" s="13">
        <f t="shared" si="139"/>
        <v>4611.4294750931404</v>
      </c>
      <c r="BX110" s="139">
        <f t="shared" si="119"/>
        <v>439.18375953268003</v>
      </c>
      <c r="BY110" s="15">
        <f t="shared" si="140"/>
        <v>4.0233693258061691E-2</v>
      </c>
      <c r="BZ110" s="15">
        <f t="shared" si="141"/>
        <v>4.0233693258061691E-2</v>
      </c>
      <c r="CA110" s="66">
        <f t="shared" si="147"/>
        <v>8.0467386516123382E-2</v>
      </c>
      <c r="CB110" s="331"/>
      <c r="CC110" s="360">
        <f t="shared" ref="CC110" si="157">SUM(CA110:CA114)*1000</f>
        <v>122.31049047925171</v>
      </c>
      <c r="CD110" s="360">
        <v>100</v>
      </c>
      <c r="CE110" s="360">
        <f t="shared" ref="CE110" si="158">AVERAGE(AN110:AN114)</f>
        <v>10.817415235960969</v>
      </c>
      <c r="CF110" s="115"/>
    </row>
    <row r="111" spans="3:84" ht="15.75" x14ac:dyDescent="0.3">
      <c r="C111" s="13">
        <v>81</v>
      </c>
      <c r="D111" s="379"/>
      <c r="E111" s="379"/>
      <c r="F111" s="19" t="s">
        <v>128</v>
      </c>
      <c r="G111" s="256"/>
      <c r="H111" s="54">
        <v>1.00555555555553</v>
      </c>
      <c r="I111" s="13">
        <v>-8.5631780000000006</v>
      </c>
      <c r="J111" s="82">
        <v>115.604315</v>
      </c>
      <c r="K111" s="13">
        <f t="shared" si="156"/>
        <v>-0.14945565053434301</v>
      </c>
      <c r="L111" s="13">
        <f t="shared" si="156"/>
        <v>2.0176759262626685</v>
      </c>
      <c r="M111" s="13">
        <v>3443</v>
      </c>
      <c r="N111" s="89">
        <f t="shared" si="142"/>
        <v>0.44617338593304123</v>
      </c>
      <c r="O111" s="331">
        <f>SUM(N111:N115)</f>
        <v>2.2160063706281576</v>
      </c>
      <c r="P111" s="89">
        <f t="shared" si="122"/>
        <v>4.9999999999922551E-2</v>
      </c>
      <c r="Q111" s="357">
        <f t="shared" ref="Q111" si="159">SUM(P111:P115)</f>
        <v>0.24999999999936229</v>
      </c>
      <c r="R111" s="20">
        <f t="shared" si="124"/>
        <v>8.9234677186746474</v>
      </c>
      <c r="S111" s="346">
        <f t="shared" ref="S111" si="160">AVERAGE(R111:R115)</f>
        <v>8.8640254825358173</v>
      </c>
      <c r="T111" s="15">
        <f t="shared" si="19"/>
        <v>4.5902317944862387</v>
      </c>
      <c r="U111" s="130">
        <f t="shared" si="126"/>
        <v>2.0847248414115726E-5</v>
      </c>
      <c r="V111" s="13">
        <f t="shared" si="127"/>
        <v>1.2938125745032281E-4</v>
      </c>
      <c r="W111" s="13">
        <f t="shared" si="51"/>
        <v>1.4110391156169679</v>
      </c>
      <c r="X111" s="13">
        <f t="shared" si="143"/>
        <v>80.846586052724476</v>
      </c>
      <c r="Y111" s="130">
        <f t="shared" si="144"/>
        <v>2.0612338466036162E-5</v>
      </c>
      <c r="Z111" s="141">
        <f t="shared" si="145"/>
        <v>-7.4129999999996699E-3</v>
      </c>
      <c r="AA111" s="142">
        <f t="shared" si="146"/>
        <v>279.15341394727551</v>
      </c>
      <c r="AB111" s="13">
        <v>200</v>
      </c>
      <c r="AC111" s="13">
        <v>13</v>
      </c>
      <c r="AD111" s="13">
        <f t="shared" si="128"/>
        <v>4</v>
      </c>
      <c r="AE111" s="161">
        <f t="shared" si="129"/>
        <v>79.15341394727551</v>
      </c>
      <c r="AF111" s="15">
        <f t="shared" si="104"/>
        <v>0.17551790395725964</v>
      </c>
      <c r="AG111" s="366"/>
      <c r="AH111" s="331"/>
      <c r="AI111" s="339"/>
      <c r="AJ111" s="85">
        <f t="shared" si="105"/>
        <v>1.462381854394218</v>
      </c>
      <c r="AK111" s="13">
        <f t="shared" si="106"/>
        <v>0.33</v>
      </c>
      <c r="AL111" s="15">
        <f t="shared" si="130"/>
        <v>14.330886011442766</v>
      </c>
      <c r="AM111" s="15">
        <f t="shared" si="131"/>
        <v>6.9158851279735245</v>
      </c>
      <c r="AN111" s="15">
        <f t="shared" si="107"/>
        <v>9.5864560037368065</v>
      </c>
      <c r="AO111" s="15">
        <f t="shared" si="132"/>
        <v>4.9312729683222134</v>
      </c>
      <c r="AP111" s="15">
        <f t="shared" si="133"/>
        <v>0.18855838528256347</v>
      </c>
      <c r="AQ111" s="20">
        <f t="shared" si="108"/>
        <v>4.6542057435941142E-2</v>
      </c>
      <c r="AR111" s="13">
        <f t="shared" si="109"/>
        <v>289400969.15103102</v>
      </c>
      <c r="AS111" s="13">
        <f t="shared" si="134"/>
        <v>1.7963649331243338E-3</v>
      </c>
      <c r="AT111" s="15">
        <f t="shared" si="110"/>
        <v>721.64168980153624</v>
      </c>
      <c r="AU111" s="13">
        <f t="shared" si="111"/>
        <v>27868.391970372566</v>
      </c>
      <c r="AV111" s="339"/>
      <c r="AW111" s="339"/>
      <c r="AX111" s="356"/>
      <c r="AY111" s="339"/>
      <c r="AZ111" s="339"/>
      <c r="BA111" s="331"/>
      <c r="BB111" s="331"/>
      <c r="BC111" s="331"/>
      <c r="BD111" s="339"/>
      <c r="BE111" s="339"/>
      <c r="BF111" s="339"/>
      <c r="BG111" s="339"/>
      <c r="BH111" s="337"/>
      <c r="BI111" s="331"/>
      <c r="BJ111" s="331"/>
      <c r="BK111" s="331"/>
      <c r="BL111" s="15">
        <f t="shared" si="112"/>
        <v>-4.6068863481820127E-2</v>
      </c>
      <c r="BM111" s="20">
        <f t="shared" si="135"/>
        <v>2678.7630590957319</v>
      </c>
      <c r="BN111" s="20">
        <f t="shared" si="113"/>
        <v>9142.2478108038122</v>
      </c>
      <c r="BO111" s="20">
        <f t="shared" si="114"/>
        <v>75.303113661115006</v>
      </c>
      <c r="BP111" s="20">
        <f t="shared" si="136"/>
        <v>86.598580710282249</v>
      </c>
      <c r="BQ111" s="15">
        <f t="shared" si="137"/>
        <v>427.04124015168429</v>
      </c>
      <c r="BR111" s="15">
        <f t="shared" si="115"/>
        <v>3.5879498004411525</v>
      </c>
      <c r="BS111" s="6">
        <f t="shared" si="116"/>
        <v>1020.9074345735351</v>
      </c>
      <c r="BT111" s="15">
        <f t="shared" si="117"/>
        <v>1041.7422801770765</v>
      </c>
      <c r="BU111" s="13">
        <f t="shared" si="118"/>
        <v>1250.5909726015325</v>
      </c>
      <c r="BV111" s="13">
        <f t="shared" si="138"/>
        <v>625.29548630076624</v>
      </c>
      <c r="BW111" s="13">
        <f t="shared" si="139"/>
        <v>625.29548630076624</v>
      </c>
      <c r="BX111" s="139">
        <f t="shared" si="119"/>
        <v>59.551951076263457</v>
      </c>
      <c r="BY111" s="15">
        <f t="shared" si="140"/>
        <v>5.2151748880618258E-3</v>
      </c>
      <c r="BZ111" s="15">
        <f t="shared" si="141"/>
        <v>5.2151748880618258E-3</v>
      </c>
      <c r="CA111" s="66">
        <f t="shared" si="147"/>
        <v>1.0430349776123652E-2</v>
      </c>
      <c r="CB111" s="331"/>
      <c r="CC111" s="361"/>
      <c r="CD111" s="361"/>
      <c r="CE111" s="361"/>
      <c r="CF111" s="115"/>
    </row>
    <row r="112" spans="3:84" ht="15.75" x14ac:dyDescent="0.3">
      <c r="C112" s="13">
        <v>82</v>
      </c>
      <c r="D112" s="379"/>
      <c r="E112" s="379"/>
      <c r="F112" s="19" t="s">
        <v>128</v>
      </c>
      <c r="G112" s="256"/>
      <c r="H112" s="54">
        <v>1.0076388888888499</v>
      </c>
      <c r="I112" s="13">
        <v>-8.5615640000000006</v>
      </c>
      <c r="J112" s="82">
        <v>115.59652800000001</v>
      </c>
      <c r="K112" s="13">
        <f t="shared" si="156"/>
        <v>-0.14942748092021582</v>
      </c>
      <c r="L112" s="13">
        <f t="shared" si="156"/>
        <v>2.0175400174738156</v>
      </c>
      <c r="M112" s="13">
        <v>3443</v>
      </c>
      <c r="N112" s="89">
        <f t="shared" si="142"/>
        <v>0.47277385624536389</v>
      </c>
      <c r="O112" s="331"/>
      <c r="P112" s="89">
        <f t="shared" si="122"/>
        <v>4.9999999999677414E-2</v>
      </c>
      <c r="Q112" s="331"/>
      <c r="R112" s="20">
        <f t="shared" si="124"/>
        <v>9.4554771249682812</v>
      </c>
      <c r="S112" s="347"/>
      <c r="T112" s="15">
        <f t="shared" si="19"/>
        <v>4.8638974330836833</v>
      </c>
      <c r="U112" s="130">
        <f t="shared" si="126"/>
        <v>2.8490545889714677E-5</v>
      </c>
      <c r="V112" s="13">
        <f t="shared" si="127"/>
        <v>1.3590878885283431E-4</v>
      </c>
      <c r="W112" s="13">
        <f t="shared" si="51"/>
        <v>1.3641586263938619</v>
      </c>
      <c r="X112" s="13">
        <f t="shared" si="143"/>
        <v>78.160531878731959</v>
      </c>
      <c r="Y112" s="130">
        <f t="shared" si="144"/>
        <v>2.8169614127188103E-5</v>
      </c>
      <c r="Z112" s="141">
        <f t="shared" si="145"/>
        <v>-7.786999999993327E-3</v>
      </c>
      <c r="AA112" s="142">
        <f t="shared" si="146"/>
        <v>281.83946812126806</v>
      </c>
      <c r="AB112" s="13">
        <v>200</v>
      </c>
      <c r="AC112" s="13">
        <v>13</v>
      </c>
      <c r="AD112" s="13">
        <f t="shared" si="128"/>
        <v>4</v>
      </c>
      <c r="AE112" s="161">
        <f t="shared" si="129"/>
        <v>81.839468121268055</v>
      </c>
      <c r="AF112" s="15">
        <f t="shared" si="104"/>
        <v>0.18598212916903339</v>
      </c>
      <c r="AG112" s="366"/>
      <c r="AH112" s="331"/>
      <c r="AI112" s="339"/>
      <c r="AJ112" s="85">
        <f t="shared" si="105"/>
        <v>1.3995279590860206</v>
      </c>
      <c r="AK112" s="13">
        <f t="shared" si="106"/>
        <v>0.33</v>
      </c>
      <c r="AL112" s="15">
        <f t="shared" si="130"/>
        <v>14.330886011442766</v>
      </c>
      <c r="AM112" s="15">
        <f t="shared" si="131"/>
        <v>6.6186369649913361</v>
      </c>
      <c r="AN112" s="15">
        <f t="shared" si="107"/>
        <v>10.125657644795165</v>
      </c>
      <c r="AO112" s="15">
        <f t="shared" si="132"/>
        <v>5.2086382924826324</v>
      </c>
      <c r="AP112" s="15">
        <f t="shared" si="133"/>
        <v>0.19916407634712799</v>
      </c>
      <c r="AQ112" s="20">
        <f t="shared" si="108"/>
        <v>4.6690681517203098E-2</v>
      </c>
      <c r="AR112" s="13">
        <f t="shared" si="109"/>
        <v>305678671.50832427</v>
      </c>
      <c r="AS112" s="13">
        <f t="shared" si="134"/>
        <v>1.783223551232431E-3</v>
      </c>
      <c r="AT112" s="15">
        <f t="shared" si="110"/>
        <v>799.21412272585781</v>
      </c>
      <c r="AU112" s="13">
        <f t="shared" si="111"/>
        <v>30864.087753171596</v>
      </c>
      <c r="AV112" s="339"/>
      <c r="AW112" s="339"/>
      <c r="AX112" s="356"/>
      <c r="AY112" s="339"/>
      <c r="AZ112" s="339"/>
      <c r="BA112" s="331"/>
      <c r="BB112" s="331"/>
      <c r="BC112" s="331"/>
      <c r="BD112" s="339"/>
      <c r="BE112" s="339"/>
      <c r="BF112" s="339"/>
      <c r="BG112" s="339"/>
      <c r="BH112" s="337"/>
      <c r="BI112" s="331"/>
      <c r="BJ112" s="331"/>
      <c r="BK112" s="331"/>
      <c r="BL112" s="15">
        <f t="shared" si="112"/>
        <v>-6.1664572750262409E-2</v>
      </c>
      <c r="BM112" s="20">
        <f t="shared" si="135"/>
        <v>4731.1010462429822</v>
      </c>
      <c r="BN112" s="20">
        <f t="shared" si="113"/>
        <v>10199.603781305281</v>
      </c>
      <c r="BO112" s="20">
        <f t="shared" si="114"/>
        <v>85.236777506119807</v>
      </c>
      <c r="BP112" s="20">
        <f t="shared" si="136"/>
        <v>98.022294132037786</v>
      </c>
      <c r="BQ112" s="15">
        <f t="shared" si="137"/>
        <v>510.56267473312766</v>
      </c>
      <c r="BR112" s="15">
        <f t="shared" si="115"/>
        <v>3.789758312333217</v>
      </c>
      <c r="BS112" s="6">
        <f t="shared" si="116"/>
        <v>1220.5782052001748</v>
      </c>
      <c r="BT112" s="15">
        <f t="shared" si="117"/>
        <v>1245.4879644899743</v>
      </c>
      <c r="BU112" s="13">
        <f t="shared" si="118"/>
        <v>1495.1836308403051</v>
      </c>
      <c r="BV112" s="13">
        <f t="shared" si="138"/>
        <v>747.59181542015256</v>
      </c>
      <c r="BW112" s="13">
        <f t="shared" si="139"/>
        <v>747.59181542015256</v>
      </c>
      <c r="BX112" s="139">
        <f t="shared" si="119"/>
        <v>71.199220516205003</v>
      </c>
      <c r="BY112" s="15">
        <f t="shared" si="140"/>
        <v>6.2550783874700836E-3</v>
      </c>
      <c r="BZ112" s="15">
        <f t="shared" si="141"/>
        <v>6.2550783874700836E-3</v>
      </c>
      <c r="CA112" s="66">
        <f t="shared" si="147"/>
        <v>1.2510156774940167E-2</v>
      </c>
      <c r="CB112" s="331"/>
      <c r="CC112" s="361"/>
      <c r="CD112" s="361"/>
      <c r="CE112" s="361"/>
      <c r="CF112" s="115"/>
    </row>
    <row r="113" spans="3:84" ht="15.75" x14ac:dyDescent="0.3">
      <c r="C113" s="13">
        <v>83</v>
      </c>
      <c r="D113" s="379"/>
      <c r="E113" s="379"/>
      <c r="F113" s="19" t="s">
        <v>128</v>
      </c>
      <c r="G113" s="256"/>
      <c r="H113" s="54">
        <v>1.00972222222218</v>
      </c>
      <c r="I113" s="13">
        <v>-8.5606390000000001</v>
      </c>
      <c r="J113" s="82">
        <v>115.589117</v>
      </c>
      <c r="K113" s="13">
        <f t="shared" si="156"/>
        <v>-0.14941133662463485</v>
      </c>
      <c r="L113" s="13">
        <f t="shared" si="156"/>
        <v>2.0174106711229505</v>
      </c>
      <c r="M113" s="13">
        <v>3443</v>
      </c>
      <c r="N113" s="89">
        <f t="shared" si="142"/>
        <v>0.44387148755594874</v>
      </c>
      <c r="O113" s="331"/>
      <c r="P113" s="89">
        <f t="shared" si="122"/>
        <v>4.9999999999922551E-2</v>
      </c>
      <c r="Q113" s="331"/>
      <c r="R113" s="20">
        <f t="shared" si="124"/>
        <v>8.8774297511327251</v>
      </c>
      <c r="S113" s="347"/>
      <c r="T113" s="15">
        <f t="shared" si="19"/>
        <v>4.5665498639826732</v>
      </c>
      <c r="U113" s="130">
        <f t="shared" si="126"/>
        <v>1.6328170112505628E-5</v>
      </c>
      <c r="V113" s="13">
        <f t="shared" si="127"/>
        <v>1.293463508651449E-4</v>
      </c>
      <c r="W113" s="13">
        <f t="shared" si="51"/>
        <v>1.445224501643616</v>
      </c>
      <c r="X113" s="13">
        <f t="shared" si="143"/>
        <v>82.805264393076911</v>
      </c>
      <c r="Y113" s="130">
        <f t="shared" si="144"/>
        <v>1.6144295580972079E-5</v>
      </c>
      <c r="Z113" s="141">
        <f t="shared" si="145"/>
        <v>-7.4110000000047194E-3</v>
      </c>
      <c r="AA113" s="142">
        <f t="shared" si="146"/>
        <v>277.19473560692308</v>
      </c>
      <c r="AB113" s="13">
        <v>200</v>
      </c>
      <c r="AC113" s="13">
        <v>13</v>
      </c>
      <c r="AD113" s="13">
        <f t="shared" si="128"/>
        <v>4</v>
      </c>
      <c r="AE113" s="161">
        <f t="shared" si="129"/>
        <v>77.194735606923075</v>
      </c>
      <c r="AF113" s="15">
        <f t="shared" si="104"/>
        <v>0.17461237173367122</v>
      </c>
      <c r="AG113" s="366"/>
      <c r="AH113" s="331"/>
      <c r="AI113" s="339"/>
      <c r="AJ113" s="85">
        <f t="shared" si="105"/>
        <v>1.4677211111499817</v>
      </c>
      <c r="AK113" s="13">
        <f t="shared" si="106"/>
        <v>0.33</v>
      </c>
      <c r="AL113" s="15">
        <f t="shared" si="130"/>
        <v>14.330886011442766</v>
      </c>
      <c r="AM113" s="15">
        <f t="shared" si="131"/>
        <v>6.9411355003579072</v>
      </c>
      <c r="AN113" s="15">
        <f t="shared" si="107"/>
        <v>9.5395852924541842</v>
      </c>
      <c r="AO113" s="15">
        <f t="shared" si="132"/>
        <v>4.9071626744384318</v>
      </c>
      <c r="AP113" s="15">
        <f t="shared" si="133"/>
        <v>0.18763647361541017</v>
      </c>
      <c r="AQ113" s="20">
        <f t="shared" si="108"/>
        <v>4.6529432249748974E-2</v>
      </c>
      <c r="AR113" s="13">
        <f t="shared" si="109"/>
        <v>287986011.49987173</v>
      </c>
      <c r="AS113" s="13">
        <f t="shared" si="134"/>
        <v>1.7975490579640895E-3</v>
      </c>
      <c r="AT113" s="15">
        <f t="shared" si="110"/>
        <v>715.07339793041206</v>
      </c>
      <c r="AU113" s="13">
        <f t="shared" si="111"/>
        <v>27614.73737276937</v>
      </c>
      <c r="AV113" s="339"/>
      <c r="AW113" s="339"/>
      <c r="AX113" s="356"/>
      <c r="AY113" s="339"/>
      <c r="AZ113" s="339"/>
      <c r="BA113" s="331"/>
      <c r="BB113" s="331"/>
      <c r="BC113" s="331"/>
      <c r="BD113" s="339"/>
      <c r="BE113" s="339"/>
      <c r="BF113" s="339"/>
      <c r="BG113" s="339"/>
      <c r="BH113" s="337"/>
      <c r="BI113" s="331"/>
      <c r="BJ113" s="331"/>
      <c r="BK113" s="331"/>
      <c r="BL113" s="15">
        <f t="shared" si="112"/>
        <v>-4.4809993087734215E-2</v>
      </c>
      <c r="BM113" s="20">
        <f t="shared" si="135"/>
        <v>2542.3858557548401</v>
      </c>
      <c r="BN113" s="20">
        <f t="shared" si="113"/>
        <v>9053.0686347328974</v>
      </c>
      <c r="BO113" s="20">
        <f t="shared" si="114"/>
        <v>74.499751168755267</v>
      </c>
      <c r="BP113" s="20">
        <f t="shared" si="136"/>
        <v>85.674713844068563</v>
      </c>
      <c r="BQ113" s="15">
        <f t="shared" si="137"/>
        <v>420.41975791880685</v>
      </c>
      <c r="BR113" s="15">
        <f t="shared" si="115"/>
        <v>3.5704073677499188</v>
      </c>
      <c r="BS113" s="6">
        <f t="shared" si="116"/>
        <v>1005.0777680124319</v>
      </c>
      <c r="BT113" s="15">
        <f t="shared" si="117"/>
        <v>1025.589559196359</v>
      </c>
      <c r="BU113" s="13">
        <f t="shared" si="118"/>
        <v>1231.1999510160374</v>
      </c>
      <c r="BV113" s="13">
        <f t="shared" si="138"/>
        <v>615.5999755080187</v>
      </c>
      <c r="BW113" s="13">
        <f t="shared" si="139"/>
        <v>615.5999755080187</v>
      </c>
      <c r="BX113" s="139">
        <f t="shared" si="119"/>
        <v>58.628569096001783</v>
      </c>
      <c r="BY113" s="15">
        <f t="shared" si="140"/>
        <v>5.132918309719868E-3</v>
      </c>
      <c r="BZ113" s="15">
        <f t="shared" si="141"/>
        <v>5.132918309719868E-3</v>
      </c>
      <c r="CA113" s="66">
        <f t="shared" si="147"/>
        <v>1.0265836619439736E-2</v>
      </c>
      <c r="CB113" s="331"/>
      <c r="CC113" s="361"/>
      <c r="CD113" s="361"/>
      <c r="CE113" s="361"/>
      <c r="CF113" s="115"/>
    </row>
    <row r="114" spans="3:84" ht="15.75" x14ac:dyDescent="0.3">
      <c r="C114" s="13">
        <v>84</v>
      </c>
      <c r="D114" s="379"/>
      <c r="E114" s="379"/>
      <c r="F114" s="19" t="s">
        <v>128</v>
      </c>
      <c r="G114" s="257"/>
      <c r="H114" s="54">
        <v>1.0118055555555101</v>
      </c>
      <c r="I114" s="13">
        <v>-8.5597580000000004</v>
      </c>
      <c r="J114" s="82">
        <v>115.58211900000001</v>
      </c>
      <c r="K114" s="13">
        <f t="shared" si="156"/>
        <v>-0.14939596027392479</v>
      </c>
      <c r="L114" s="13">
        <f t="shared" si="156"/>
        <v>2.0172885329818961</v>
      </c>
      <c r="M114" s="13">
        <v>3443</v>
      </c>
      <c r="N114" s="89">
        <f t="shared" si="142"/>
        <v>0.41919345237041788</v>
      </c>
      <c r="O114" s="331"/>
      <c r="P114" s="89">
        <f t="shared" si="122"/>
        <v>4.9999999999922551E-2</v>
      </c>
      <c r="Q114" s="331"/>
      <c r="R114" s="20">
        <f t="shared" si="124"/>
        <v>8.383869047421344</v>
      </c>
      <c r="S114" s="347"/>
      <c r="T114" s="15">
        <f t="shared" si="19"/>
        <v>4.3126622379935391</v>
      </c>
      <c r="U114" s="130">
        <f t="shared" si="126"/>
        <v>1.5551441682500968E-5</v>
      </c>
      <c r="V114" s="13">
        <f t="shared" si="127"/>
        <v>1.2213814105432874E-4</v>
      </c>
      <c r="W114" s="13">
        <f t="shared" si="51"/>
        <v>1.4441511258470157</v>
      </c>
      <c r="X114" s="13">
        <f t="shared" si="143"/>
        <v>82.743764490100205</v>
      </c>
      <c r="Y114" s="130">
        <f t="shared" si="144"/>
        <v>1.537635071005572E-5</v>
      </c>
      <c r="Z114" s="141">
        <f t="shared" si="145"/>
        <v>-6.9979999999958409E-3</v>
      </c>
      <c r="AA114" s="142">
        <f t="shared" si="146"/>
        <v>277.2562355098998</v>
      </c>
      <c r="AB114" s="13">
        <v>200</v>
      </c>
      <c r="AC114" s="13">
        <v>13</v>
      </c>
      <c r="AD114" s="13">
        <f t="shared" si="128"/>
        <v>4</v>
      </c>
      <c r="AE114" s="161">
        <f t="shared" si="129"/>
        <v>77.256235509899795</v>
      </c>
      <c r="AF114" s="15">
        <f t="shared" si="104"/>
        <v>0.1649044036071324</v>
      </c>
      <c r="AG114" s="366"/>
      <c r="AH114" s="331"/>
      <c r="AI114" s="339"/>
      <c r="AJ114" s="85">
        <f t="shared" si="105"/>
        <v>1.5239624063906363</v>
      </c>
      <c r="AK114" s="13">
        <f t="shared" si="106"/>
        <v>0.33</v>
      </c>
      <c r="AL114" s="15">
        <f t="shared" si="130"/>
        <v>14.330886011442766</v>
      </c>
      <c r="AM114" s="15">
        <f t="shared" si="131"/>
        <v>7.2071114054637144</v>
      </c>
      <c r="AN114" s="15">
        <f t="shared" si="107"/>
        <v>9.03503401435764</v>
      </c>
      <c r="AO114" s="15">
        <f t="shared" si="132"/>
        <v>4.64762149698557</v>
      </c>
      <c r="AP114" s="15">
        <f t="shared" si="133"/>
        <v>0.17771232915023419</v>
      </c>
      <c r="AQ114" s="20">
        <f t="shared" si="108"/>
        <v>4.6396444297196276E-2</v>
      </c>
      <c r="AR114" s="13">
        <f t="shared" si="109"/>
        <v>272754352.49986029</v>
      </c>
      <c r="AS114" s="13">
        <f t="shared" si="134"/>
        <v>1.8107563020682556E-3</v>
      </c>
      <c r="AT114" s="15">
        <f t="shared" si="110"/>
        <v>646.14571479630968</v>
      </c>
      <c r="AU114" s="13">
        <f t="shared" si="111"/>
        <v>24952.884935004739</v>
      </c>
      <c r="AV114" s="339"/>
      <c r="AW114" s="339"/>
      <c r="AX114" s="356"/>
      <c r="AY114" s="339"/>
      <c r="AZ114" s="339"/>
      <c r="BA114" s="331"/>
      <c r="BB114" s="331"/>
      <c r="BC114" s="331"/>
      <c r="BD114" s="339"/>
      <c r="BE114" s="339"/>
      <c r="BF114" s="339"/>
      <c r="BG114" s="339"/>
      <c r="BH114" s="337"/>
      <c r="BI114" s="331"/>
      <c r="BJ114" s="331"/>
      <c r="BK114" s="331"/>
      <c r="BL114" s="15">
        <f t="shared" si="112"/>
        <v>-3.2341328994206248E-2</v>
      </c>
      <c r="BM114" s="20">
        <f t="shared" si="135"/>
        <v>1405.7441861176608</v>
      </c>
      <c r="BN114" s="20">
        <f t="shared" si="113"/>
        <v>8120.7549597757989</v>
      </c>
      <c r="BO114" s="20">
        <f t="shared" si="114"/>
        <v>66.367295990770245</v>
      </c>
      <c r="BP114" s="20">
        <f t="shared" si="136"/>
        <v>76.322390389385788</v>
      </c>
      <c r="BQ114" s="15">
        <f t="shared" si="137"/>
        <v>354.71758227503426</v>
      </c>
      <c r="BR114" s="15">
        <f t="shared" si="115"/>
        <v>3.381567544477047</v>
      </c>
      <c r="BS114" s="6">
        <f t="shared" si="116"/>
        <v>848.00666275206299</v>
      </c>
      <c r="BT114" s="15">
        <f t="shared" si="117"/>
        <v>865.3129211755745</v>
      </c>
      <c r="BU114" s="13">
        <f t="shared" si="118"/>
        <v>1038.7910218194172</v>
      </c>
      <c r="BV114" s="13">
        <f t="shared" si="138"/>
        <v>519.39551090970861</v>
      </c>
      <c r="BW114" s="13">
        <f t="shared" si="139"/>
        <v>519.39551090970861</v>
      </c>
      <c r="BX114" s="139">
        <f t="shared" si="119"/>
        <v>49.466239134257961</v>
      </c>
      <c r="BY114" s="15">
        <f t="shared" si="140"/>
        <v>4.3183803963123884E-3</v>
      </c>
      <c r="BZ114" s="15">
        <f t="shared" si="141"/>
        <v>4.3183803963123884E-3</v>
      </c>
      <c r="CA114" s="66">
        <f t="shared" si="147"/>
        <v>8.6367607926247768E-3</v>
      </c>
      <c r="CB114" s="331"/>
      <c r="CC114" s="362"/>
      <c r="CD114" s="362"/>
      <c r="CE114" s="362"/>
      <c r="CF114" s="115"/>
    </row>
    <row r="115" spans="3:84" ht="15.75" x14ac:dyDescent="0.3">
      <c r="C115" s="13">
        <v>85</v>
      </c>
      <c r="D115" s="379"/>
      <c r="E115" s="379"/>
      <c r="F115" s="19" t="s">
        <v>128</v>
      </c>
      <c r="G115" s="255">
        <v>1.0138888888888899</v>
      </c>
      <c r="H115" s="54">
        <v>1.01388888888884</v>
      </c>
      <c r="I115" s="82">
        <v>-8.5586950000000002</v>
      </c>
      <c r="J115" s="82">
        <v>115.574895</v>
      </c>
      <c r="K115" s="13">
        <f t="shared" si="156"/>
        <v>-0.14937740742397609</v>
      </c>
      <c r="L115" s="13">
        <f t="shared" si="156"/>
        <v>2.0171624503967318</v>
      </c>
      <c r="M115" s="13">
        <v>3443</v>
      </c>
      <c r="N115" s="89">
        <f t="shared" si="142"/>
        <v>0.43399418852338617</v>
      </c>
      <c r="O115" s="331"/>
      <c r="P115" s="89">
        <f t="shared" si="122"/>
        <v>4.9999999999917222E-2</v>
      </c>
      <c r="Q115" s="358"/>
      <c r="R115" s="20">
        <f t="shared" si="124"/>
        <v>8.6798837704820944</v>
      </c>
      <c r="S115" s="348"/>
      <c r="T115" s="15">
        <f t="shared" si="19"/>
        <v>4.4649322115359888</v>
      </c>
      <c r="U115" s="130">
        <f t="shared" si="126"/>
        <v>1.8764063642130383E-5</v>
      </c>
      <c r="V115" s="13">
        <f t="shared" si="127"/>
        <v>1.2608258516433324E-4</v>
      </c>
      <c r="W115" s="13">
        <f t="shared" ref="W115:W134" si="161">ATAN2(U115,V115)</f>
        <v>1.4230570952066819</v>
      </c>
      <c r="X115" s="13">
        <f t="shared" si="143"/>
        <v>81.53516556148945</v>
      </c>
      <c r="Y115" s="130">
        <f t="shared" si="144"/>
        <v>1.8552849948699768E-5</v>
      </c>
      <c r="Z115" s="141">
        <f t="shared" si="145"/>
        <v>-7.2240000000078908E-3</v>
      </c>
      <c r="AA115" s="142">
        <f t="shared" si="146"/>
        <v>278.46483443851054</v>
      </c>
      <c r="AB115" s="13">
        <v>200</v>
      </c>
      <c r="AC115" s="13">
        <v>13</v>
      </c>
      <c r="AD115" s="13">
        <f t="shared" si="128"/>
        <v>4</v>
      </c>
      <c r="AE115" s="161">
        <f t="shared" si="129"/>
        <v>78.464834438510536</v>
      </c>
      <c r="AF115" s="15">
        <f t="shared" si="104"/>
        <v>0.17072679075191702</v>
      </c>
      <c r="AG115" s="366"/>
      <c r="AH115" s="331"/>
      <c r="AI115" s="339"/>
      <c r="AJ115" s="85">
        <f t="shared" si="105"/>
        <v>1.4904509434398538</v>
      </c>
      <c r="AK115" s="13">
        <f t="shared" si="106"/>
        <v>0.33</v>
      </c>
      <c r="AL115" s="15">
        <f t="shared" si="130"/>
        <v>14.330886011442766</v>
      </c>
      <c r="AM115" s="15">
        <f t="shared" si="131"/>
        <v>7.0486292501076795</v>
      </c>
      <c r="AN115" s="15">
        <f t="shared" si="107"/>
        <v>9.3380911980710621</v>
      </c>
      <c r="AO115" s="15">
        <f t="shared" si="132"/>
        <v>4.803514112287754</v>
      </c>
      <c r="AP115" s="15">
        <f t="shared" si="133"/>
        <v>0.18367323620358206</v>
      </c>
      <c r="AQ115" s="20">
        <f t="shared" si="108"/>
        <v>4.6475685374869208E-2</v>
      </c>
      <c r="AR115" s="13">
        <f t="shared" si="109"/>
        <v>281903201.9433521</v>
      </c>
      <c r="AS115" s="13">
        <f t="shared" si="134"/>
        <v>1.8027203718335905E-3</v>
      </c>
      <c r="AT115" s="15">
        <f t="shared" si="110"/>
        <v>687.15619773061337</v>
      </c>
      <c r="AU115" s="13">
        <f t="shared" si="111"/>
        <v>26536.629651335872</v>
      </c>
      <c r="AV115" s="339"/>
      <c r="AW115" s="339"/>
      <c r="AX115" s="356"/>
      <c r="AY115" s="339"/>
      <c r="AZ115" s="339"/>
      <c r="BA115" s="331"/>
      <c r="BB115" s="331"/>
      <c r="BC115" s="331"/>
      <c r="BD115" s="339"/>
      <c r="BE115" s="339"/>
      <c r="BF115" s="339"/>
      <c r="BG115" s="339"/>
      <c r="BH115" s="337"/>
      <c r="BI115" s="331"/>
      <c r="BJ115" s="331"/>
      <c r="BK115" s="331"/>
      <c r="BL115" s="15">
        <f t="shared" si="112"/>
        <v>-3.9588329589080151E-2</v>
      </c>
      <c r="BM115" s="20">
        <f t="shared" si="135"/>
        <v>2020.1218038019256</v>
      </c>
      <c r="BN115" s="20">
        <f t="shared" si="113"/>
        <v>8674.6716357862733</v>
      </c>
      <c r="BO115" s="20">
        <f t="shared" si="114"/>
        <v>71.143241740783765</v>
      </c>
      <c r="BP115" s="20">
        <f t="shared" si="136"/>
        <v>81.814728001901329</v>
      </c>
      <c r="BQ115" s="15">
        <f t="shared" si="137"/>
        <v>392.99820055011713</v>
      </c>
      <c r="BR115" s="15">
        <f t="shared" si="115"/>
        <v>3.4949936073936221</v>
      </c>
      <c r="BS115" s="6">
        <f t="shared" si="116"/>
        <v>939.52233881000564</v>
      </c>
      <c r="BT115" s="15">
        <f t="shared" si="117"/>
        <v>958.69626409184252</v>
      </c>
      <c r="BU115" s="13">
        <f t="shared" si="118"/>
        <v>1150.8958752603153</v>
      </c>
      <c r="BV115" s="13">
        <f t="shared" si="138"/>
        <v>575.44793763015764</v>
      </c>
      <c r="BW115" s="13">
        <f t="shared" si="139"/>
        <v>575.44793763015764</v>
      </c>
      <c r="BX115" s="139">
        <f t="shared" si="119"/>
        <v>54.804565488586441</v>
      </c>
      <c r="BY115" s="15">
        <f t="shared" si="140"/>
        <v>4.7925852439658486E-3</v>
      </c>
      <c r="BZ115" s="15">
        <f t="shared" si="141"/>
        <v>4.7925852439658486E-3</v>
      </c>
      <c r="CA115" s="66">
        <f t="shared" si="147"/>
        <v>9.5851704879316973E-3</v>
      </c>
      <c r="CB115" s="331"/>
      <c r="CC115" s="360">
        <f t="shared" ref="CC115" si="162">SUM(CA115:CA119)*1000</f>
        <v>64.993350446236605</v>
      </c>
      <c r="CD115" s="360">
        <v>60</v>
      </c>
      <c r="CE115" s="360">
        <f t="shared" ref="CE115" si="163">AVERAGE(AN115:AN119)</f>
        <v>10.002940660619682</v>
      </c>
      <c r="CF115" s="115"/>
    </row>
    <row r="116" spans="3:84" ht="15.75" x14ac:dyDescent="0.3">
      <c r="C116" s="13">
        <v>86</v>
      </c>
      <c r="D116" s="74"/>
      <c r="E116" s="74"/>
      <c r="F116" s="19" t="s">
        <v>128</v>
      </c>
      <c r="G116" s="256"/>
      <c r="H116" s="54">
        <v>1.0159722222221701</v>
      </c>
      <c r="I116" s="83">
        <v>-8.5574680000000001</v>
      </c>
      <c r="J116" s="84">
        <v>115.565848</v>
      </c>
      <c r="K116" s="13">
        <f t="shared" si="156"/>
        <v>-0.1493559922340541</v>
      </c>
      <c r="L116" s="13">
        <f t="shared" si="156"/>
        <v>2.0170045504593039</v>
      </c>
      <c r="M116" s="13">
        <v>3443</v>
      </c>
      <c r="N116" s="89">
        <f t="shared" si="142"/>
        <v>0.54262895930142296</v>
      </c>
      <c r="O116" s="331">
        <f>SUM(N116:N120)</f>
        <v>2.3718750560110555</v>
      </c>
      <c r="P116" s="89">
        <f t="shared" si="122"/>
        <v>4.9999999999922551E-2</v>
      </c>
      <c r="Q116" s="357">
        <f t="shared" ref="Q116" si="164">SUM(P116:P120)</f>
        <v>0.2499999999996021</v>
      </c>
      <c r="R116" s="20">
        <f t="shared" si="124"/>
        <v>10.85257918604527</v>
      </c>
      <c r="S116" s="346">
        <f t="shared" ref="S116" si="165">AVERAGE(R116:R120)</f>
        <v>9.4875002240593265</v>
      </c>
      <c r="T116" s="15">
        <f t="shared" si="19"/>
        <v>5.5825667333016868</v>
      </c>
      <c r="U116" s="130">
        <f t="shared" si="126"/>
        <v>2.1658924242510536E-5</v>
      </c>
      <c r="V116" s="13">
        <f t="shared" si="127"/>
        <v>1.5789993742787445E-4</v>
      </c>
      <c r="W116" s="13">
        <f t="shared" si="161"/>
        <v>1.4344783619015482</v>
      </c>
      <c r="X116" s="13">
        <f t="shared" si="143"/>
        <v>82.189555939798609</v>
      </c>
      <c r="Y116" s="130">
        <f t="shared" si="144"/>
        <v>2.1415189921991651E-5</v>
      </c>
      <c r="Z116" s="141">
        <f t="shared" si="145"/>
        <v>-9.0469999999953643E-3</v>
      </c>
      <c r="AA116" s="142">
        <f t="shared" si="146"/>
        <v>277.81044406020141</v>
      </c>
      <c r="AB116" s="13">
        <v>200</v>
      </c>
      <c r="AC116" s="13">
        <v>13</v>
      </c>
      <c r="AD116" s="13">
        <f t="shared" si="128"/>
        <v>4</v>
      </c>
      <c r="AE116" s="161">
        <f t="shared" si="129"/>
        <v>77.810444060201405</v>
      </c>
      <c r="AF116" s="15">
        <f t="shared" si="104"/>
        <v>0.21346207677521145</v>
      </c>
      <c r="AG116" s="366"/>
      <c r="AH116" s="331"/>
      <c r="AI116" s="339"/>
      <c r="AJ116" s="85">
        <f t="shared" si="105"/>
        <v>1.2243540433164648</v>
      </c>
      <c r="AK116" s="13">
        <f t="shared" si="106"/>
        <v>0.33</v>
      </c>
      <c r="AL116" s="15">
        <f t="shared" si="130"/>
        <v>14.330886011442766</v>
      </c>
      <c r="AM116" s="15">
        <f t="shared" si="131"/>
        <v>5.7902058166977142</v>
      </c>
      <c r="AN116" s="15">
        <f t="shared" si="107"/>
        <v>11.519586981508105</v>
      </c>
      <c r="AO116" s="15">
        <f t="shared" si="132"/>
        <v>5.9256755432877695</v>
      </c>
      <c r="AP116" s="15">
        <f t="shared" si="133"/>
        <v>0.22658161884939712</v>
      </c>
      <c r="AQ116" s="20">
        <f t="shared" si="108"/>
        <v>4.7104897091578175E-2</v>
      </c>
      <c r="AR116" s="13">
        <f t="shared" si="109"/>
        <v>347759342.48991871</v>
      </c>
      <c r="AS116" s="13">
        <f t="shared" si="134"/>
        <v>1.7528144419718668E-3</v>
      </c>
      <c r="AT116" s="15">
        <f t="shared" si="110"/>
        <v>1016.7651187354951</v>
      </c>
      <c r="AU116" s="13">
        <f t="shared" si="111"/>
        <v>39265.482123844537</v>
      </c>
      <c r="AV116" s="339"/>
      <c r="AW116" s="339"/>
      <c r="AX116" s="356"/>
      <c r="AY116" s="339"/>
      <c r="AZ116" s="339"/>
      <c r="BA116" s="331"/>
      <c r="BB116" s="331"/>
      <c r="BC116" s="331"/>
      <c r="BD116" s="339"/>
      <c r="BE116" s="339"/>
      <c r="BF116" s="339"/>
      <c r="BG116" s="339"/>
      <c r="BH116" s="337"/>
      <c r="BI116" s="331"/>
      <c r="BJ116" s="331"/>
      <c r="BK116" s="331"/>
      <c r="BL116" s="15">
        <f t="shared" si="112"/>
        <v>-0.10938909708895242</v>
      </c>
      <c r="BM116" s="20">
        <f t="shared" si="135"/>
        <v>16034.302087627029</v>
      </c>
      <c r="BN116" s="20">
        <f t="shared" si="113"/>
        <v>13201.115746961988</v>
      </c>
      <c r="BO116" s="20">
        <f t="shared" si="114"/>
        <v>118.67923558275773</v>
      </c>
      <c r="BP116" s="20">
        <f t="shared" si="136"/>
        <v>136.48112092017138</v>
      </c>
      <c r="BQ116" s="15">
        <f t="shared" si="137"/>
        <v>808.74284035716028</v>
      </c>
      <c r="BR116" s="15">
        <f t="shared" si="115"/>
        <v>4.3114681583429144</v>
      </c>
      <c r="BS116" s="6">
        <f t="shared" si="116"/>
        <v>1933.4235215443655</v>
      </c>
      <c r="BT116" s="15">
        <f t="shared" si="117"/>
        <v>1972.8811444330261</v>
      </c>
      <c r="BU116" s="13">
        <f t="shared" si="118"/>
        <v>2368.4047352137168</v>
      </c>
      <c r="BV116" s="13">
        <f t="shared" si="138"/>
        <v>1184.2023676068584</v>
      </c>
      <c r="BW116" s="13">
        <f t="shared" si="139"/>
        <v>1184.2023676068584</v>
      </c>
      <c r="BX116" s="139">
        <f t="shared" si="119"/>
        <v>112.78117786731985</v>
      </c>
      <c r="BY116" s="15">
        <f t="shared" si="140"/>
        <v>9.9960861345809934E-3</v>
      </c>
      <c r="BZ116" s="15">
        <f t="shared" si="141"/>
        <v>9.9960861345809934E-3</v>
      </c>
      <c r="CA116" s="66">
        <f t="shared" si="147"/>
        <v>1.9992172269161987E-2</v>
      </c>
      <c r="CB116" s="66"/>
      <c r="CC116" s="361"/>
      <c r="CD116" s="361"/>
      <c r="CE116" s="361"/>
      <c r="CF116" s="115"/>
    </row>
    <row r="117" spans="3:84" ht="15.75" x14ac:dyDescent="0.3">
      <c r="C117" s="13">
        <v>87</v>
      </c>
      <c r="D117" s="74"/>
      <c r="E117" s="74"/>
      <c r="F117" s="19" t="s">
        <v>128</v>
      </c>
      <c r="G117" s="256"/>
      <c r="H117" s="54">
        <v>1.0180555555555</v>
      </c>
      <c r="I117" s="83">
        <v>-8.5568019999999994</v>
      </c>
      <c r="J117" s="84">
        <v>115.55883900000001</v>
      </c>
      <c r="K117" s="13">
        <f t="shared" si="156"/>
        <v>-0.14934436834123582</v>
      </c>
      <c r="L117" s="13">
        <f t="shared" si="156"/>
        <v>2.0168822203320316</v>
      </c>
      <c r="M117" s="13">
        <v>3443</v>
      </c>
      <c r="N117" s="89">
        <f t="shared" si="142"/>
        <v>0.41841241467642715</v>
      </c>
      <c r="O117" s="331"/>
      <c r="P117" s="89">
        <f t="shared" si="122"/>
        <v>4.9999999999917222E-2</v>
      </c>
      <c r="Q117" s="331"/>
      <c r="R117" s="20">
        <f t="shared" si="124"/>
        <v>8.368248293542397</v>
      </c>
      <c r="S117" s="347"/>
      <c r="T117" s="15">
        <f t="shared" si="19"/>
        <v>4.3046269221982083</v>
      </c>
      <c r="U117" s="130">
        <f t="shared" si="126"/>
        <v>1.1756159326170212E-5</v>
      </c>
      <c r="V117" s="13">
        <f t="shared" si="127"/>
        <v>1.2233012727236314E-4</v>
      </c>
      <c r="W117" s="13">
        <f t="shared" si="161"/>
        <v>1.474988636710826</v>
      </c>
      <c r="X117" s="13">
        <f t="shared" si="143"/>
        <v>84.510623713285369</v>
      </c>
      <c r="Y117" s="130">
        <f t="shared" si="144"/>
        <v>1.1623892818279913E-5</v>
      </c>
      <c r="Z117" s="141">
        <f t="shared" si="145"/>
        <v>-7.0089999999964903E-3</v>
      </c>
      <c r="AA117" s="142">
        <f t="shared" si="146"/>
        <v>275.48937628671462</v>
      </c>
      <c r="AB117" s="13">
        <v>200</v>
      </c>
      <c r="AC117" s="13">
        <v>13</v>
      </c>
      <c r="AD117" s="13">
        <f t="shared" si="128"/>
        <v>4</v>
      </c>
      <c r="AE117" s="161">
        <f t="shared" si="129"/>
        <v>75.489376286714617</v>
      </c>
      <c r="AF117" s="15">
        <f t="shared" si="104"/>
        <v>0.1645971551174755</v>
      </c>
      <c r="AG117" s="366"/>
      <c r="AH117" s="331"/>
      <c r="AI117" s="339"/>
      <c r="AJ117" s="85">
        <f t="shared" si="105"/>
        <v>1.5257125445204784</v>
      </c>
      <c r="AK117" s="13">
        <f t="shared" si="106"/>
        <v>0.33</v>
      </c>
      <c r="AL117" s="15">
        <f t="shared" si="130"/>
        <v>14.330886011442766</v>
      </c>
      <c r="AM117" s="15">
        <f t="shared" si="131"/>
        <v>7.2153881453779203</v>
      </c>
      <c r="AN117" s="15">
        <f t="shared" si="107"/>
        <v>9.0190044731275467</v>
      </c>
      <c r="AO117" s="15">
        <f t="shared" si="132"/>
        <v>4.6393759009768099</v>
      </c>
      <c r="AP117" s="15">
        <f t="shared" si="133"/>
        <v>0.17739704012058771</v>
      </c>
      <c r="AQ117" s="20">
        <f t="shared" si="108"/>
        <v>4.6392305927234236E-2</v>
      </c>
      <c r="AR117" s="13">
        <f t="shared" si="109"/>
        <v>272270444.28964925</v>
      </c>
      <c r="AS117" s="13">
        <f t="shared" si="134"/>
        <v>1.8111903409030075E-3</v>
      </c>
      <c r="AT117" s="15">
        <f t="shared" si="110"/>
        <v>644.00935692707844</v>
      </c>
      <c r="AU117" s="13">
        <f t="shared" si="111"/>
        <v>24870.382968543941</v>
      </c>
      <c r="AV117" s="339"/>
      <c r="AW117" s="339"/>
      <c r="AX117" s="356"/>
      <c r="AY117" s="339"/>
      <c r="AZ117" s="339"/>
      <c r="BA117" s="331"/>
      <c r="BB117" s="331"/>
      <c r="BC117" s="331"/>
      <c r="BD117" s="339"/>
      <c r="BE117" s="339"/>
      <c r="BF117" s="339"/>
      <c r="BG117" s="339"/>
      <c r="BH117" s="337"/>
      <c r="BI117" s="331"/>
      <c r="BJ117" s="331"/>
      <c r="BK117" s="331"/>
      <c r="BL117" s="15">
        <f t="shared" si="112"/>
        <v>-3.1979038397311609E-2</v>
      </c>
      <c r="BM117" s="20">
        <f t="shared" si="135"/>
        <v>1378.2446827000999</v>
      </c>
      <c r="BN117" s="20">
        <f t="shared" si="113"/>
        <v>8091.9655819654108</v>
      </c>
      <c r="BO117" s="20">
        <f t="shared" si="114"/>
        <v>66.123073829397896</v>
      </c>
      <c r="BP117" s="20">
        <f t="shared" si="136"/>
        <v>76.041534903807587</v>
      </c>
      <c r="BQ117" s="15">
        <f t="shared" si="137"/>
        <v>352.78526450601186</v>
      </c>
      <c r="BR117" s="15">
        <f t="shared" si="115"/>
        <v>3.3755681230813552</v>
      </c>
      <c r="BS117" s="6">
        <f t="shared" si="116"/>
        <v>843.38716142321516</v>
      </c>
      <c r="BT117" s="15">
        <f t="shared" si="117"/>
        <v>860.59914430940319</v>
      </c>
      <c r="BU117" s="13">
        <f t="shared" si="118"/>
        <v>1033.1322260617087</v>
      </c>
      <c r="BV117" s="13">
        <f t="shared" si="138"/>
        <v>516.56611303085435</v>
      </c>
      <c r="BW117" s="13">
        <f t="shared" si="139"/>
        <v>516.56611303085435</v>
      </c>
      <c r="BX117" s="139">
        <f t="shared" si="119"/>
        <v>49.196772669605174</v>
      </c>
      <c r="BY117" s="15">
        <f t="shared" si="140"/>
        <v>4.2944730120086415E-3</v>
      </c>
      <c r="BZ117" s="15">
        <f t="shared" si="141"/>
        <v>4.2944730120086415E-3</v>
      </c>
      <c r="CA117" s="66">
        <f t="shared" si="147"/>
        <v>8.588946024017283E-3</v>
      </c>
      <c r="CB117" s="66"/>
      <c r="CC117" s="361"/>
      <c r="CD117" s="361"/>
      <c r="CE117" s="361"/>
      <c r="CF117" s="115"/>
    </row>
    <row r="118" spans="3:84" ht="15.75" x14ac:dyDescent="0.3">
      <c r="C118" s="13">
        <v>88</v>
      </c>
      <c r="D118" s="74"/>
      <c r="E118" s="74"/>
      <c r="F118" s="19" t="s">
        <v>128</v>
      </c>
      <c r="G118" s="256"/>
      <c r="H118" s="54">
        <v>1.0201388888888301</v>
      </c>
      <c r="I118" s="83">
        <v>-8.5558219999999992</v>
      </c>
      <c r="J118" s="84">
        <v>115.552064</v>
      </c>
      <c r="K118" s="13">
        <f t="shared" si="156"/>
        <v>-0.14932726411456626</v>
      </c>
      <c r="L118" s="13">
        <f t="shared" si="156"/>
        <v>2.016763974275209</v>
      </c>
      <c r="M118" s="13">
        <v>3443</v>
      </c>
      <c r="N118" s="89">
        <f t="shared" si="142"/>
        <v>0.40687429482930942</v>
      </c>
      <c r="O118" s="331"/>
      <c r="P118" s="89">
        <f t="shared" si="122"/>
        <v>4.9999999999922551E-2</v>
      </c>
      <c r="Q118" s="331"/>
      <c r="R118" s="20">
        <f t="shared" si="124"/>
        <v>8.1374858965987933</v>
      </c>
      <c r="S118" s="347"/>
      <c r="T118" s="15">
        <f t="shared" si="19"/>
        <v>4.1859227452104193</v>
      </c>
      <c r="U118" s="130">
        <f t="shared" si="126"/>
        <v>1.7298815473239895E-5</v>
      </c>
      <c r="V118" s="13">
        <f t="shared" si="127"/>
        <v>1.1824605682253519E-4</v>
      </c>
      <c r="W118" s="13">
        <f t="shared" si="161"/>
        <v>1.4255317345612346</v>
      </c>
      <c r="X118" s="13">
        <f t="shared" si="143"/>
        <v>81.676951952322298</v>
      </c>
      <c r="Y118" s="130">
        <f t="shared" si="144"/>
        <v>1.7104226669562017E-5</v>
      </c>
      <c r="Z118" s="141">
        <f t="shared" si="145"/>
        <v>-6.7750000000046384E-3</v>
      </c>
      <c r="AA118" s="142">
        <f t="shared" si="146"/>
        <v>278.32304804767773</v>
      </c>
      <c r="AB118" s="13">
        <v>200</v>
      </c>
      <c r="AC118" s="13">
        <v>13</v>
      </c>
      <c r="AD118" s="13">
        <f t="shared" si="128"/>
        <v>4</v>
      </c>
      <c r="AE118" s="161">
        <f t="shared" si="129"/>
        <v>78.32304804767773</v>
      </c>
      <c r="AF118" s="15">
        <f t="shared" si="104"/>
        <v>0.1600582321896846</v>
      </c>
      <c r="AG118" s="366"/>
      <c r="AH118" s="331"/>
      <c r="AI118" s="339"/>
      <c r="AJ118" s="85">
        <f t="shared" si="105"/>
        <v>1.5513536339164249</v>
      </c>
      <c r="AK118" s="13">
        <f t="shared" si="106"/>
        <v>0.33</v>
      </c>
      <c r="AL118" s="15">
        <f t="shared" si="130"/>
        <v>14.330886011442766</v>
      </c>
      <c r="AM118" s="15">
        <f t="shared" si="131"/>
        <v>7.3366497900609522</v>
      </c>
      <c r="AN118" s="15">
        <f t="shared" si="107"/>
        <v>8.7817738924422883</v>
      </c>
      <c r="AO118" s="15">
        <f t="shared" si="132"/>
        <v>4.517344490272313</v>
      </c>
      <c r="AP118" s="15">
        <f t="shared" si="133"/>
        <v>0.17273089287949875</v>
      </c>
      <c r="AQ118" s="20">
        <f t="shared" si="108"/>
        <v>4.6331675104897753E-2</v>
      </c>
      <c r="AR118" s="13">
        <f t="shared" si="109"/>
        <v>265108802.91396108</v>
      </c>
      <c r="AS118" s="13">
        <f t="shared" si="134"/>
        <v>1.8177245098116106E-3</v>
      </c>
      <c r="AT118" s="15">
        <f t="shared" si="110"/>
        <v>612.77839449522742</v>
      </c>
      <c r="AU118" s="13">
        <f t="shared" si="111"/>
        <v>23664.304224808711</v>
      </c>
      <c r="AV118" s="339"/>
      <c r="AW118" s="339"/>
      <c r="AX118" s="356"/>
      <c r="AY118" s="339"/>
      <c r="AZ118" s="339"/>
      <c r="BA118" s="331"/>
      <c r="BB118" s="331"/>
      <c r="BC118" s="331"/>
      <c r="BD118" s="339"/>
      <c r="BE118" s="339"/>
      <c r="BF118" s="339"/>
      <c r="BG118" s="339"/>
      <c r="BH118" s="337"/>
      <c r="BI118" s="331"/>
      <c r="BJ118" s="331"/>
      <c r="BK118" s="331"/>
      <c r="BL118" s="15">
        <f t="shared" si="112"/>
        <v>-2.6871852562650258E-2</v>
      </c>
      <c r="BM118" s="20">
        <f t="shared" si="135"/>
        <v>1021.6073670783549</v>
      </c>
      <c r="BN118" s="20">
        <f t="shared" si="113"/>
        <v>7671.8715739482805</v>
      </c>
      <c r="BO118" s="20">
        <f t="shared" si="114"/>
        <v>62.598985756022728</v>
      </c>
      <c r="BP118" s="20">
        <f t="shared" si="136"/>
        <v>71.988833619426131</v>
      </c>
      <c r="BQ118" s="15">
        <f t="shared" si="137"/>
        <v>325.19836091184487</v>
      </c>
      <c r="BR118" s="15">
        <f t="shared" si="115"/>
        <v>3.286779167674224</v>
      </c>
      <c r="BS118" s="6">
        <f t="shared" si="116"/>
        <v>777.43644676590304</v>
      </c>
      <c r="BT118" s="15">
        <f t="shared" si="117"/>
        <v>793.3024966999011</v>
      </c>
      <c r="BU118" s="13">
        <f t="shared" si="118"/>
        <v>952.34393361332661</v>
      </c>
      <c r="BV118" s="13">
        <f t="shared" si="138"/>
        <v>476.17196680666331</v>
      </c>
      <c r="BW118" s="13">
        <f t="shared" si="139"/>
        <v>476.17196680666331</v>
      </c>
      <c r="BX118" s="139">
        <f t="shared" si="119"/>
        <v>45.349711124444127</v>
      </c>
      <c r="BY118" s="15">
        <f t="shared" si="140"/>
        <v>3.9534825989382492E-3</v>
      </c>
      <c r="BZ118" s="15">
        <f t="shared" si="141"/>
        <v>3.9534825989382492E-3</v>
      </c>
      <c r="CA118" s="66">
        <f t="shared" si="147"/>
        <v>7.9069651978764983E-3</v>
      </c>
      <c r="CB118" s="66"/>
      <c r="CC118" s="361"/>
      <c r="CD118" s="361"/>
      <c r="CE118" s="361"/>
      <c r="CF118" s="115"/>
    </row>
    <row r="119" spans="3:84" ht="15.75" x14ac:dyDescent="0.3">
      <c r="C119" s="13">
        <v>89</v>
      </c>
      <c r="D119" s="74"/>
      <c r="E119" s="74"/>
      <c r="F119" s="19" t="s">
        <v>128</v>
      </c>
      <c r="G119" s="257"/>
      <c r="H119" s="54">
        <v>1.02222222222216</v>
      </c>
      <c r="I119" s="83">
        <v>-8.5543130000000005</v>
      </c>
      <c r="J119" s="84">
        <v>115.54320199999999</v>
      </c>
      <c r="K119" s="13">
        <f t="shared" si="156"/>
        <v>-0.1493009270961537</v>
      </c>
      <c r="L119" s="13">
        <f t="shared" si="156"/>
        <v>2.0166093031968972</v>
      </c>
      <c r="M119" s="13">
        <v>3443</v>
      </c>
      <c r="N119" s="89">
        <f t="shared" si="142"/>
        <v>0.53435730109613089</v>
      </c>
      <c r="O119" s="331"/>
      <c r="P119" s="89">
        <f t="shared" si="122"/>
        <v>4.9999999999917222E-2</v>
      </c>
      <c r="Q119" s="331"/>
      <c r="R119" s="20">
        <f t="shared" si="124"/>
        <v>10.687146021940311</v>
      </c>
      <c r="S119" s="347"/>
      <c r="T119" s="15">
        <f t="shared" si="19"/>
        <v>5.497467913686096</v>
      </c>
      <c r="U119" s="130">
        <f t="shared" si="126"/>
        <v>2.6636557945512407E-5</v>
      </c>
      <c r="V119" s="13">
        <f t="shared" si="127"/>
        <v>1.5467107831179661E-4</v>
      </c>
      <c r="W119" s="13">
        <f t="shared" si="161"/>
        <v>1.400254940848521</v>
      </c>
      <c r="X119" s="13">
        <f t="shared" si="143"/>
        <v>80.22869835296099</v>
      </c>
      <c r="Y119" s="130">
        <f t="shared" si="144"/>
        <v>2.6337018412564417E-5</v>
      </c>
      <c r="Z119" s="141">
        <f t="shared" si="145"/>
        <v>-8.8620000000076971E-3</v>
      </c>
      <c r="AA119" s="142">
        <f t="shared" si="146"/>
        <v>279.77130164703902</v>
      </c>
      <c r="AB119" s="13">
        <v>200</v>
      </c>
      <c r="AC119" s="13">
        <v>13</v>
      </c>
      <c r="AD119" s="13">
        <f t="shared" si="128"/>
        <v>4</v>
      </c>
      <c r="AE119" s="161">
        <f t="shared" si="129"/>
        <v>79.771301647039024</v>
      </c>
      <c r="AF119" s="15">
        <f t="shared" si="104"/>
        <v>0.21020813076182998</v>
      </c>
      <c r="AG119" s="366"/>
      <c r="AH119" s="331"/>
      <c r="AI119" s="339"/>
      <c r="AJ119" s="85">
        <f t="shared" si="105"/>
        <v>1.2458613281831139</v>
      </c>
      <c r="AK119" s="13">
        <f t="shared" si="106"/>
        <v>0.33</v>
      </c>
      <c r="AL119" s="15">
        <f t="shared" si="130"/>
        <v>14.330886011442766</v>
      </c>
      <c r="AM119" s="15">
        <f t="shared" si="131"/>
        <v>5.8919179044847745</v>
      </c>
      <c r="AN119" s="15">
        <f t="shared" si="107"/>
        <v>11.356246757949405</v>
      </c>
      <c r="AO119" s="15">
        <f t="shared" si="132"/>
        <v>5.8416533322891739</v>
      </c>
      <c r="AP119" s="15">
        <f t="shared" si="133"/>
        <v>0.22336883940369623</v>
      </c>
      <c r="AQ119" s="20">
        <f t="shared" si="108"/>
        <v>4.7054041047679705E-2</v>
      </c>
      <c r="AR119" s="13">
        <f t="shared" si="109"/>
        <v>342828342.02626371</v>
      </c>
      <c r="AS119" s="13">
        <f t="shared" si="134"/>
        <v>1.7561430233869197E-3</v>
      </c>
      <c r="AT119" s="15">
        <f t="shared" si="110"/>
        <v>990.01187371060041</v>
      </c>
      <c r="AU119" s="13">
        <f t="shared" si="111"/>
        <v>38232.324076894343</v>
      </c>
      <c r="AV119" s="339"/>
      <c r="AW119" s="339"/>
      <c r="AX119" s="356"/>
      <c r="AY119" s="339"/>
      <c r="AZ119" s="339"/>
      <c r="BA119" s="331"/>
      <c r="BB119" s="331"/>
      <c r="BC119" s="331"/>
      <c r="BD119" s="339"/>
      <c r="BE119" s="339"/>
      <c r="BF119" s="339"/>
      <c r="BG119" s="339"/>
      <c r="BH119" s="337"/>
      <c r="BI119" s="331"/>
      <c r="BJ119" s="331"/>
      <c r="BK119" s="331"/>
      <c r="BL119" s="15">
        <f t="shared" si="112"/>
        <v>-0.10338665500943357</v>
      </c>
      <c r="BM119" s="20">
        <f t="shared" si="135"/>
        <v>14133.920114572193</v>
      </c>
      <c r="BN119" s="20">
        <f t="shared" si="113"/>
        <v>12829.403475055959</v>
      </c>
      <c r="BO119" s="20">
        <f t="shared" si="114"/>
        <v>114.0536849415401</v>
      </c>
      <c r="BP119" s="20">
        <f t="shared" si="136"/>
        <v>131.1617376827711</v>
      </c>
      <c r="BQ119" s="15">
        <f t="shared" si="137"/>
        <v>766.20140200339836</v>
      </c>
      <c r="BR119" s="15">
        <f t="shared" si="115"/>
        <v>4.2503343543288965</v>
      </c>
      <c r="BS119" s="6">
        <f t="shared" si="116"/>
        <v>1831.7217030563415</v>
      </c>
      <c r="BT119" s="15">
        <f t="shared" si="117"/>
        <v>1869.1037786289201</v>
      </c>
      <c r="BU119" s="13">
        <f t="shared" si="118"/>
        <v>2243.8220631799763</v>
      </c>
      <c r="BV119" s="13">
        <f t="shared" si="138"/>
        <v>1121.9110315899882</v>
      </c>
      <c r="BW119" s="13">
        <f t="shared" si="139"/>
        <v>1121.9110315899882</v>
      </c>
      <c r="BX119" s="139">
        <f t="shared" si="119"/>
        <v>106.84866967523696</v>
      </c>
      <c r="BY119" s="15">
        <f t="shared" si="140"/>
        <v>9.4600482336245732E-3</v>
      </c>
      <c r="BZ119" s="15">
        <f t="shared" si="141"/>
        <v>9.4600482336245732E-3</v>
      </c>
      <c r="CA119" s="66">
        <f t="shared" si="147"/>
        <v>1.8920096467249146E-2</v>
      </c>
      <c r="CB119" s="66"/>
      <c r="CC119" s="362"/>
      <c r="CD119" s="362"/>
      <c r="CE119" s="362"/>
      <c r="CF119" s="115"/>
    </row>
    <row r="120" spans="3:84" ht="15.75" x14ac:dyDescent="0.3">
      <c r="C120" s="13">
        <v>90</v>
      </c>
      <c r="D120" s="74"/>
      <c r="E120" s="74"/>
      <c r="F120" s="19" t="s">
        <v>128</v>
      </c>
      <c r="G120" s="255">
        <v>1.02430555555556</v>
      </c>
      <c r="H120" s="54">
        <v>1.0243055555554901</v>
      </c>
      <c r="I120" s="83">
        <v>-8.552289</v>
      </c>
      <c r="J120" s="84">
        <v>115.535569</v>
      </c>
      <c r="K120" s="13">
        <f t="shared" si="156"/>
        <v>-0.14926560163209332</v>
      </c>
      <c r="L120" s="13">
        <f t="shared" si="156"/>
        <v>2.0164760822150924</v>
      </c>
      <c r="M120" s="13">
        <v>3443</v>
      </c>
      <c r="N120" s="89">
        <f t="shared" si="142"/>
        <v>0.46960208610776527</v>
      </c>
      <c r="O120" s="331"/>
      <c r="P120" s="89">
        <f t="shared" si="122"/>
        <v>4.9999999999922551E-2</v>
      </c>
      <c r="Q120" s="358"/>
      <c r="R120" s="20">
        <f t="shared" si="124"/>
        <v>9.3920417221698536</v>
      </c>
      <c r="S120" s="348"/>
      <c r="T120" s="15">
        <f t="shared" si="19"/>
        <v>4.8312662618841724</v>
      </c>
      <c r="U120" s="130">
        <f t="shared" si="126"/>
        <v>3.572706554471466E-5</v>
      </c>
      <c r="V120" s="13">
        <f t="shared" si="127"/>
        <v>1.3322098180479358E-4</v>
      </c>
      <c r="W120" s="13">
        <f t="shared" si="161"/>
        <v>1.3087825668901467</v>
      </c>
      <c r="X120" s="13">
        <f t="shared" si="143"/>
        <v>74.987717383103757</v>
      </c>
      <c r="Y120" s="130">
        <f t="shared" si="144"/>
        <v>3.5325464060376177E-5</v>
      </c>
      <c r="Z120" s="141">
        <f t="shared" si="145"/>
        <v>-7.6329999999984466E-3</v>
      </c>
      <c r="AA120" s="142">
        <f t="shared" si="146"/>
        <v>285.01228261689624</v>
      </c>
      <c r="AB120" s="13">
        <v>200</v>
      </c>
      <c r="AC120" s="13">
        <v>13</v>
      </c>
      <c r="AD120" s="13">
        <f t="shared" si="128"/>
        <v>4</v>
      </c>
      <c r="AE120" s="161">
        <f t="shared" si="129"/>
        <v>85.012282616896243</v>
      </c>
      <c r="AF120" s="15">
        <f t="shared" si="104"/>
        <v>0.18473440246828415</v>
      </c>
      <c r="AG120" s="366"/>
      <c r="AH120" s="331"/>
      <c r="AI120" s="339"/>
      <c r="AJ120" s="85">
        <f t="shared" si="105"/>
        <v>1.407134039112744</v>
      </c>
      <c r="AK120" s="13">
        <f t="shared" si="106"/>
        <v>0.33</v>
      </c>
      <c r="AL120" s="15">
        <f t="shared" si="130"/>
        <v>14.330886011442766</v>
      </c>
      <c r="AM120" s="15">
        <f t="shared" si="131"/>
        <v>6.6546075807241083</v>
      </c>
      <c r="AN120" s="15">
        <f t="shared" si="107"/>
        <v>10.061601841024979</v>
      </c>
      <c r="AO120" s="15">
        <f t="shared" si="132"/>
        <v>5.1756879870232488</v>
      </c>
      <c r="AP120" s="15">
        <f t="shared" si="133"/>
        <v>0.19790414682550134</v>
      </c>
      <c r="AQ120" s="20">
        <f t="shared" si="108"/>
        <v>4.6672696209565649E-2</v>
      </c>
      <c r="AR120" s="13">
        <f t="shared" si="109"/>
        <v>303744921.25863719</v>
      </c>
      <c r="AS120" s="13">
        <f t="shared" si="134"/>
        <v>1.7847401889551631E-3</v>
      </c>
      <c r="AT120" s="15">
        <f t="shared" si="110"/>
        <v>789.80547008570863</v>
      </c>
      <c r="AU120" s="13">
        <f t="shared" si="111"/>
        <v>30500.743972741078</v>
      </c>
      <c r="AV120" s="339"/>
      <c r="AW120" s="339"/>
      <c r="AX120" s="356"/>
      <c r="AY120" s="339"/>
      <c r="AZ120" s="339"/>
      <c r="BA120" s="331"/>
      <c r="BB120" s="331"/>
      <c r="BC120" s="331"/>
      <c r="BD120" s="339"/>
      <c r="BE120" s="339"/>
      <c r="BF120" s="339"/>
      <c r="BG120" s="339"/>
      <c r="BH120" s="337"/>
      <c r="BI120" s="331"/>
      <c r="BJ120" s="331"/>
      <c r="BK120" s="331"/>
      <c r="BL120" s="15">
        <f t="shared" si="112"/>
        <v>-5.9710496300371216E-2</v>
      </c>
      <c r="BM120" s="20">
        <f t="shared" si="135"/>
        <v>4435.4139815501649</v>
      </c>
      <c r="BN120" s="20">
        <f t="shared" si="113"/>
        <v>10070.964776141984</v>
      </c>
      <c r="BO120" s="20">
        <f t="shared" si="114"/>
        <v>83.984781607220071</v>
      </c>
      <c r="BP120" s="20">
        <f t="shared" si="136"/>
        <v>96.582498848303089</v>
      </c>
      <c r="BQ120" s="15">
        <f t="shared" si="137"/>
        <v>499.88087904584904</v>
      </c>
      <c r="BR120" s="15">
        <f t="shared" si="115"/>
        <v>3.7657839668331965</v>
      </c>
      <c r="BS120" s="6">
        <f t="shared" si="116"/>
        <v>1195.0417379777941</v>
      </c>
      <c r="BT120" s="15">
        <f t="shared" si="117"/>
        <v>1219.4303448753001</v>
      </c>
      <c r="BU120" s="13">
        <f t="shared" si="118"/>
        <v>1463.9019746402162</v>
      </c>
      <c r="BV120" s="13">
        <f t="shared" si="138"/>
        <v>731.95098732010808</v>
      </c>
      <c r="BW120" s="13">
        <f t="shared" si="139"/>
        <v>731.95098732010808</v>
      </c>
      <c r="BX120" s="139">
        <f t="shared" si="119"/>
        <v>69.709617840010296</v>
      </c>
      <c r="BY120" s="15">
        <f t="shared" si="140"/>
        <v>6.1218529920097605E-3</v>
      </c>
      <c r="BZ120" s="15">
        <f t="shared" si="141"/>
        <v>6.1218529920097605E-3</v>
      </c>
      <c r="CA120" s="66">
        <f t="shared" si="147"/>
        <v>1.2243705984019521E-2</v>
      </c>
      <c r="CB120" s="66"/>
      <c r="CC120" s="360">
        <f t="shared" ref="CC120" si="166">SUM(CA120:CA124)*1000</f>
        <v>45.509263581893954</v>
      </c>
      <c r="CD120" s="360">
        <v>40</v>
      </c>
      <c r="CE120" s="360">
        <f t="shared" ref="CE120" si="167">AVERAGE(AN120:AN124)</f>
        <v>9.0651220596601423</v>
      </c>
      <c r="CF120" s="115"/>
    </row>
    <row r="121" spans="3:84" ht="15.75" x14ac:dyDescent="0.3">
      <c r="C121" s="13">
        <v>91</v>
      </c>
      <c r="D121" s="74"/>
      <c r="E121" s="74"/>
      <c r="F121" s="19" t="s">
        <v>128</v>
      </c>
      <c r="G121" s="256"/>
      <c r="H121" s="54">
        <v>1.02638888888882</v>
      </c>
      <c r="I121" s="83">
        <v>-8.5506039999999999</v>
      </c>
      <c r="J121" s="84">
        <v>115.52873099999999</v>
      </c>
      <c r="K121" s="13">
        <f t="shared" si="156"/>
        <v>-0.14923619283419723</v>
      </c>
      <c r="L121" s="13">
        <f t="shared" si="156"/>
        <v>2.0163567366008408</v>
      </c>
      <c r="M121" s="13">
        <v>3443</v>
      </c>
      <c r="N121" s="89">
        <f t="shared" si="142"/>
        <v>0.41876447590387833</v>
      </c>
      <c r="O121" s="331">
        <f>SUM(N121:N125)</f>
        <v>1.9109215189979514</v>
      </c>
      <c r="P121" s="89">
        <f t="shared" si="122"/>
        <v>4.9999999999917222E-2</v>
      </c>
      <c r="Q121" s="357">
        <f t="shared" ref="Q121" si="168">SUM(P121:P125)</f>
        <v>0.24999999999959677</v>
      </c>
      <c r="R121" s="20">
        <f t="shared" si="124"/>
        <v>8.3752895180914333</v>
      </c>
      <c r="S121" s="346">
        <f t="shared" ref="S121" si="169">AVERAGE(R121:R125)</f>
        <v>7.6436860760041414</v>
      </c>
      <c r="T121" s="15">
        <f t="shared" si="19"/>
        <v>4.3082489281062326</v>
      </c>
      <c r="U121" s="130">
        <f t="shared" si="126"/>
        <v>2.9742989539914362E-5</v>
      </c>
      <c r="V121" s="13">
        <f t="shared" si="127"/>
        <v>1.1934561425164247E-4</v>
      </c>
      <c r="W121" s="13">
        <f t="shared" si="161"/>
        <v>1.3265544754902578</v>
      </c>
      <c r="X121" s="13">
        <f t="shared" si="143"/>
        <v>76.005972739782379</v>
      </c>
      <c r="Y121" s="130">
        <f t="shared" si="144"/>
        <v>2.9408797896091077E-5</v>
      </c>
      <c r="Z121" s="141">
        <f t="shared" si="145"/>
        <v>-6.8380000000018981E-3</v>
      </c>
      <c r="AA121" s="142">
        <f t="shared" si="146"/>
        <v>283.99402726021765</v>
      </c>
      <c r="AB121" s="13">
        <v>200</v>
      </c>
      <c r="AC121" s="13">
        <v>13</v>
      </c>
      <c r="AD121" s="13">
        <f t="shared" si="128"/>
        <v>4</v>
      </c>
      <c r="AE121" s="161">
        <f t="shared" si="129"/>
        <v>83.994027260217649</v>
      </c>
      <c r="AF121" s="15">
        <f t="shared" si="104"/>
        <v>0.16473565071280924</v>
      </c>
      <c r="AG121" s="366"/>
      <c r="AH121" s="331"/>
      <c r="AI121" s="339"/>
      <c r="AJ121" s="85">
        <f t="shared" si="105"/>
        <v>1.524923877444982</v>
      </c>
      <c r="AK121" s="13">
        <f t="shared" si="106"/>
        <v>0.33</v>
      </c>
      <c r="AL121" s="15">
        <f t="shared" si="130"/>
        <v>14.330886011442766</v>
      </c>
      <c r="AM121" s="15">
        <f t="shared" si="131"/>
        <v>7.2116583870511484</v>
      </c>
      <c r="AN121" s="15">
        <f t="shared" si="107"/>
        <v>9.0262304213039624</v>
      </c>
      <c r="AO121" s="15">
        <f t="shared" si="132"/>
        <v>4.6430929287187581</v>
      </c>
      <c r="AP121" s="15">
        <f t="shared" si="133"/>
        <v>0.17753916909085049</v>
      </c>
      <c r="AQ121" s="20">
        <f t="shared" si="108"/>
        <v>4.6394170806397614E-2</v>
      </c>
      <c r="AR121" s="13">
        <f t="shared" si="109"/>
        <v>272488585.00864637</v>
      </c>
      <c r="AS121" s="13">
        <f t="shared" si="134"/>
        <v>1.8109945660404845E-3</v>
      </c>
      <c r="AT121" s="15">
        <f t="shared" si="110"/>
        <v>644.97199601190016</v>
      </c>
      <c r="AU121" s="13">
        <f t="shared" si="111"/>
        <v>24907.558209000443</v>
      </c>
      <c r="AV121" s="339"/>
      <c r="AW121" s="339"/>
      <c r="AX121" s="356"/>
      <c r="AY121" s="339"/>
      <c r="AZ121" s="339"/>
      <c r="BA121" s="331"/>
      <c r="BB121" s="331"/>
      <c r="BC121" s="331"/>
      <c r="BD121" s="339"/>
      <c r="BE121" s="339"/>
      <c r="BF121" s="339"/>
      <c r="BG121" s="339"/>
      <c r="BH121" s="337"/>
      <c r="BI121" s="331"/>
      <c r="BJ121" s="331"/>
      <c r="BK121" s="331"/>
      <c r="BL121" s="15">
        <f t="shared" si="112"/>
        <v>-3.214208885735894E-2</v>
      </c>
      <c r="BM121" s="20">
        <f t="shared" si="135"/>
        <v>1390.5841345704243</v>
      </c>
      <c r="BN121" s="20">
        <f t="shared" si="113"/>
        <v>8104.9372015702684</v>
      </c>
      <c r="BO121" s="20">
        <f t="shared" si="114"/>
        <v>66.233067305170295</v>
      </c>
      <c r="BP121" s="20">
        <f t="shared" si="136"/>
        <v>76.168027400945846</v>
      </c>
      <c r="BQ121" s="15">
        <f t="shared" si="137"/>
        <v>353.65522941978827</v>
      </c>
      <c r="BR121" s="15">
        <f t="shared" si="115"/>
        <v>3.3782725989906446</v>
      </c>
      <c r="BS121" s="6">
        <f t="shared" si="116"/>
        <v>845.46694568006353</v>
      </c>
      <c r="BT121" s="15">
        <f t="shared" si="117"/>
        <v>862.72137314292195</v>
      </c>
      <c r="BU121" s="13">
        <f t="shared" si="118"/>
        <v>1035.6799197394021</v>
      </c>
      <c r="BV121" s="13">
        <f t="shared" si="138"/>
        <v>517.83995986970103</v>
      </c>
      <c r="BW121" s="13">
        <f t="shared" si="139"/>
        <v>517.83995986970103</v>
      </c>
      <c r="BX121" s="139">
        <f t="shared" si="119"/>
        <v>49.318091416162005</v>
      </c>
      <c r="BY121" s="15">
        <f t="shared" si="140"/>
        <v>4.3052361943042806E-3</v>
      </c>
      <c r="BZ121" s="15">
        <f t="shared" si="141"/>
        <v>4.3052361943042806E-3</v>
      </c>
      <c r="CA121" s="66">
        <f t="shared" si="147"/>
        <v>8.6104723886085612E-3</v>
      </c>
      <c r="CB121" s="66"/>
      <c r="CC121" s="361"/>
      <c r="CD121" s="361"/>
      <c r="CE121" s="361"/>
      <c r="CF121" s="115"/>
    </row>
    <row r="122" spans="3:84" ht="15.75" x14ac:dyDescent="0.3">
      <c r="C122" s="13">
        <v>92</v>
      </c>
      <c r="D122" s="74"/>
      <c r="E122" s="74"/>
      <c r="F122" s="19" t="s">
        <v>128</v>
      </c>
      <c r="G122" s="256"/>
      <c r="H122" s="54">
        <v>1.0284722222221501</v>
      </c>
      <c r="I122" s="83">
        <v>-8.5480739999999997</v>
      </c>
      <c r="J122" s="84">
        <v>115.5226</v>
      </c>
      <c r="K122" s="13">
        <f t="shared" si="156"/>
        <v>-0.14919203600412176</v>
      </c>
      <c r="L122" s="13">
        <f t="shared" si="156"/>
        <v>2.0162497304644011</v>
      </c>
      <c r="M122" s="13">
        <v>3443</v>
      </c>
      <c r="N122" s="89">
        <f t="shared" si="142"/>
        <v>0.39477693540687292</v>
      </c>
      <c r="O122" s="331"/>
      <c r="P122" s="89">
        <f t="shared" si="122"/>
        <v>4.9999999999922551E-2</v>
      </c>
      <c r="Q122" s="331"/>
      <c r="R122" s="20">
        <f t="shared" si="124"/>
        <v>7.8955387081496884</v>
      </c>
      <c r="S122" s="347"/>
      <c r="T122" s="15">
        <f t="shared" si="19"/>
        <v>4.0614651114721996</v>
      </c>
      <c r="U122" s="130">
        <f t="shared" si="126"/>
        <v>4.4658365063536907E-5</v>
      </c>
      <c r="V122" s="13">
        <f t="shared" si="127"/>
        <v>1.0700613643965795E-4</v>
      </c>
      <c r="W122" s="13">
        <f t="shared" si="161"/>
        <v>1.1754282411971955</v>
      </c>
      <c r="X122" s="13">
        <f t="shared" si="143"/>
        <v>67.347077341084656</v>
      </c>
      <c r="Y122" s="130">
        <f t="shared" si="144"/>
        <v>4.4156830075470221E-5</v>
      </c>
      <c r="Z122" s="141">
        <f t="shared" si="145"/>
        <v>-6.1309999999963338E-3</v>
      </c>
      <c r="AA122" s="142">
        <f t="shared" si="146"/>
        <v>292.65292265891537</v>
      </c>
      <c r="AB122" s="13">
        <v>200</v>
      </c>
      <c r="AC122" s="13">
        <v>13</v>
      </c>
      <c r="AD122" s="13">
        <f t="shared" si="128"/>
        <v>4</v>
      </c>
      <c r="AE122" s="161">
        <f t="shared" si="129"/>
        <v>92.652922658915372</v>
      </c>
      <c r="AF122" s="15">
        <f t="shared" si="104"/>
        <v>0.15529931281845541</v>
      </c>
      <c r="AG122" s="366"/>
      <c r="AH122" s="331"/>
      <c r="AI122" s="339"/>
      <c r="AJ122" s="85">
        <f t="shared" si="105"/>
        <v>1.5778083153035822</v>
      </c>
      <c r="AK122" s="13">
        <f t="shared" si="106"/>
        <v>0.33</v>
      </c>
      <c r="AL122" s="15">
        <f t="shared" si="130"/>
        <v>14.330886011442766</v>
      </c>
      <c r="AM122" s="15">
        <f t="shared" si="131"/>
        <v>7.4617590677923209</v>
      </c>
      <c r="AN122" s="15">
        <f t="shared" si="107"/>
        <v>8.5321901827957358</v>
      </c>
      <c r="AO122" s="15">
        <f t="shared" si="132"/>
        <v>4.3889586300301264</v>
      </c>
      <c r="AP122" s="15">
        <f t="shared" si="133"/>
        <v>0.16782176887523256</v>
      </c>
      <c r="AQ122" s="20">
        <f t="shared" si="108"/>
        <v>4.6269120466032168E-2</v>
      </c>
      <c r="AR122" s="13">
        <f t="shared" si="109"/>
        <v>257574238.79267719</v>
      </c>
      <c r="AS122" s="13">
        <f t="shared" si="134"/>
        <v>1.8248321744794654E-3</v>
      </c>
      <c r="AT122" s="15">
        <f t="shared" si="110"/>
        <v>580.70406147385211</v>
      </c>
      <c r="AU122" s="13">
        <f t="shared" si="111"/>
        <v>22425.656156854406</v>
      </c>
      <c r="AV122" s="339"/>
      <c r="AW122" s="339"/>
      <c r="AX122" s="356"/>
      <c r="AY122" s="339"/>
      <c r="AZ122" s="339"/>
      <c r="BA122" s="331"/>
      <c r="BB122" s="331"/>
      <c r="BC122" s="331"/>
      <c r="BD122" s="339"/>
      <c r="BE122" s="339"/>
      <c r="BF122" s="339"/>
      <c r="BG122" s="339"/>
      <c r="BH122" s="337"/>
      <c r="BI122" s="331"/>
      <c r="BJ122" s="331"/>
      <c r="BK122" s="331"/>
      <c r="BL122" s="15">
        <f t="shared" si="112"/>
        <v>-2.2023847247267622E-2</v>
      </c>
      <c r="BM122" s="20">
        <f t="shared" si="135"/>
        <v>734.53753141647269</v>
      </c>
      <c r="BN122" s="20">
        <f t="shared" si="113"/>
        <v>7241.9892680217681</v>
      </c>
      <c r="BO122" s="20">
        <f t="shared" si="114"/>
        <v>59.060486391486883</v>
      </c>
      <c r="BP122" s="20">
        <f t="shared" si="136"/>
        <v>67.919559350209909</v>
      </c>
      <c r="BQ122" s="15">
        <f t="shared" si="137"/>
        <v>298.09613615794717</v>
      </c>
      <c r="BR122" s="15">
        <f t="shared" si="115"/>
        <v>3.1933667720119852</v>
      </c>
      <c r="BS122" s="6">
        <f t="shared" si="116"/>
        <v>712.64443104650991</v>
      </c>
      <c r="BT122" s="15">
        <f t="shared" si="117"/>
        <v>727.18819494541833</v>
      </c>
      <c r="BU122" s="13">
        <f t="shared" si="118"/>
        <v>872.97502394407968</v>
      </c>
      <c r="BV122" s="13">
        <f t="shared" si="138"/>
        <v>436.48751197203984</v>
      </c>
      <c r="BW122" s="13">
        <f t="shared" si="139"/>
        <v>436.48751197203984</v>
      </c>
      <c r="BX122" s="139">
        <f t="shared" si="119"/>
        <v>41.570239235432368</v>
      </c>
      <c r="BY122" s="15">
        <f t="shared" si="140"/>
        <v>3.6191040745848519E-3</v>
      </c>
      <c r="BZ122" s="15">
        <f t="shared" si="141"/>
        <v>3.6191040745848519E-3</v>
      </c>
      <c r="CA122" s="66">
        <f t="shared" si="147"/>
        <v>7.2382081491697038E-3</v>
      </c>
      <c r="CB122" s="66"/>
      <c r="CC122" s="361"/>
      <c r="CD122" s="361"/>
      <c r="CE122" s="361"/>
      <c r="CF122" s="115"/>
    </row>
    <row r="123" spans="3:84" ht="15.75" x14ac:dyDescent="0.3">
      <c r="C123" s="13">
        <v>93</v>
      </c>
      <c r="D123" s="74"/>
      <c r="E123" s="74"/>
      <c r="F123" s="19" t="s">
        <v>128</v>
      </c>
      <c r="G123" s="256"/>
      <c r="H123" s="54">
        <v>1.03055555555548</v>
      </c>
      <c r="I123" s="83">
        <v>-8.5435350000000003</v>
      </c>
      <c r="J123" s="84">
        <v>115.516183</v>
      </c>
      <c r="K123" s="13">
        <f t="shared" si="156"/>
        <v>-0.14911281550937375</v>
      </c>
      <c r="L123" s="13">
        <f t="shared" si="156"/>
        <v>2.016137732686301</v>
      </c>
      <c r="M123" s="13">
        <v>3443</v>
      </c>
      <c r="N123" s="89">
        <f t="shared" si="142"/>
        <v>0.46883501648170484</v>
      </c>
      <c r="O123" s="331"/>
      <c r="P123" s="89">
        <f t="shared" si="122"/>
        <v>4.9999999999917222E-2</v>
      </c>
      <c r="Q123" s="331"/>
      <c r="R123" s="20">
        <f t="shared" si="124"/>
        <v>9.376700329649621</v>
      </c>
      <c r="S123" s="347"/>
      <c r="T123" s="15">
        <f t="shared" si="19"/>
        <v>4.8233746495717646</v>
      </c>
      <c r="U123" s="130">
        <f t="shared" si="126"/>
        <v>8.0119537332804048E-5</v>
      </c>
      <c r="V123" s="13">
        <f t="shared" si="127"/>
        <v>1.1199777810011469E-4</v>
      </c>
      <c r="W123" s="13">
        <f t="shared" si="161"/>
        <v>0.94983108572816477</v>
      </c>
      <c r="X123" s="13">
        <f t="shared" si="143"/>
        <v>54.421312462552521</v>
      </c>
      <c r="Y123" s="130">
        <f t="shared" si="144"/>
        <v>7.9220494748011294E-5</v>
      </c>
      <c r="Z123" s="141">
        <f t="shared" si="145"/>
        <v>-6.4169999999990068E-3</v>
      </c>
      <c r="AA123" s="142">
        <f t="shared" si="146"/>
        <v>305.57868753744748</v>
      </c>
      <c r="AB123" s="13">
        <v>200</v>
      </c>
      <c r="AC123" s="13">
        <v>13</v>
      </c>
      <c r="AD123" s="13">
        <f t="shared" si="128"/>
        <v>4</v>
      </c>
      <c r="AE123" s="161">
        <f t="shared" si="129"/>
        <v>105.57868753744748</v>
      </c>
      <c r="AF123" s="15">
        <f t="shared" si="104"/>
        <v>0.18443264880661048</v>
      </c>
      <c r="AG123" s="366"/>
      <c r="AH123" s="331"/>
      <c r="AI123" s="339"/>
      <c r="AJ123" s="85">
        <f t="shared" si="105"/>
        <v>1.4089689791089957</v>
      </c>
      <c r="AK123" s="13">
        <f t="shared" si="106"/>
        <v>0.33</v>
      </c>
      <c r="AL123" s="15">
        <f t="shared" si="130"/>
        <v>14.330886011442766</v>
      </c>
      <c r="AM123" s="15">
        <f t="shared" si="131"/>
        <v>6.6632853649790675</v>
      </c>
      <c r="AN123" s="15">
        <f t="shared" si="107"/>
        <v>10.046100686440257</v>
      </c>
      <c r="AO123" s="15">
        <f t="shared" si="132"/>
        <v>5.1677141931048673</v>
      </c>
      <c r="AP123" s="15">
        <f t="shared" si="133"/>
        <v>0.19759925076408183</v>
      </c>
      <c r="AQ123" s="20">
        <f t="shared" si="108"/>
        <v>4.6668357317433198E-2</v>
      </c>
      <c r="AR123" s="13">
        <f t="shared" si="109"/>
        <v>303276964.26201302</v>
      </c>
      <c r="AS123" s="13">
        <f t="shared" si="134"/>
        <v>1.785108950097084E-3</v>
      </c>
      <c r="AT123" s="15">
        <f t="shared" si="110"/>
        <v>787.53644306017384</v>
      </c>
      <c r="AU123" s="13">
        <f t="shared" si="111"/>
        <v>30413.118582699706</v>
      </c>
      <c r="AV123" s="339"/>
      <c r="AW123" s="339"/>
      <c r="AX123" s="356"/>
      <c r="AY123" s="339"/>
      <c r="AZ123" s="339"/>
      <c r="BA123" s="331"/>
      <c r="BB123" s="331"/>
      <c r="BC123" s="331"/>
      <c r="BD123" s="339"/>
      <c r="BE123" s="339"/>
      <c r="BF123" s="339"/>
      <c r="BG123" s="339"/>
      <c r="BH123" s="337"/>
      <c r="BI123" s="331"/>
      <c r="BJ123" s="331"/>
      <c r="BK123" s="331"/>
      <c r="BL123" s="15">
        <f t="shared" si="112"/>
        <v>-5.9241508896486619E-2</v>
      </c>
      <c r="BM123" s="20">
        <f t="shared" si="135"/>
        <v>4366.1561885263818</v>
      </c>
      <c r="BN123" s="20">
        <f t="shared" si="113"/>
        <v>10039.957521118395</v>
      </c>
      <c r="BO123" s="20">
        <f t="shared" si="114"/>
        <v>83.684912505101678</v>
      </c>
      <c r="BP123" s="20">
        <f t="shared" si="136"/>
        <v>96.237649380866927</v>
      </c>
      <c r="BQ123" s="15">
        <f t="shared" si="137"/>
        <v>497.32866661655589</v>
      </c>
      <c r="BR123" s="15">
        <f t="shared" si="115"/>
        <v>3.7599823061905995</v>
      </c>
      <c r="BS123" s="6">
        <f t="shared" si="116"/>
        <v>1188.940283601278</v>
      </c>
      <c r="BT123" s="15">
        <f t="shared" si="117"/>
        <v>1213.2043710217122</v>
      </c>
      <c r="BU123" s="13">
        <f t="shared" si="118"/>
        <v>1456.4278163525958</v>
      </c>
      <c r="BV123" s="13">
        <f t="shared" si="138"/>
        <v>728.21390817629788</v>
      </c>
      <c r="BW123" s="13">
        <f t="shared" si="139"/>
        <v>728.21390817629788</v>
      </c>
      <c r="BX123" s="139">
        <f t="shared" si="119"/>
        <v>69.35370554059979</v>
      </c>
      <c r="BY123" s="15">
        <f t="shared" si="140"/>
        <v>6.0900307991570354E-3</v>
      </c>
      <c r="BZ123" s="15">
        <f t="shared" si="141"/>
        <v>6.0900307991570354E-3</v>
      </c>
      <c r="CA123" s="66">
        <f t="shared" si="147"/>
        <v>1.2180061598314071E-2</v>
      </c>
      <c r="CB123" s="66"/>
      <c r="CC123" s="361"/>
      <c r="CD123" s="361"/>
      <c r="CE123" s="361"/>
      <c r="CF123" s="115"/>
    </row>
    <row r="124" spans="3:84" ht="15.75" x14ac:dyDescent="0.3">
      <c r="C124" s="13">
        <v>94</v>
      </c>
      <c r="D124" s="74"/>
      <c r="E124" s="74"/>
      <c r="F124" s="19" t="s">
        <v>128</v>
      </c>
      <c r="G124" s="257"/>
      <c r="H124" s="54">
        <v>1.0326388888888101</v>
      </c>
      <c r="I124" s="83">
        <v>-8.5383479999999992</v>
      </c>
      <c r="J124" s="84">
        <v>115.513402</v>
      </c>
      <c r="K124" s="13">
        <f t="shared" si="156"/>
        <v>-0.14902228528107278</v>
      </c>
      <c r="L124" s="13">
        <f t="shared" si="156"/>
        <v>2.016089195079803</v>
      </c>
      <c r="M124" s="13">
        <v>3443</v>
      </c>
      <c r="N124" s="89">
        <f t="shared" si="142"/>
        <v>0.35279675813382066</v>
      </c>
      <c r="O124" s="331"/>
      <c r="P124" s="89">
        <f t="shared" si="122"/>
        <v>4.9999999999922551E-2</v>
      </c>
      <c r="Q124" s="331"/>
      <c r="R124" s="20">
        <f t="shared" si="124"/>
        <v>7.0559351626873426</v>
      </c>
      <c r="S124" s="347"/>
      <c r="T124" s="15">
        <f t="shared" si="19"/>
        <v>3.6295730476863688</v>
      </c>
      <c r="U124" s="130">
        <f t="shared" si="126"/>
        <v>9.1556446943503978E-5</v>
      </c>
      <c r="V124" s="13">
        <f t="shared" si="127"/>
        <v>4.8537606498033625E-5</v>
      </c>
      <c r="W124" s="13">
        <f t="shared" si="161"/>
        <v>0.48746677756784501</v>
      </c>
      <c r="X124" s="13">
        <f t="shared" si="143"/>
        <v>27.929789007479993</v>
      </c>
      <c r="Y124" s="130">
        <f t="shared" si="144"/>
        <v>9.0530228300966797E-5</v>
      </c>
      <c r="Z124" s="141">
        <f t="shared" si="145"/>
        <v>-2.7809999999988122E-3</v>
      </c>
      <c r="AA124" s="142">
        <f t="shared" si="146"/>
        <v>332.07021099252</v>
      </c>
      <c r="AB124" s="13">
        <v>200</v>
      </c>
      <c r="AC124" s="13">
        <v>13</v>
      </c>
      <c r="AD124" s="13">
        <f t="shared" si="128"/>
        <v>4</v>
      </c>
      <c r="AE124" s="161">
        <f t="shared" si="129"/>
        <v>132.07021099252</v>
      </c>
      <c r="AF124" s="15">
        <f t="shared" si="104"/>
        <v>0.13878494204909245</v>
      </c>
      <c r="AG124" s="366"/>
      <c r="AH124" s="331"/>
      <c r="AI124" s="339"/>
      <c r="AJ124" s="85">
        <f t="shared" si="105"/>
        <v>1.6662034215234405</v>
      </c>
      <c r="AK124" s="13">
        <f t="shared" si="106"/>
        <v>0.33</v>
      </c>
      <c r="AL124" s="15">
        <f t="shared" si="130"/>
        <v>14.330886011442766</v>
      </c>
      <c r="AM124" s="15">
        <f t="shared" si="131"/>
        <v>7.8797965308903546</v>
      </c>
      <c r="AN124" s="15">
        <f t="shared" si="107"/>
        <v>7.6594871667357811</v>
      </c>
      <c r="AO124" s="15">
        <f t="shared" si="132"/>
        <v>3.9400401985688855</v>
      </c>
      <c r="AP124" s="15">
        <f t="shared" si="133"/>
        <v>0.15065635639377495</v>
      </c>
      <c r="AQ124" s="20">
        <f t="shared" si="108"/>
        <v>4.6060101734483473E-2</v>
      </c>
      <c r="AR124" s="13">
        <f t="shared" si="109"/>
        <v>231228621.75439629</v>
      </c>
      <c r="AS124" s="13">
        <f t="shared" si="134"/>
        <v>1.8518049684282229E-3</v>
      </c>
      <c r="AT124" s="15">
        <f t="shared" si="110"/>
        <v>474.90365273326637</v>
      </c>
      <c r="AU124" s="13">
        <f t="shared" si="111"/>
        <v>18339.851105570357</v>
      </c>
      <c r="AV124" s="339"/>
      <c r="AW124" s="339"/>
      <c r="AX124" s="356"/>
      <c r="AY124" s="339"/>
      <c r="AZ124" s="339"/>
      <c r="BA124" s="331"/>
      <c r="BB124" s="331"/>
      <c r="BC124" s="331"/>
      <c r="BD124" s="339"/>
      <c r="BE124" s="339"/>
      <c r="BF124" s="339"/>
      <c r="BG124" s="339"/>
      <c r="BH124" s="337"/>
      <c r="BI124" s="331"/>
      <c r="BJ124" s="331"/>
      <c r="BK124" s="331"/>
      <c r="BL124" s="15">
        <f t="shared" si="112"/>
        <v>-9.3645975797063442E-3</v>
      </c>
      <c r="BM124" s="20">
        <f t="shared" si="135"/>
        <v>201.50291342507523</v>
      </c>
      <c r="BN124" s="20">
        <f t="shared" si="113"/>
        <v>5836.2811910422215</v>
      </c>
      <c r="BO124" s="20">
        <f t="shared" si="114"/>
        <v>47.81458680973796</v>
      </c>
      <c r="BP124" s="20">
        <f t="shared" si="136"/>
        <v>54.986774831198652</v>
      </c>
      <c r="BQ124" s="15">
        <f t="shared" si="137"/>
        <v>216.65010322457854</v>
      </c>
      <c r="BR124" s="15">
        <f t="shared" si="115"/>
        <v>2.866737764264371</v>
      </c>
      <c r="BS124" s="6">
        <f t="shared" si="116"/>
        <v>517.93522565767512</v>
      </c>
      <c r="BT124" s="15">
        <f t="shared" si="117"/>
        <v>528.50533230375015</v>
      </c>
      <c r="BU124" s="13">
        <f t="shared" si="118"/>
        <v>634.46018283763522</v>
      </c>
      <c r="BV124" s="13">
        <f t="shared" si="138"/>
        <v>317.23009141881761</v>
      </c>
      <c r="BW124" s="13">
        <f t="shared" si="139"/>
        <v>317.23009141881761</v>
      </c>
      <c r="BX124" s="139">
        <f t="shared" si="119"/>
        <v>30.212389658935013</v>
      </c>
      <c r="BY124" s="15">
        <f t="shared" si="140"/>
        <v>2.6184077308910496E-3</v>
      </c>
      <c r="BZ124" s="15">
        <f t="shared" si="141"/>
        <v>2.6184077308910496E-3</v>
      </c>
      <c r="CA124" s="66">
        <f t="shared" si="147"/>
        <v>5.2368154617820992E-3</v>
      </c>
      <c r="CB124" s="66"/>
      <c r="CC124" s="362"/>
      <c r="CD124" s="362"/>
      <c r="CE124" s="362"/>
      <c r="CF124" s="115"/>
    </row>
    <row r="125" spans="3:84" ht="15.75" x14ac:dyDescent="0.3">
      <c r="C125" s="13">
        <v>95</v>
      </c>
      <c r="D125" s="74"/>
      <c r="E125" s="74"/>
      <c r="F125" s="19" t="s">
        <v>128</v>
      </c>
      <c r="G125" s="255">
        <v>1.0347222222222201</v>
      </c>
      <c r="H125" s="54">
        <v>1.0347222222221399</v>
      </c>
      <c r="I125" s="83">
        <v>-8.5344789999999993</v>
      </c>
      <c r="J125" s="84">
        <v>115.510907</v>
      </c>
      <c r="K125" s="13">
        <f t="shared" si="156"/>
        <v>-0.14895475849231313</v>
      </c>
      <c r="L125" s="13">
        <f t="shared" si="156"/>
        <v>2.0160456491149659</v>
      </c>
      <c r="M125" s="13">
        <v>3443</v>
      </c>
      <c r="N125" s="89">
        <f t="shared" si="142"/>
        <v>0.27574833307167468</v>
      </c>
      <c r="O125" s="331"/>
      <c r="P125" s="89">
        <f t="shared" si="122"/>
        <v>4.9999999999917222E-2</v>
      </c>
      <c r="Q125" s="358"/>
      <c r="R125" s="20">
        <f t="shared" si="124"/>
        <v>5.5149666614426236</v>
      </c>
      <c r="S125" s="348"/>
      <c r="T125" s="15">
        <f t="shared" si="19"/>
        <v>2.8368988506460853</v>
      </c>
      <c r="U125" s="130">
        <f t="shared" si="126"/>
        <v>6.8291433830637484E-5</v>
      </c>
      <c r="V125" s="13">
        <f t="shared" si="127"/>
        <v>4.35459648371328E-5</v>
      </c>
      <c r="W125" s="13">
        <f t="shared" si="161"/>
        <v>0.56764356502027524</v>
      </c>
      <c r="X125" s="13">
        <f t="shared" si="143"/>
        <v>32.523580543421701</v>
      </c>
      <c r="Y125" s="130">
        <f t="shared" si="144"/>
        <v>6.7526788759653122E-5</v>
      </c>
      <c r="Z125" s="141">
        <f t="shared" si="145"/>
        <v>-2.4949999999961392E-3</v>
      </c>
      <c r="AA125" s="142">
        <f t="shared" si="146"/>
        <v>327.4764194565783</v>
      </c>
      <c r="AB125" s="13">
        <v>200</v>
      </c>
      <c r="AC125" s="13">
        <v>13</v>
      </c>
      <c r="AD125" s="13">
        <f t="shared" si="128"/>
        <v>4</v>
      </c>
      <c r="AE125" s="161">
        <f t="shared" si="129"/>
        <v>127.4764194565783</v>
      </c>
      <c r="AF125" s="15">
        <f t="shared" si="104"/>
        <v>0.10847524968178437</v>
      </c>
      <c r="AG125" s="366"/>
      <c r="AH125" s="331"/>
      <c r="AI125" s="339"/>
      <c r="AJ125" s="85">
        <f t="shared" si="105"/>
        <v>1.8146731417983424</v>
      </c>
      <c r="AK125" s="13">
        <f t="shared" si="106"/>
        <v>0.33</v>
      </c>
      <c r="AL125" s="15">
        <f t="shared" si="130"/>
        <v>14.330886011442766</v>
      </c>
      <c r="AM125" s="15">
        <f t="shared" si="131"/>
        <v>8.5819384012357904</v>
      </c>
      <c r="AN125" s="15">
        <f t="shared" si="107"/>
        <v>6.0326882510897333</v>
      </c>
      <c r="AO125" s="15">
        <f t="shared" si="132"/>
        <v>3.1032148363605585</v>
      </c>
      <c r="AP125" s="15">
        <f t="shared" si="133"/>
        <v>0.11865844427754826</v>
      </c>
      <c r="AQ125" s="20">
        <f t="shared" si="108"/>
        <v>4.5709030799306431E-2</v>
      </c>
      <c r="AR125" s="13">
        <f t="shared" si="109"/>
        <v>182117961.60863486</v>
      </c>
      <c r="AS125" s="13">
        <f t="shared" si="134"/>
        <v>1.9136550210266132E-3</v>
      </c>
      <c r="AT125" s="15">
        <f t="shared" si="110"/>
        <v>304.43620152653637</v>
      </c>
      <c r="AU125" s="13">
        <f t="shared" si="111"/>
        <v>11756.731233815131</v>
      </c>
      <c r="AV125" s="339"/>
      <c r="AW125" s="339"/>
      <c r="AX125" s="356"/>
      <c r="AY125" s="339"/>
      <c r="AZ125" s="339"/>
      <c r="BA125" s="331"/>
      <c r="BB125" s="331"/>
      <c r="BC125" s="331"/>
      <c r="BD125" s="339"/>
      <c r="BE125" s="339"/>
      <c r="BF125" s="339"/>
      <c r="BG125" s="339"/>
      <c r="BH125" s="337"/>
      <c r="BI125" s="331"/>
      <c r="BJ125" s="331"/>
      <c r="BK125" s="331"/>
      <c r="BL125" s="15">
        <f t="shared" si="112"/>
        <v>-6.3152302808144249E-4</v>
      </c>
      <c r="BM125" s="20">
        <f t="shared" si="135"/>
        <v>7.2676953367120456</v>
      </c>
      <c r="BN125" s="20">
        <f t="shared" si="113"/>
        <v>3620.4169400376727</v>
      </c>
      <c r="BO125" s="20">
        <f t="shared" si="114"/>
        <v>30.408634948804607</v>
      </c>
      <c r="BP125" s="20">
        <f t="shared" si="136"/>
        <v>34.9699301911253</v>
      </c>
      <c r="BQ125" s="15">
        <f t="shared" si="137"/>
        <v>108.51920619559306</v>
      </c>
      <c r="BR125" s="15">
        <f t="shared" si="115"/>
        <v>2.2578711672158995</v>
      </c>
      <c r="BS125" s="6">
        <f t="shared" si="116"/>
        <v>259.43176907164201</v>
      </c>
      <c r="BT125" s="15">
        <f t="shared" si="117"/>
        <v>264.72629497106328</v>
      </c>
      <c r="BU125" s="13">
        <f t="shared" si="118"/>
        <v>317.7986734346498</v>
      </c>
      <c r="BV125" s="13">
        <f t="shared" si="138"/>
        <v>158.8993367173249</v>
      </c>
      <c r="BW125" s="13">
        <f t="shared" si="139"/>
        <v>158.8993367173249</v>
      </c>
      <c r="BX125" s="139">
        <f t="shared" si="119"/>
        <v>15.133270163554752</v>
      </c>
      <c r="BY125" s="15">
        <f t="shared" si="140"/>
        <v>1.3015537339394808E-3</v>
      </c>
      <c r="BZ125" s="15">
        <f t="shared" si="141"/>
        <v>1.3015537339394808E-3</v>
      </c>
      <c r="CA125" s="66">
        <f t="shared" si="147"/>
        <v>2.6031074678789616E-3</v>
      </c>
      <c r="CB125" s="66"/>
      <c r="CC125" s="360">
        <f t="shared" ref="CC125" si="170">SUM(CA125:CA129)*1000</f>
        <v>2.8107539105070338</v>
      </c>
      <c r="CD125" s="360">
        <v>0</v>
      </c>
      <c r="CE125" s="360" t="e">
        <f t="shared" ref="CE125" si="171">AVERAGE(AN125:AN129)</f>
        <v>#DIV/0!</v>
      </c>
      <c r="CF125" s="115"/>
    </row>
    <row r="126" spans="3:84" ht="15.75" x14ac:dyDescent="0.3">
      <c r="C126" s="13">
        <v>96</v>
      </c>
      <c r="D126" s="74"/>
      <c r="E126" s="74"/>
      <c r="F126" s="19" t="s">
        <v>128</v>
      </c>
      <c r="G126" s="256"/>
      <c r="H126" s="54">
        <v>1.03680555555547</v>
      </c>
      <c r="I126" s="83">
        <v>-8.5335129999999992</v>
      </c>
      <c r="J126" s="84">
        <v>115.50926800000001</v>
      </c>
      <c r="K126" s="13">
        <f t="shared" si="156"/>
        <v>-0.14893789861173887</v>
      </c>
      <c r="L126" s="13">
        <f t="shared" si="156"/>
        <v>2.0160170431685254</v>
      </c>
      <c r="M126" s="13">
        <v>3443</v>
      </c>
      <c r="N126" s="89">
        <f t="shared" si="142"/>
        <v>0.11338586798513042</v>
      </c>
      <c r="O126" s="331">
        <f>SUM(N126:N130)</f>
        <v>0.13896372317620645</v>
      </c>
      <c r="P126" s="89">
        <f t="shared" si="122"/>
        <v>4.9999999999922551E-2</v>
      </c>
      <c r="Q126" s="357">
        <f t="shared" ref="Q126" si="172">SUM(P126:P130)</f>
        <v>0.2499999999996021</v>
      </c>
      <c r="R126" s="20">
        <f t="shared" si="124"/>
        <v>2.2677173597061211</v>
      </c>
      <c r="S126" s="346">
        <f t="shared" ref="S126" si="173">AVERAGE(R126:R130)</f>
        <v>0.55585489270568678</v>
      </c>
      <c r="T126" s="15">
        <f t="shared" si="19"/>
        <v>1.1665138098328287</v>
      </c>
      <c r="U126" s="130">
        <f t="shared" si="126"/>
        <v>1.7050686239749912E-5</v>
      </c>
      <c r="V126" s="13">
        <f t="shared" si="127"/>
        <v>2.860594644049641E-5</v>
      </c>
      <c r="W126" s="13">
        <f t="shared" si="161"/>
        <v>1.0332834148848291</v>
      </c>
      <c r="X126" s="13">
        <f t="shared" si="143"/>
        <v>59.202778713765937</v>
      </c>
      <c r="Y126" s="130">
        <f t="shared" si="144"/>
        <v>1.6859880574260355E-5</v>
      </c>
      <c r="Z126" s="141">
        <f t="shared" si="145"/>
        <v>-1.6389999999972815E-3</v>
      </c>
      <c r="AA126" s="142">
        <f t="shared" si="146"/>
        <v>300.79722128623405</v>
      </c>
      <c r="AB126" s="13">
        <v>200</v>
      </c>
      <c r="AC126" s="13">
        <v>13</v>
      </c>
      <c r="AD126" s="13">
        <f t="shared" si="128"/>
        <v>4</v>
      </c>
      <c r="AE126" s="161">
        <f t="shared" si="129"/>
        <v>100.79722128623405</v>
      </c>
      <c r="AF126" s="15">
        <f t="shared" si="104"/>
        <v>4.460429625471047E-2</v>
      </c>
      <c r="AG126" s="366"/>
      <c r="AH126" s="331"/>
      <c r="AI126" s="339"/>
      <c r="AJ126" s="85">
        <f t="shared" si="105"/>
        <v>2.0691906898927575</v>
      </c>
      <c r="AK126" s="13">
        <f t="shared" si="106"/>
        <v>0.33</v>
      </c>
      <c r="AL126" s="15">
        <f t="shared" si="130"/>
        <v>14.330886011442766</v>
      </c>
      <c r="AM126" s="15">
        <f t="shared" si="131"/>
        <v>9.78560085122127</v>
      </c>
      <c r="AN126" s="15">
        <f t="shared" si="107"/>
        <v>2.5136977922629327</v>
      </c>
      <c r="AO126" s="15">
        <f t="shared" si="132"/>
        <v>1.2930461443400525</v>
      </c>
      <c r="AP126" s="15">
        <f t="shared" si="133"/>
        <v>4.9442546506517734E-2</v>
      </c>
      <c r="AQ126" s="20">
        <f t="shared" si="108"/>
        <v>4.5107199574319502E-2</v>
      </c>
      <c r="AR126" s="13">
        <f t="shared" si="109"/>
        <v>75884829.278946549</v>
      </c>
      <c r="AS126" s="13">
        <f t="shared" si="134"/>
        <v>2.1691207095108954E-3</v>
      </c>
      <c r="AT126" s="15">
        <f t="shared" si="110"/>
        <v>59.912953243510266</v>
      </c>
      <c r="AU126" s="13">
        <f t="shared" si="111"/>
        <v>2313.7211841959111</v>
      </c>
      <c r="AV126" s="339"/>
      <c r="AW126" s="339"/>
      <c r="AX126" s="356"/>
      <c r="AY126" s="339"/>
      <c r="AZ126" s="339"/>
      <c r="BA126" s="331"/>
      <c r="BB126" s="331"/>
      <c r="BC126" s="331"/>
      <c r="BD126" s="339"/>
      <c r="BE126" s="339"/>
      <c r="BF126" s="339"/>
      <c r="BG126" s="339"/>
      <c r="BH126" s="337"/>
      <c r="BI126" s="331"/>
      <c r="BJ126" s="331"/>
      <c r="BK126" s="331"/>
      <c r="BL126" s="15">
        <f t="shared" si="112"/>
        <v>-1.3158056651659482E-18</v>
      </c>
      <c r="BM126" s="20">
        <f t="shared" si="135"/>
        <v>7.7676253827935234E-9</v>
      </c>
      <c r="BN126" s="20">
        <f t="shared" si="113"/>
        <v>628.58346069493439</v>
      </c>
      <c r="BO126" s="20">
        <f t="shared" si="114"/>
        <v>5.8990664581246008</v>
      </c>
      <c r="BP126" s="20">
        <f t="shared" si="136"/>
        <v>6.7839264268432906</v>
      </c>
      <c r="BQ126" s="15">
        <f t="shared" si="137"/>
        <v>8.7719299097163059</v>
      </c>
      <c r="BR126" s="15">
        <f t="shared" si="115"/>
        <v>0.94080872937856641</v>
      </c>
      <c r="BS126" s="6">
        <f t="shared" si="116"/>
        <v>20.970640814939603</v>
      </c>
      <c r="BT126" s="15">
        <f t="shared" si="117"/>
        <v>21.398613076468983</v>
      </c>
      <c r="BU126" s="13">
        <f t="shared" si="118"/>
        <v>25.688611136217268</v>
      </c>
      <c r="BV126" s="13">
        <f t="shared" si="138"/>
        <v>12.844305568108634</v>
      </c>
      <c r="BW126" s="13">
        <f t="shared" si="139"/>
        <v>12.844305568108634</v>
      </c>
      <c r="BX126" s="139">
        <f t="shared" si="119"/>
        <v>1.2232671969627271</v>
      </c>
      <c r="BY126" s="15">
        <f t="shared" si="140"/>
        <v>1.0382322131403611E-4</v>
      </c>
      <c r="BZ126" s="15">
        <f t="shared" si="141"/>
        <v>1.0382322131403611E-4</v>
      </c>
      <c r="CA126" s="66">
        <f t="shared" si="147"/>
        <v>2.0764644262807221E-4</v>
      </c>
      <c r="CB126" s="66"/>
      <c r="CC126" s="361"/>
      <c r="CD126" s="361"/>
      <c r="CE126" s="361"/>
      <c r="CF126" s="115"/>
    </row>
    <row r="127" spans="3:84" ht="15.75" x14ac:dyDescent="0.3">
      <c r="C127" s="13">
        <v>97</v>
      </c>
      <c r="D127" s="74"/>
      <c r="E127" s="74"/>
      <c r="F127" s="19" t="s">
        <v>128</v>
      </c>
      <c r="G127" s="256"/>
      <c r="H127" s="54">
        <v>1.0388888888887999</v>
      </c>
      <c r="I127" s="83">
        <v>-8.5335129999999992</v>
      </c>
      <c r="J127" s="84">
        <v>115.50926800000001</v>
      </c>
      <c r="K127" s="13">
        <f t="shared" ref="K127:L134" si="174">RADIANS(I127)</f>
        <v>-0.14893789861173887</v>
      </c>
      <c r="L127" s="13">
        <f t="shared" si="174"/>
        <v>2.0160170431685254</v>
      </c>
      <c r="M127" s="13">
        <v>3443</v>
      </c>
      <c r="N127" s="89">
        <f t="shared" si="142"/>
        <v>0</v>
      </c>
      <c r="O127" s="331"/>
      <c r="P127" s="89">
        <f t="shared" si="122"/>
        <v>4.9999999999917222E-2</v>
      </c>
      <c r="Q127" s="331"/>
      <c r="R127" s="20">
        <f t="shared" si="124"/>
        <v>0</v>
      </c>
      <c r="S127" s="347"/>
      <c r="T127" s="15">
        <f t="shared" si="19"/>
        <v>0</v>
      </c>
      <c r="U127" s="130">
        <f t="shared" si="126"/>
        <v>0</v>
      </c>
      <c r="V127" s="13">
        <f t="shared" si="127"/>
        <v>0</v>
      </c>
      <c r="W127" s="13" t="e">
        <f t="shared" si="161"/>
        <v>#DIV/0!</v>
      </c>
      <c r="X127" s="13" t="e">
        <f t="shared" si="143"/>
        <v>#DIV/0!</v>
      </c>
      <c r="Y127" s="130">
        <f t="shared" si="144"/>
        <v>0</v>
      </c>
      <c r="Z127" s="141">
        <f t="shared" si="145"/>
        <v>0</v>
      </c>
      <c r="AA127" s="43" t="e">
        <f t="shared" si="146"/>
        <v>#DIV/0!</v>
      </c>
      <c r="AB127" s="13">
        <v>200</v>
      </c>
      <c r="AC127" s="13">
        <v>13</v>
      </c>
      <c r="AD127" s="13">
        <f t="shared" si="128"/>
        <v>4</v>
      </c>
      <c r="AE127" s="161" t="e">
        <f t="shared" si="129"/>
        <v>#DIV/0!</v>
      </c>
      <c r="AF127" s="15">
        <f t="shared" ref="AF127:AF134" si="175">T127/((9.81*$D$3)^0.5)</f>
        <v>0</v>
      </c>
      <c r="AG127" s="366"/>
      <c r="AH127" s="331"/>
      <c r="AI127" s="339"/>
      <c r="AJ127" s="85">
        <f t="shared" ref="AJ127:AJ134" si="176">IF(AND(F127="NORMAL",AND($D$6&gt;=0.55,$D$6&lt;0.6)),1.7-1.4*AF127-7.4*AF127^2,IF(AND(F127="NORMAL",AND($D$6&gt;=0.6,$D$6&lt;0.65)),2.2-2.5*AF127-9.7*AF127^2,IF(AND(F127="NORMAL",AND($D$6&gt;=0.65,$D$6&lt;0.7)),2.6-3.7*AF127-11.6*AF127^2,IF(AND(F127="NORMAL",AND($D$6&gt;=0.7,$D$6&lt;0.75)),3.1-5.3*AF127-12.4*AF127^2,IF(AND(F127="NORMAL OR LOADED",AND($D$6&gt;=0.75,$D$6&lt;0.8)),2.4-10.6*AF127-9.5*AF127^2,IF(AND(F127="NORMAL OR LOADED",AND($D$6&gt;=0.8,$D$6&lt;0.85)),2.6-13.1*AF127-15.1*AF127^2,IF(AND(F127="NORMAL OR LOADED",AND($D$6&gt;=0.85,$D$6&lt;0.9)),3.1-18.7*AF127+28*AF127^2,IF(AND(F127="BALLAST",AND($D$6&gt;=0.75,$D$6&lt;0.8)),2.6-12.5*AF127-13.5*AF127^2,IF(AND(F127="BALLAST",AND($D$6&gt;=0.8,$D$6&lt;0.85)),IF(AND(F127="BALLAST",AND($D$6&gt;=0.85,$D$6&lt;0.9)),3.4-20.9*AF127+31.8*AF127^2))))))))))</f>
        <v>2.2000000000000002</v>
      </c>
      <c r="AK127" s="13" t="e">
        <f t="shared" si="106"/>
        <v>#DIV/0!</v>
      </c>
      <c r="AL127" s="15">
        <f t="shared" si="130"/>
        <v>14.330886011442766</v>
      </c>
      <c r="AM127" s="15" t="e">
        <f t="shared" si="131"/>
        <v>#DIV/0!</v>
      </c>
      <c r="AN127" s="15" t="e">
        <f t="shared" ref="AN127:AN134" si="177">R127/(1-(0.01*AM127))</f>
        <v>#DIV/0!</v>
      </c>
      <c r="AO127" s="15" t="e">
        <f t="shared" si="132"/>
        <v>#DIV/0!</v>
      </c>
      <c r="AP127" s="15" t="e">
        <f t="shared" si="133"/>
        <v>#DIV/0!</v>
      </c>
      <c r="AQ127" s="20" t="e">
        <f t="shared" ref="AQ127:AQ134" si="178">N127/AN127</f>
        <v>#DIV/0!</v>
      </c>
      <c r="AR127" s="13" t="e">
        <f t="shared" ref="AR127:AR134" si="179">(AO127*$D$3)/$U$3</f>
        <v>#DIV/0!</v>
      </c>
      <c r="AS127" s="13" t="e">
        <f t="shared" si="134"/>
        <v>#DIV/0!</v>
      </c>
      <c r="AT127" s="15" t="e">
        <f t="shared" ref="AT127:AT134" si="180">0.5*1024*(AO127^2)*$W$5*$W$6*AS127</f>
        <v>#DIV/0!</v>
      </c>
      <c r="AU127" s="13" t="e">
        <f t="shared" si="111"/>
        <v>#DIV/0!</v>
      </c>
      <c r="AV127" s="339"/>
      <c r="AW127" s="339"/>
      <c r="AX127" s="356"/>
      <c r="AY127" s="339"/>
      <c r="AZ127" s="339"/>
      <c r="BA127" s="331"/>
      <c r="BB127" s="331"/>
      <c r="BC127" s="331"/>
      <c r="BD127" s="339"/>
      <c r="BE127" s="339"/>
      <c r="BF127" s="339"/>
      <c r="BG127" s="339"/>
      <c r="BH127" s="337"/>
      <c r="BI127" s="331"/>
      <c r="BJ127" s="331"/>
      <c r="BK127" s="331"/>
      <c r="BL127" s="15" t="e">
        <f t="shared" ref="BL127:BL134" si="181">$BI$31*($G$6^2)*EXP(-0.1*(AP127^-2))</f>
        <v>#DIV/0!</v>
      </c>
      <c r="BM127" s="20" t="e">
        <f t="shared" si="135"/>
        <v>#DIV/0!</v>
      </c>
      <c r="BN127" s="20" t="e">
        <f t="shared" ref="BN127:BN134" si="182">0.5*1025*(AO127^2)*$AY$31*$W$3</f>
        <v>#DIV/0!</v>
      </c>
      <c r="BO127" s="20" t="e">
        <f t="shared" ref="BO127:BO134" si="183">((AU127*$U$8)+AT127+BM127+BN127)/1000</f>
        <v>#DIV/0!</v>
      </c>
      <c r="BP127" s="20" t="e">
        <f t="shared" si="136"/>
        <v>#DIV/0!</v>
      </c>
      <c r="BQ127" s="15" t="e">
        <f t="shared" si="137"/>
        <v>#DIV/0!</v>
      </c>
      <c r="BR127" s="15" t="e">
        <f t="shared" ref="BR127:BR134" si="184">(1-$AB$4)*AO127</f>
        <v>#DIV/0!</v>
      </c>
      <c r="BS127" s="6" t="e">
        <f t="shared" ref="BS127:BS134" si="185">BQ127/$AB$10</f>
        <v>#DIV/0!</v>
      </c>
      <c r="BT127" s="15" t="e">
        <f t="shared" ref="BT127:BT134" si="186">BS127/$AG$4</f>
        <v>#DIV/0!</v>
      </c>
      <c r="BU127" s="13" t="e">
        <f t="shared" ref="BU127:BU134" si="187">((BT127/$AG$5)/85%)</f>
        <v>#DIV/0!</v>
      </c>
      <c r="BV127" s="13" t="e">
        <f t="shared" si="138"/>
        <v>#DIV/0!</v>
      </c>
      <c r="BW127" s="13" t="e">
        <f t="shared" si="139"/>
        <v>#DIV/0!</v>
      </c>
      <c r="BX127" s="13" t="e">
        <f t="shared" ref="BX127:BX134" si="188">(BU127/$AC$19)*100</f>
        <v>#DIV/0!</v>
      </c>
      <c r="BY127" s="15" t="e">
        <f t="shared" si="140"/>
        <v>#DIV/0!</v>
      </c>
      <c r="BZ127" s="15" t="e">
        <f t="shared" si="141"/>
        <v>#DIV/0!</v>
      </c>
      <c r="CA127" s="66"/>
      <c r="CB127" s="66"/>
      <c r="CC127" s="361"/>
      <c r="CD127" s="361"/>
      <c r="CE127" s="361"/>
      <c r="CF127" s="115"/>
    </row>
    <row r="128" spans="3:84" ht="15.75" x14ac:dyDescent="0.3">
      <c r="C128" s="13">
        <v>98</v>
      </c>
      <c r="D128" s="74"/>
      <c r="E128" s="74"/>
      <c r="F128" s="19" t="s">
        <v>128</v>
      </c>
      <c r="G128" s="256"/>
      <c r="H128" s="54">
        <v>1.04097222222213</v>
      </c>
      <c r="I128" s="83">
        <v>-8.5335129999999992</v>
      </c>
      <c r="J128" s="84">
        <v>115.50926800000001</v>
      </c>
      <c r="K128" s="13">
        <f t="shared" si="174"/>
        <v>-0.14893789861173887</v>
      </c>
      <c r="L128" s="13">
        <f t="shared" si="174"/>
        <v>2.0160170431685254</v>
      </c>
      <c r="M128" s="13">
        <v>3443</v>
      </c>
      <c r="N128" s="89">
        <f t="shared" si="142"/>
        <v>0</v>
      </c>
      <c r="O128" s="331"/>
      <c r="P128" s="89">
        <f t="shared" ref="P128:P134" si="189">(H128-H127)*24</f>
        <v>4.9999999999922551E-2</v>
      </c>
      <c r="Q128" s="331"/>
      <c r="R128" s="20">
        <f t="shared" ref="R128:R134" si="190">N128/P128</f>
        <v>0</v>
      </c>
      <c r="S128" s="347"/>
      <c r="T128" s="15">
        <f t="shared" si="19"/>
        <v>0</v>
      </c>
      <c r="U128" s="130">
        <f t="shared" ref="U128:U134" si="191">LN(TAN((K128/2)+(3.14/4))/(TAN((K127/2)+(3.14/4))))</f>
        <v>0</v>
      </c>
      <c r="V128" s="13">
        <f t="shared" ref="V128:V134" si="192">ABS(L127-L128)</f>
        <v>0</v>
      </c>
      <c r="W128" s="13" t="e">
        <f t="shared" si="161"/>
        <v>#DIV/0!</v>
      </c>
      <c r="X128" s="13" t="e">
        <f t="shared" si="143"/>
        <v>#DIV/0!</v>
      </c>
      <c r="Y128" s="130">
        <f t="shared" si="144"/>
        <v>0</v>
      </c>
      <c r="Z128" s="141">
        <f t="shared" si="145"/>
        <v>0</v>
      </c>
      <c r="AA128" s="43" t="e">
        <f t="shared" si="146"/>
        <v>#DIV/0!</v>
      </c>
      <c r="AB128" s="13">
        <v>200</v>
      </c>
      <c r="AC128" s="13">
        <v>13</v>
      </c>
      <c r="AD128" s="13">
        <f t="shared" si="128"/>
        <v>4</v>
      </c>
      <c r="AE128" s="161" t="e">
        <f t="shared" si="129"/>
        <v>#DIV/0!</v>
      </c>
      <c r="AF128" s="15">
        <f t="shared" si="175"/>
        <v>0</v>
      </c>
      <c r="AG128" s="366"/>
      <c r="AH128" s="331"/>
      <c r="AI128" s="339"/>
      <c r="AJ128" s="85">
        <f t="shared" si="176"/>
        <v>2.2000000000000002</v>
      </c>
      <c r="AK128" s="13" t="e">
        <f t="shared" si="106"/>
        <v>#DIV/0!</v>
      </c>
      <c r="AL128" s="15">
        <f t="shared" si="130"/>
        <v>14.330886011442766</v>
      </c>
      <c r="AM128" s="15" t="e">
        <f t="shared" si="131"/>
        <v>#DIV/0!</v>
      </c>
      <c r="AN128" s="15" t="e">
        <f t="shared" si="177"/>
        <v>#DIV/0!</v>
      </c>
      <c r="AO128" s="15" t="e">
        <f t="shared" si="132"/>
        <v>#DIV/0!</v>
      </c>
      <c r="AP128" s="15" t="e">
        <f t="shared" si="133"/>
        <v>#DIV/0!</v>
      </c>
      <c r="AQ128" s="20" t="e">
        <f t="shared" si="178"/>
        <v>#DIV/0!</v>
      </c>
      <c r="AR128" s="13" t="e">
        <f t="shared" si="179"/>
        <v>#DIV/0!</v>
      </c>
      <c r="AS128" s="13" t="e">
        <f t="shared" si="134"/>
        <v>#DIV/0!</v>
      </c>
      <c r="AT128" s="15" t="e">
        <f t="shared" si="180"/>
        <v>#DIV/0!</v>
      </c>
      <c r="AU128" s="211" t="e">
        <f t="shared" si="111"/>
        <v>#DIV/0!</v>
      </c>
      <c r="AV128" s="339"/>
      <c r="AW128" s="339"/>
      <c r="AX128" s="356"/>
      <c r="AY128" s="339"/>
      <c r="AZ128" s="339"/>
      <c r="BA128" s="331"/>
      <c r="BB128" s="331"/>
      <c r="BC128" s="331"/>
      <c r="BD128" s="339"/>
      <c r="BE128" s="339"/>
      <c r="BF128" s="339"/>
      <c r="BG128" s="339"/>
      <c r="BH128" s="337"/>
      <c r="BI128" s="331"/>
      <c r="BJ128" s="331"/>
      <c r="BK128" s="331"/>
      <c r="BL128" s="15" t="e">
        <f t="shared" si="181"/>
        <v>#DIV/0!</v>
      </c>
      <c r="BM128" s="20" t="e">
        <f t="shared" ref="BM128:BM134" si="193">$BC$31*$BD$31*$BG$31*($D$3*$D$4*$AI$31*$AH$31)*1025*9.81*(EXP(($BK$31*(AP128^-0.9))+(BL128*COS($Y$10*(AP128^-2)))))</f>
        <v>#DIV/0!</v>
      </c>
      <c r="BN128" s="20" t="e">
        <f t="shared" si="182"/>
        <v>#DIV/0!</v>
      </c>
      <c r="BO128" s="20" t="e">
        <f t="shared" si="183"/>
        <v>#DIV/0!</v>
      </c>
      <c r="BP128" s="20" t="e">
        <f t="shared" si="136"/>
        <v>#DIV/0!</v>
      </c>
      <c r="BQ128" s="15" t="e">
        <f t="shared" si="137"/>
        <v>#DIV/0!</v>
      </c>
      <c r="BR128" s="15" t="e">
        <f t="shared" si="184"/>
        <v>#DIV/0!</v>
      </c>
      <c r="BS128" s="6" t="e">
        <f t="shared" si="185"/>
        <v>#DIV/0!</v>
      </c>
      <c r="BT128" s="15" t="e">
        <f t="shared" si="186"/>
        <v>#DIV/0!</v>
      </c>
      <c r="BU128" s="13" t="e">
        <f t="shared" si="187"/>
        <v>#DIV/0!</v>
      </c>
      <c r="BV128" s="13" t="e">
        <f t="shared" si="138"/>
        <v>#DIV/0!</v>
      </c>
      <c r="BW128" s="13" t="e">
        <f t="shared" si="139"/>
        <v>#DIV/0!</v>
      </c>
      <c r="BX128" s="15" t="e">
        <f t="shared" si="188"/>
        <v>#DIV/0!</v>
      </c>
      <c r="BY128" s="15" t="e">
        <f t="shared" ref="BY128:BY134" si="194">((($AC$20*BV128*AQ128)/1000000))</f>
        <v>#DIV/0!</v>
      </c>
      <c r="BZ128" s="15" t="e">
        <f t="shared" ref="BZ128:BZ134" si="195">((($AC$20*BV128*AQ128)/1000000))</f>
        <v>#DIV/0!</v>
      </c>
      <c r="CA128" s="66"/>
      <c r="CB128" s="66"/>
      <c r="CC128" s="361"/>
      <c r="CD128" s="361"/>
      <c r="CE128" s="361"/>
      <c r="CF128" s="115"/>
    </row>
    <row r="129" spans="3:85" ht="15.75" x14ac:dyDescent="0.3">
      <c r="C129" s="13">
        <v>99</v>
      </c>
      <c r="D129" s="74"/>
      <c r="E129" s="74"/>
      <c r="F129" s="19" t="s">
        <v>128</v>
      </c>
      <c r="G129" s="257"/>
      <c r="H129" s="54">
        <v>1.0430555555554599</v>
      </c>
      <c r="I129" s="83">
        <v>-8.5335129999999992</v>
      </c>
      <c r="J129" s="84">
        <v>115.50926800000001</v>
      </c>
      <c r="K129" s="13">
        <f t="shared" si="174"/>
        <v>-0.14893789861173887</v>
      </c>
      <c r="L129" s="13">
        <f t="shared" si="174"/>
        <v>2.0160170431685254</v>
      </c>
      <c r="M129" s="13">
        <v>3443</v>
      </c>
      <c r="N129" s="89">
        <f t="shared" ref="N129:N134" si="196">2*M129*ASIN(((SIN((K129-K128)/2))^2+COS(K128)*COS(K129)*(SIN((L129-L128)/2))^2)^0.5)</f>
        <v>0</v>
      </c>
      <c r="O129" s="331"/>
      <c r="P129" s="89">
        <f t="shared" si="189"/>
        <v>4.9999999999917222E-2</v>
      </c>
      <c r="Q129" s="331"/>
      <c r="R129" s="20">
        <f t="shared" si="190"/>
        <v>0</v>
      </c>
      <c r="S129" s="347"/>
      <c r="T129" s="15">
        <f t="shared" si="19"/>
        <v>0</v>
      </c>
      <c r="U129" s="130">
        <f t="shared" si="191"/>
        <v>0</v>
      </c>
      <c r="V129" s="13">
        <f t="shared" si="192"/>
        <v>0</v>
      </c>
      <c r="W129" s="13" t="e">
        <f t="shared" si="161"/>
        <v>#DIV/0!</v>
      </c>
      <c r="X129" s="13" t="e">
        <f t="shared" si="143"/>
        <v>#DIV/0!</v>
      </c>
      <c r="Y129" s="130">
        <f t="shared" si="144"/>
        <v>0</v>
      </c>
      <c r="Z129" s="141">
        <f t="shared" si="145"/>
        <v>0</v>
      </c>
      <c r="AA129" s="43" t="e">
        <f t="shared" si="146"/>
        <v>#DIV/0!</v>
      </c>
      <c r="AB129" s="13">
        <v>200</v>
      </c>
      <c r="AC129" s="13">
        <v>13</v>
      </c>
      <c r="AD129" s="13">
        <f t="shared" si="128"/>
        <v>4</v>
      </c>
      <c r="AE129" s="161" t="e">
        <f t="shared" si="129"/>
        <v>#DIV/0!</v>
      </c>
      <c r="AF129" s="15">
        <f t="shared" si="175"/>
        <v>0</v>
      </c>
      <c r="AG129" s="366"/>
      <c r="AH129" s="331"/>
      <c r="AI129" s="339"/>
      <c r="AJ129" s="85">
        <f t="shared" si="176"/>
        <v>2.2000000000000002</v>
      </c>
      <c r="AK129" s="13" t="e">
        <f t="shared" si="106"/>
        <v>#DIV/0!</v>
      </c>
      <c r="AL129" s="15">
        <f t="shared" si="130"/>
        <v>14.330886011442766</v>
      </c>
      <c r="AM129" s="15" t="e">
        <f t="shared" si="131"/>
        <v>#DIV/0!</v>
      </c>
      <c r="AN129" s="15" t="e">
        <f t="shared" si="177"/>
        <v>#DIV/0!</v>
      </c>
      <c r="AO129" s="15" t="e">
        <f t="shared" si="132"/>
        <v>#DIV/0!</v>
      </c>
      <c r="AP129" s="15" t="e">
        <f t="shared" si="133"/>
        <v>#DIV/0!</v>
      </c>
      <c r="AQ129" s="20" t="e">
        <f t="shared" si="178"/>
        <v>#DIV/0!</v>
      </c>
      <c r="AR129" s="13" t="e">
        <f t="shared" si="179"/>
        <v>#DIV/0!</v>
      </c>
      <c r="AS129" s="13" t="e">
        <f t="shared" si="134"/>
        <v>#DIV/0!</v>
      </c>
      <c r="AT129" s="15" t="e">
        <f t="shared" si="180"/>
        <v>#DIV/0!</v>
      </c>
      <c r="AU129" s="211" t="e">
        <f t="shared" si="111"/>
        <v>#DIV/0!</v>
      </c>
      <c r="AV129" s="339"/>
      <c r="AW129" s="339"/>
      <c r="AX129" s="356"/>
      <c r="AY129" s="339"/>
      <c r="AZ129" s="339"/>
      <c r="BA129" s="331"/>
      <c r="BB129" s="331"/>
      <c r="BC129" s="331"/>
      <c r="BD129" s="339"/>
      <c r="BE129" s="339"/>
      <c r="BF129" s="339"/>
      <c r="BG129" s="339"/>
      <c r="BH129" s="337"/>
      <c r="BI129" s="331"/>
      <c r="BJ129" s="331"/>
      <c r="BK129" s="331"/>
      <c r="BL129" s="15" t="e">
        <f t="shared" si="181"/>
        <v>#DIV/0!</v>
      </c>
      <c r="BM129" s="20" t="e">
        <f t="shared" si="193"/>
        <v>#DIV/0!</v>
      </c>
      <c r="BN129" s="20" t="e">
        <f t="shared" si="182"/>
        <v>#DIV/0!</v>
      </c>
      <c r="BO129" s="20" t="e">
        <f t="shared" si="183"/>
        <v>#DIV/0!</v>
      </c>
      <c r="BP129" s="20" t="e">
        <f t="shared" si="136"/>
        <v>#DIV/0!</v>
      </c>
      <c r="BQ129" s="15" t="e">
        <f t="shared" si="137"/>
        <v>#DIV/0!</v>
      </c>
      <c r="BR129" s="15" t="e">
        <f t="shared" si="184"/>
        <v>#DIV/0!</v>
      </c>
      <c r="BS129" s="6" t="e">
        <f t="shared" si="185"/>
        <v>#DIV/0!</v>
      </c>
      <c r="BT129" s="15" t="e">
        <f t="shared" si="186"/>
        <v>#DIV/0!</v>
      </c>
      <c r="BU129" s="13" t="e">
        <f t="shared" si="187"/>
        <v>#DIV/0!</v>
      </c>
      <c r="BV129" s="13" t="e">
        <f t="shared" si="138"/>
        <v>#DIV/0!</v>
      </c>
      <c r="BW129" s="13" t="e">
        <f t="shared" si="139"/>
        <v>#DIV/0!</v>
      </c>
      <c r="BX129" s="15" t="e">
        <f t="shared" si="188"/>
        <v>#DIV/0!</v>
      </c>
      <c r="BY129" s="15" t="e">
        <f t="shared" si="194"/>
        <v>#DIV/0!</v>
      </c>
      <c r="BZ129" s="15" t="e">
        <f t="shared" si="195"/>
        <v>#DIV/0!</v>
      </c>
      <c r="CA129" s="66"/>
      <c r="CB129" s="66"/>
      <c r="CC129" s="362"/>
      <c r="CD129" s="362"/>
      <c r="CE129" s="362"/>
      <c r="CF129" s="115"/>
    </row>
    <row r="130" spans="3:85" ht="15.75" x14ac:dyDescent="0.3">
      <c r="C130" s="13">
        <v>100</v>
      </c>
      <c r="D130" s="74"/>
      <c r="E130" s="74"/>
      <c r="F130" s="19" t="s">
        <v>128</v>
      </c>
      <c r="G130" s="255">
        <v>1.0451388888888899</v>
      </c>
      <c r="H130" s="54">
        <v>1.04513888888879</v>
      </c>
      <c r="I130" s="83">
        <v>-8.5334679999999992</v>
      </c>
      <c r="J130" s="84">
        <v>115.50884000000001</v>
      </c>
      <c r="K130" s="13">
        <f t="shared" si="174"/>
        <v>-0.14893711321357547</v>
      </c>
      <c r="L130" s="13">
        <f t="shared" si="174"/>
        <v>2.0160095731593271</v>
      </c>
      <c r="M130" s="13">
        <v>3443</v>
      </c>
      <c r="N130" s="89">
        <f t="shared" si="196"/>
        <v>2.5577855191076023E-2</v>
      </c>
      <c r="O130" s="331"/>
      <c r="P130" s="89">
        <f t="shared" si="189"/>
        <v>4.9999999999922551E-2</v>
      </c>
      <c r="Q130" s="358"/>
      <c r="R130" s="20">
        <f t="shared" si="190"/>
        <v>0.5115571038223129</v>
      </c>
      <c r="S130" s="348"/>
      <c r="T130" s="15">
        <f t="shared" si="19"/>
        <v>0.26314497420619776</v>
      </c>
      <c r="U130" s="130">
        <f t="shared" si="191"/>
        <v>7.9428556873098342E-7</v>
      </c>
      <c r="V130" s="13">
        <f t="shared" si="192"/>
        <v>7.4700091983181949E-6</v>
      </c>
      <c r="W130" s="13">
        <f t="shared" si="161"/>
        <v>1.464864422372709</v>
      </c>
      <c r="X130" s="13">
        <f t="shared" si="143"/>
        <v>83.930548960825433</v>
      </c>
      <c r="Y130" s="130">
        <f t="shared" si="144"/>
        <v>7.853981633942908E-7</v>
      </c>
      <c r="Z130" s="141">
        <f t="shared" si="145"/>
        <v>-4.2799999999942884E-4</v>
      </c>
      <c r="AA130" s="142">
        <f t="shared" si="146"/>
        <v>276.06945103917457</v>
      </c>
      <c r="AB130" s="13">
        <v>200</v>
      </c>
      <c r="AC130" s="13">
        <v>13</v>
      </c>
      <c r="AD130" s="13">
        <f t="shared" si="128"/>
        <v>4</v>
      </c>
      <c r="AE130" s="161">
        <f t="shared" si="129"/>
        <v>76.069451039174567</v>
      </c>
      <c r="AF130" s="15">
        <f t="shared" si="175"/>
        <v>1.0061943792258625E-2</v>
      </c>
      <c r="AG130" s="366"/>
      <c r="AH130" s="331"/>
      <c r="AI130" s="339"/>
      <c r="AJ130" s="85">
        <f t="shared" si="176"/>
        <v>2.1738630862044315</v>
      </c>
      <c r="AK130" s="13">
        <f t="shared" si="106"/>
        <v>0.33</v>
      </c>
      <c r="AL130" s="15">
        <f t="shared" si="130"/>
        <v>14.330886011442766</v>
      </c>
      <c r="AM130" s="15">
        <f t="shared" si="131"/>
        <v>10.280616750650033</v>
      </c>
      <c r="AN130" s="15">
        <f t="shared" si="177"/>
        <v>0.57017456573523562</v>
      </c>
      <c r="AO130" s="15">
        <f t="shared" si="132"/>
        <v>0.29329779661420519</v>
      </c>
      <c r="AP130" s="15">
        <f t="shared" si="133"/>
        <v>1.1214905216517442E-2</v>
      </c>
      <c r="AQ130" s="20">
        <f t="shared" si="178"/>
        <v>4.4859691624605492E-2</v>
      </c>
      <c r="AR130" s="13">
        <f t="shared" si="179"/>
        <v>17212729.276045784</v>
      </c>
      <c r="AS130" s="13">
        <f t="shared" si="134"/>
        <v>2.7358161857213362E-3</v>
      </c>
      <c r="AT130" s="15">
        <f t="shared" si="180"/>
        <v>3.8878855764909361</v>
      </c>
      <c r="AU130" s="13">
        <f t="shared" si="111"/>
        <v>150.14254402542232</v>
      </c>
      <c r="AV130" s="339"/>
      <c r="AW130" s="339"/>
      <c r="AX130" s="356"/>
      <c r="AY130" s="339"/>
      <c r="AZ130" s="339"/>
      <c r="BA130" s="331"/>
      <c r="BB130" s="331"/>
      <c r="BC130" s="331"/>
      <c r="BD130" s="339"/>
      <c r="BE130" s="339"/>
      <c r="BF130" s="339"/>
      <c r="BG130" s="339"/>
      <c r="BH130" s="337"/>
      <c r="BI130" s="331"/>
      <c r="BJ130" s="331"/>
      <c r="BK130" s="331"/>
      <c r="BL130" s="20">
        <f t="shared" si="181"/>
        <v>0</v>
      </c>
      <c r="BM130" s="20">
        <f t="shared" si="193"/>
        <v>6.3861270902119429E-55</v>
      </c>
      <c r="BN130" s="20">
        <f t="shared" si="182"/>
        <v>32.340929909928668</v>
      </c>
      <c r="BO130" s="20">
        <f t="shared" si="183"/>
        <v>0.37435436302402553</v>
      </c>
      <c r="BP130" s="20">
        <f t="shared" si="136"/>
        <v>0.43050751747762933</v>
      </c>
      <c r="BQ130" s="15">
        <f t="shared" si="137"/>
        <v>0.1262669063020401</v>
      </c>
      <c r="BR130" s="15">
        <f t="shared" si="184"/>
        <v>0.21340083536073409</v>
      </c>
      <c r="BS130" s="6">
        <f t="shared" si="185"/>
        <v>0.30186036210124628</v>
      </c>
      <c r="BT130" s="15">
        <f t="shared" si="186"/>
        <v>0.30802077765433294</v>
      </c>
      <c r="BU130" s="13">
        <f t="shared" si="187"/>
        <v>0.36977284232212837</v>
      </c>
      <c r="BV130" s="13">
        <f t="shared" si="138"/>
        <v>0.18488642116106419</v>
      </c>
      <c r="BW130" s="13">
        <f t="shared" si="139"/>
        <v>0.18488642116106419</v>
      </c>
      <c r="BX130" s="13">
        <f t="shared" si="188"/>
        <v>1.7608230586768019E-2</v>
      </c>
      <c r="BY130" s="15">
        <f t="shared" si="194"/>
        <v>1.4862754527241195E-6</v>
      </c>
      <c r="BZ130" s="15">
        <f t="shared" si="195"/>
        <v>1.4862754527241195E-6</v>
      </c>
      <c r="CA130" s="66">
        <f>((($AC$20*BU130*AQ130)/1000000))</f>
        <v>2.9725509054482391E-6</v>
      </c>
      <c r="CB130" s="66"/>
      <c r="CC130" s="360" t="e">
        <f t="shared" ref="CC130" si="197">SUM(CA130:CA134)*1000</f>
        <v>#DIV/0!</v>
      </c>
      <c r="CD130" s="360">
        <v>0</v>
      </c>
      <c r="CE130" s="360" t="e">
        <f t="shared" ref="CE130" si="198">AVERAGE(AN130:AN134)</f>
        <v>#DIV/0!</v>
      </c>
      <c r="CF130" s="115"/>
    </row>
    <row r="131" spans="3:85" ht="15.75" x14ac:dyDescent="0.3">
      <c r="C131" s="13">
        <v>101</v>
      </c>
      <c r="D131" s="74"/>
      <c r="E131" s="74"/>
      <c r="F131" s="19" t="s">
        <v>128</v>
      </c>
      <c r="G131" s="256"/>
      <c r="H131" s="54">
        <v>1.0472222222221199</v>
      </c>
      <c r="I131" s="83">
        <v>-8.5334679999999992</v>
      </c>
      <c r="J131" s="84">
        <v>115.50884000000001</v>
      </c>
      <c r="K131" s="13">
        <f t="shared" si="174"/>
        <v>-0.14893711321357547</v>
      </c>
      <c r="L131" s="13">
        <f t="shared" si="174"/>
        <v>2.0160095731593271</v>
      </c>
      <c r="M131" s="13">
        <v>3443</v>
      </c>
      <c r="N131" s="89">
        <f t="shared" si="196"/>
        <v>0</v>
      </c>
      <c r="O131" s="344">
        <f>SUM(N131:N134)</f>
        <v>0</v>
      </c>
      <c r="P131" s="89">
        <f t="shared" si="189"/>
        <v>4.9999999999917222E-2</v>
      </c>
      <c r="Q131" s="343">
        <f>SUM(P131:P134)</f>
        <v>0.19999999999967955</v>
      </c>
      <c r="R131" s="20">
        <f t="shared" si="190"/>
        <v>0</v>
      </c>
      <c r="S131" s="346">
        <f>AVERAGE(R131:R134)</f>
        <v>0</v>
      </c>
      <c r="T131" s="15">
        <f t="shared" ref="T131:T134" si="199">R131*0.5144</f>
        <v>0</v>
      </c>
      <c r="U131" s="130">
        <f t="shared" si="191"/>
        <v>0</v>
      </c>
      <c r="V131" s="13">
        <f t="shared" si="192"/>
        <v>0</v>
      </c>
      <c r="W131" s="13" t="e">
        <f t="shared" si="161"/>
        <v>#DIV/0!</v>
      </c>
      <c r="X131" s="13" t="e">
        <f t="shared" si="143"/>
        <v>#DIV/0!</v>
      </c>
      <c r="Y131" s="130">
        <f t="shared" si="144"/>
        <v>0</v>
      </c>
      <c r="Z131" s="141">
        <f t="shared" si="145"/>
        <v>0</v>
      </c>
      <c r="AA131" s="43" t="e">
        <f t="shared" si="146"/>
        <v>#DIV/0!</v>
      </c>
      <c r="AB131" s="13">
        <v>200</v>
      </c>
      <c r="AC131" s="13">
        <v>13</v>
      </c>
      <c r="AD131" s="13">
        <f t="shared" si="128"/>
        <v>4</v>
      </c>
      <c r="AE131" s="161" t="e">
        <f t="shared" si="129"/>
        <v>#DIV/0!</v>
      </c>
      <c r="AF131" s="15">
        <f t="shared" si="175"/>
        <v>0</v>
      </c>
      <c r="AG131" s="366"/>
      <c r="AH131" s="331"/>
      <c r="AI131" s="339"/>
      <c r="AJ131" s="85">
        <f t="shared" si="176"/>
        <v>2.2000000000000002</v>
      </c>
      <c r="AK131" s="13" t="e">
        <f t="shared" si="106"/>
        <v>#DIV/0!</v>
      </c>
      <c r="AL131" s="15">
        <f t="shared" si="130"/>
        <v>14.330886011442766</v>
      </c>
      <c r="AM131" s="15" t="e">
        <f t="shared" si="131"/>
        <v>#DIV/0!</v>
      </c>
      <c r="AN131" s="15" t="e">
        <f t="shared" si="177"/>
        <v>#DIV/0!</v>
      </c>
      <c r="AO131" s="15" t="e">
        <f t="shared" si="132"/>
        <v>#DIV/0!</v>
      </c>
      <c r="AP131" s="15" t="e">
        <f t="shared" si="133"/>
        <v>#DIV/0!</v>
      </c>
      <c r="AQ131" s="20" t="e">
        <f t="shared" si="178"/>
        <v>#DIV/0!</v>
      </c>
      <c r="AR131" s="13" t="e">
        <f t="shared" si="179"/>
        <v>#DIV/0!</v>
      </c>
      <c r="AS131" s="13" t="e">
        <f t="shared" si="134"/>
        <v>#DIV/0!</v>
      </c>
      <c r="AT131" s="15" t="e">
        <f t="shared" si="180"/>
        <v>#DIV/0!</v>
      </c>
      <c r="AU131" s="13" t="e">
        <f t="shared" si="111"/>
        <v>#DIV/0!</v>
      </c>
      <c r="AV131" s="339"/>
      <c r="AW131" s="339"/>
      <c r="AX131" s="356"/>
      <c r="AY131" s="339"/>
      <c r="AZ131" s="339"/>
      <c r="BA131" s="331"/>
      <c r="BB131" s="331"/>
      <c r="BC131" s="331"/>
      <c r="BD131" s="339"/>
      <c r="BE131" s="339"/>
      <c r="BF131" s="339"/>
      <c r="BG131" s="339"/>
      <c r="BH131" s="337"/>
      <c r="BI131" s="331"/>
      <c r="BJ131" s="331"/>
      <c r="BK131" s="331"/>
      <c r="BL131" s="15" t="e">
        <f t="shared" si="181"/>
        <v>#DIV/0!</v>
      </c>
      <c r="BM131" s="20" t="e">
        <f t="shared" si="193"/>
        <v>#DIV/0!</v>
      </c>
      <c r="BN131" s="20" t="e">
        <f t="shared" si="182"/>
        <v>#DIV/0!</v>
      </c>
      <c r="BO131" s="20" t="e">
        <f t="shared" si="183"/>
        <v>#DIV/0!</v>
      </c>
      <c r="BP131" s="20" t="e">
        <f t="shared" si="136"/>
        <v>#DIV/0!</v>
      </c>
      <c r="BQ131" s="15" t="e">
        <f t="shared" si="137"/>
        <v>#DIV/0!</v>
      </c>
      <c r="BR131" s="15" t="e">
        <f t="shared" si="184"/>
        <v>#DIV/0!</v>
      </c>
      <c r="BS131" s="6" t="e">
        <f t="shared" si="185"/>
        <v>#DIV/0!</v>
      </c>
      <c r="BT131" s="15" t="e">
        <f t="shared" si="186"/>
        <v>#DIV/0!</v>
      </c>
      <c r="BU131" s="13" t="e">
        <f t="shared" si="187"/>
        <v>#DIV/0!</v>
      </c>
      <c r="BV131" s="13" t="e">
        <f t="shared" si="138"/>
        <v>#DIV/0!</v>
      </c>
      <c r="BW131" s="13" t="e">
        <f t="shared" si="139"/>
        <v>#DIV/0!</v>
      </c>
      <c r="BX131" s="15" t="e">
        <f t="shared" si="188"/>
        <v>#DIV/0!</v>
      </c>
      <c r="BY131" s="15" t="e">
        <f t="shared" si="194"/>
        <v>#DIV/0!</v>
      </c>
      <c r="BZ131" s="15" t="e">
        <f t="shared" si="195"/>
        <v>#DIV/0!</v>
      </c>
      <c r="CA131" s="66" t="e">
        <f>((($AC$20*BU131*AQ131)/1000000))</f>
        <v>#DIV/0!</v>
      </c>
      <c r="CB131" s="66"/>
      <c r="CC131" s="361"/>
      <c r="CD131" s="361"/>
      <c r="CE131" s="361"/>
    </row>
    <row r="132" spans="3:85" ht="15.75" x14ac:dyDescent="0.3">
      <c r="C132" s="13">
        <v>102</v>
      </c>
      <c r="D132" s="74"/>
      <c r="E132" s="74"/>
      <c r="F132" s="19" t="s">
        <v>128</v>
      </c>
      <c r="G132" s="256"/>
      <c r="H132" s="54">
        <v>1.04930555555545</v>
      </c>
      <c r="I132" s="83">
        <v>-8.5334679999999992</v>
      </c>
      <c r="J132" s="84">
        <v>115.50884000000001</v>
      </c>
      <c r="K132" s="13">
        <f t="shared" si="174"/>
        <v>-0.14893711321357547</v>
      </c>
      <c r="L132" s="13">
        <f t="shared" si="174"/>
        <v>2.0160095731593271</v>
      </c>
      <c r="M132" s="13">
        <v>3443</v>
      </c>
      <c r="N132" s="89">
        <f t="shared" si="196"/>
        <v>0</v>
      </c>
      <c r="O132" s="344"/>
      <c r="P132" s="89">
        <f t="shared" si="189"/>
        <v>4.9999999999922551E-2</v>
      </c>
      <c r="Q132" s="344"/>
      <c r="R132" s="20">
        <f t="shared" si="190"/>
        <v>0</v>
      </c>
      <c r="S132" s="347"/>
      <c r="T132" s="15">
        <f t="shared" si="199"/>
        <v>0</v>
      </c>
      <c r="U132" s="130">
        <f t="shared" si="191"/>
        <v>0</v>
      </c>
      <c r="V132" s="13">
        <f t="shared" si="192"/>
        <v>0</v>
      </c>
      <c r="W132" s="13" t="e">
        <f t="shared" si="161"/>
        <v>#DIV/0!</v>
      </c>
      <c r="X132" s="13" t="e">
        <f t="shared" si="143"/>
        <v>#DIV/0!</v>
      </c>
      <c r="Y132" s="130">
        <f t="shared" si="144"/>
        <v>0</v>
      </c>
      <c r="Z132" s="141">
        <f t="shared" si="145"/>
        <v>0</v>
      </c>
      <c r="AA132" s="43" t="e">
        <f t="shared" si="146"/>
        <v>#DIV/0!</v>
      </c>
      <c r="AB132" s="13">
        <v>200</v>
      </c>
      <c r="AC132" s="13">
        <v>13</v>
      </c>
      <c r="AD132" s="13">
        <f t="shared" si="128"/>
        <v>4</v>
      </c>
      <c r="AE132" s="161" t="e">
        <f t="shared" si="129"/>
        <v>#DIV/0!</v>
      </c>
      <c r="AF132" s="15">
        <f t="shared" si="175"/>
        <v>0</v>
      </c>
      <c r="AG132" s="366"/>
      <c r="AH132" s="331"/>
      <c r="AI132" s="339"/>
      <c r="AJ132" s="85">
        <f t="shared" si="176"/>
        <v>2.2000000000000002</v>
      </c>
      <c r="AK132" s="13" t="e">
        <f t="shared" si="106"/>
        <v>#DIV/0!</v>
      </c>
      <c r="AL132" s="15">
        <f t="shared" si="130"/>
        <v>14.330886011442766</v>
      </c>
      <c r="AM132" s="15" t="e">
        <f t="shared" si="131"/>
        <v>#DIV/0!</v>
      </c>
      <c r="AN132" s="15" t="e">
        <f t="shared" si="177"/>
        <v>#DIV/0!</v>
      </c>
      <c r="AO132" s="15" t="e">
        <f t="shared" si="132"/>
        <v>#DIV/0!</v>
      </c>
      <c r="AP132" s="15" t="e">
        <f t="shared" si="133"/>
        <v>#DIV/0!</v>
      </c>
      <c r="AQ132" s="20" t="e">
        <f t="shared" si="178"/>
        <v>#DIV/0!</v>
      </c>
      <c r="AR132" s="13" t="e">
        <f t="shared" si="179"/>
        <v>#DIV/0!</v>
      </c>
      <c r="AS132" s="13" t="e">
        <f t="shared" si="134"/>
        <v>#DIV/0!</v>
      </c>
      <c r="AT132" s="15" t="e">
        <f t="shared" si="180"/>
        <v>#DIV/0!</v>
      </c>
      <c r="AU132" s="13" t="e">
        <f t="shared" si="111"/>
        <v>#DIV/0!</v>
      </c>
      <c r="AV132" s="339"/>
      <c r="AW132" s="339"/>
      <c r="AX132" s="356"/>
      <c r="AY132" s="339"/>
      <c r="AZ132" s="339"/>
      <c r="BA132" s="331"/>
      <c r="BB132" s="331"/>
      <c r="BC132" s="331"/>
      <c r="BD132" s="339"/>
      <c r="BE132" s="339"/>
      <c r="BF132" s="339"/>
      <c r="BG132" s="339"/>
      <c r="BH132" s="337"/>
      <c r="BI132" s="331"/>
      <c r="BJ132" s="331"/>
      <c r="BK132" s="331"/>
      <c r="BL132" s="15" t="e">
        <f t="shared" si="181"/>
        <v>#DIV/0!</v>
      </c>
      <c r="BM132" s="20" t="e">
        <f t="shared" si="193"/>
        <v>#DIV/0!</v>
      </c>
      <c r="BN132" s="20" t="e">
        <f t="shared" si="182"/>
        <v>#DIV/0!</v>
      </c>
      <c r="BO132" s="20" t="e">
        <f t="shared" si="183"/>
        <v>#DIV/0!</v>
      </c>
      <c r="BP132" s="20" t="e">
        <f t="shared" si="136"/>
        <v>#DIV/0!</v>
      </c>
      <c r="BQ132" s="15" t="e">
        <f t="shared" si="137"/>
        <v>#DIV/0!</v>
      </c>
      <c r="BR132" s="15" t="e">
        <f t="shared" si="184"/>
        <v>#DIV/0!</v>
      </c>
      <c r="BS132" s="6" t="e">
        <f t="shared" si="185"/>
        <v>#DIV/0!</v>
      </c>
      <c r="BT132" s="15" t="e">
        <f t="shared" si="186"/>
        <v>#DIV/0!</v>
      </c>
      <c r="BU132" s="13" t="e">
        <f t="shared" si="187"/>
        <v>#DIV/0!</v>
      </c>
      <c r="BV132" s="13" t="e">
        <f t="shared" si="138"/>
        <v>#DIV/0!</v>
      </c>
      <c r="BW132" s="13" t="e">
        <f t="shared" si="139"/>
        <v>#DIV/0!</v>
      </c>
      <c r="BX132" s="15" t="e">
        <f t="shared" si="188"/>
        <v>#DIV/0!</v>
      </c>
      <c r="BY132" s="15" t="e">
        <f t="shared" si="194"/>
        <v>#DIV/0!</v>
      </c>
      <c r="BZ132" s="15" t="e">
        <f t="shared" si="195"/>
        <v>#DIV/0!</v>
      </c>
      <c r="CA132" s="66" t="e">
        <f>((($AC$20*BU132*AQ132)/1000000))</f>
        <v>#DIV/0!</v>
      </c>
      <c r="CB132" s="66"/>
      <c r="CC132" s="361"/>
      <c r="CD132" s="361"/>
      <c r="CE132" s="361"/>
    </row>
    <row r="133" spans="3:85" ht="15.75" x14ac:dyDescent="0.3">
      <c r="C133" s="13">
        <v>103</v>
      </c>
      <c r="D133" s="74"/>
      <c r="E133" s="74"/>
      <c r="F133" s="19" t="s">
        <v>128</v>
      </c>
      <c r="G133" s="256"/>
      <c r="H133" s="54">
        <v>1.0513888888887799</v>
      </c>
      <c r="I133" s="83">
        <v>-8.5334679999999992</v>
      </c>
      <c r="J133" s="84">
        <v>115.50884000000001</v>
      </c>
      <c r="K133" s="13">
        <f t="shared" si="174"/>
        <v>-0.14893711321357547</v>
      </c>
      <c r="L133" s="13">
        <f t="shared" si="174"/>
        <v>2.0160095731593271</v>
      </c>
      <c r="M133" s="13">
        <v>3443</v>
      </c>
      <c r="N133" s="89">
        <f t="shared" si="196"/>
        <v>0</v>
      </c>
      <c r="O133" s="344"/>
      <c r="P133" s="89">
        <f t="shared" si="189"/>
        <v>4.9999999999917222E-2</v>
      </c>
      <c r="Q133" s="344"/>
      <c r="R133" s="20">
        <f t="shared" si="190"/>
        <v>0</v>
      </c>
      <c r="S133" s="347"/>
      <c r="T133" s="15">
        <f t="shared" si="199"/>
        <v>0</v>
      </c>
      <c r="U133" s="130">
        <f t="shared" si="191"/>
        <v>0</v>
      </c>
      <c r="V133" s="13">
        <f t="shared" si="192"/>
        <v>0</v>
      </c>
      <c r="W133" s="13" t="e">
        <f t="shared" si="161"/>
        <v>#DIV/0!</v>
      </c>
      <c r="X133" s="13" t="e">
        <f t="shared" si="143"/>
        <v>#DIV/0!</v>
      </c>
      <c r="Y133" s="130">
        <f t="shared" si="144"/>
        <v>0</v>
      </c>
      <c r="Z133" s="141">
        <f t="shared" si="145"/>
        <v>0</v>
      </c>
      <c r="AA133" s="43" t="e">
        <f t="shared" si="146"/>
        <v>#DIV/0!</v>
      </c>
      <c r="AB133" s="13">
        <v>200</v>
      </c>
      <c r="AC133" s="13">
        <v>13</v>
      </c>
      <c r="AD133" s="13">
        <f t="shared" si="128"/>
        <v>4</v>
      </c>
      <c r="AE133" s="161" t="e">
        <f t="shared" si="129"/>
        <v>#DIV/0!</v>
      </c>
      <c r="AF133" s="15">
        <f t="shared" si="175"/>
        <v>0</v>
      </c>
      <c r="AG133" s="366"/>
      <c r="AH133" s="331"/>
      <c r="AI133" s="339"/>
      <c r="AJ133" s="85">
        <f t="shared" si="176"/>
        <v>2.2000000000000002</v>
      </c>
      <c r="AK133" s="13" t="e">
        <f t="shared" si="106"/>
        <v>#DIV/0!</v>
      </c>
      <c r="AL133" s="15">
        <f t="shared" si="130"/>
        <v>14.330886011442766</v>
      </c>
      <c r="AM133" s="15" t="e">
        <f t="shared" si="131"/>
        <v>#DIV/0!</v>
      </c>
      <c r="AN133" s="15" t="e">
        <f t="shared" si="177"/>
        <v>#DIV/0!</v>
      </c>
      <c r="AO133" s="15" t="e">
        <f t="shared" si="132"/>
        <v>#DIV/0!</v>
      </c>
      <c r="AP133" s="15" t="e">
        <f t="shared" si="133"/>
        <v>#DIV/0!</v>
      </c>
      <c r="AQ133" s="20" t="e">
        <f t="shared" si="178"/>
        <v>#DIV/0!</v>
      </c>
      <c r="AR133" s="13" t="e">
        <f t="shared" si="179"/>
        <v>#DIV/0!</v>
      </c>
      <c r="AS133" s="13" t="e">
        <f t="shared" si="134"/>
        <v>#DIV/0!</v>
      </c>
      <c r="AT133" s="15" t="e">
        <f t="shared" si="180"/>
        <v>#DIV/0!</v>
      </c>
      <c r="AU133" s="13" t="e">
        <f t="shared" si="111"/>
        <v>#DIV/0!</v>
      </c>
      <c r="AV133" s="339"/>
      <c r="AW133" s="339"/>
      <c r="AX133" s="356"/>
      <c r="AY133" s="339"/>
      <c r="AZ133" s="339"/>
      <c r="BA133" s="331"/>
      <c r="BB133" s="331"/>
      <c r="BC133" s="331"/>
      <c r="BD133" s="339"/>
      <c r="BE133" s="339"/>
      <c r="BF133" s="339"/>
      <c r="BG133" s="339"/>
      <c r="BH133" s="337"/>
      <c r="BI133" s="331"/>
      <c r="BJ133" s="331"/>
      <c r="BK133" s="331"/>
      <c r="BL133" s="15" t="e">
        <f t="shared" si="181"/>
        <v>#DIV/0!</v>
      </c>
      <c r="BM133" s="20" t="e">
        <f t="shared" si="193"/>
        <v>#DIV/0!</v>
      </c>
      <c r="BN133" s="20" t="e">
        <f t="shared" si="182"/>
        <v>#DIV/0!</v>
      </c>
      <c r="BO133" s="20" t="e">
        <f t="shared" si="183"/>
        <v>#DIV/0!</v>
      </c>
      <c r="BP133" s="20" t="e">
        <f t="shared" si="136"/>
        <v>#DIV/0!</v>
      </c>
      <c r="BQ133" s="15" t="e">
        <f t="shared" si="137"/>
        <v>#DIV/0!</v>
      </c>
      <c r="BR133" s="15" t="e">
        <f t="shared" si="184"/>
        <v>#DIV/0!</v>
      </c>
      <c r="BS133" s="6" t="e">
        <f t="shared" si="185"/>
        <v>#DIV/0!</v>
      </c>
      <c r="BT133" s="15" t="e">
        <f t="shared" si="186"/>
        <v>#DIV/0!</v>
      </c>
      <c r="BU133" s="13" t="e">
        <f t="shared" si="187"/>
        <v>#DIV/0!</v>
      </c>
      <c r="BV133" s="13" t="e">
        <f t="shared" si="138"/>
        <v>#DIV/0!</v>
      </c>
      <c r="BW133" s="13" t="e">
        <f t="shared" si="139"/>
        <v>#DIV/0!</v>
      </c>
      <c r="BX133" s="13" t="e">
        <f t="shared" si="188"/>
        <v>#DIV/0!</v>
      </c>
      <c r="BY133" s="15" t="e">
        <f t="shared" si="194"/>
        <v>#DIV/0!</v>
      </c>
      <c r="BZ133" s="15" t="e">
        <f t="shared" si="195"/>
        <v>#DIV/0!</v>
      </c>
      <c r="CA133" s="66" t="e">
        <f>((($AC$20*BU133*AQ133)/1000000))</f>
        <v>#DIV/0!</v>
      </c>
      <c r="CB133" s="66"/>
      <c r="CC133" s="361"/>
      <c r="CD133" s="361"/>
      <c r="CE133" s="361"/>
    </row>
    <row r="134" spans="3:85" ht="15.75" x14ac:dyDescent="0.3">
      <c r="C134" s="13">
        <v>104</v>
      </c>
      <c r="D134" s="74"/>
      <c r="E134" s="74"/>
      <c r="F134" s="19" t="s">
        <v>128</v>
      </c>
      <c r="G134" s="257"/>
      <c r="H134" s="54">
        <v>1.05347222222211</v>
      </c>
      <c r="I134" s="83">
        <v>-8.5334679999999992</v>
      </c>
      <c r="J134" s="84">
        <v>115.50884000000001</v>
      </c>
      <c r="K134" s="13">
        <f t="shared" si="174"/>
        <v>-0.14893711321357547</v>
      </c>
      <c r="L134" s="13">
        <f t="shared" si="174"/>
        <v>2.0160095731593271</v>
      </c>
      <c r="M134" s="13">
        <v>3443</v>
      </c>
      <c r="N134" s="89">
        <f t="shared" si="196"/>
        <v>0</v>
      </c>
      <c r="O134" s="345"/>
      <c r="P134" s="89">
        <f t="shared" si="189"/>
        <v>4.9999999999922551E-2</v>
      </c>
      <c r="Q134" s="345"/>
      <c r="R134" s="20">
        <f t="shared" si="190"/>
        <v>0</v>
      </c>
      <c r="S134" s="348"/>
      <c r="T134" s="15">
        <f t="shared" si="199"/>
        <v>0</v>
      </c>
      <c r="U134" s="130">
        <f t="shared" si="191"/>
        <v>0</v>
      </c>
      <c r="V134" s="13">
        <f t="shared" si="192"/>
        <v>0</v>
      </c>
      <c r="W134" s="13" t="e">
        <f t="shared" si="161"/>
        <v>#DIV/0!</v>
      </c>
      <c r="X134" s="13" t="e">
        <f t="shared" si="143"/>
        <v>#DIV/0!</v>
      </c>
      <c r="Y134" s="130">
        <f t="shared" si="144"/>
        <v>0</v>
      </c>
      <c r="Z134" s="141">
        <f t="shared" si="145"/>
        <v>0</v>
      </c>
      <c r="AA134" s="43" t="e">
        <f t="shared" si="146"/>
        <v>#DIV/0!</v>
      </c>
      <c r="AB134" s="13">
        <v>200</v>
      </c>
      <c r="AC134" s="13">
        <v>13</v>
      </c>
      <c r="AD134" s="13">
        <f t="shared" si="128"/>
        <v>4</v>
      </c>
      <c r="AE134" s="161" t="e">
        <f t="shared" si="129"/>
        <v>#DIV/0!</v>
      </c>
      <c r="AF134" s="15">
        <f t="shared" si="175"/>
        <v>0</v>
      </c>
      <c r="AG134" s="366"/>
      <c r="AH134" s="331"/>
      <c r="AI134" s="339"/>
      <c r="AJ134" s="85">
        <f t="shared" si="176"/>
        <v>2.2000000000000002</v>
      </c>
      <c r="AK134" s="13" t="e">
        <f t="shared" si="106"/>
        <v>#DIV/0!</v>
      </c>
      <c r="AL134" s="15">
        <f t="shared" si="130"/>
        <v>14.330886011442766</v>
      </c>
      <c r="AM134" s="15" t="e">
        <f t="shared" si="131"/>
        <v>#DIV/0!</v>
      </c>
      <c r="AN134" s="15" t="e">
        <f t="shared" si="177"/>
        <v>#DIV/0!</v>
      </c>
      <c r="AO134" s="15" t="e">
        <f t="shared" si="132"/>
        <v>#DIV/0!</v>
      </c>
      <c r="AP134" s="15" t="e">
        <f t="shared" si="133"/>
        <v>#DIV/0!</v>
      </c>
      <c r="AQ134" s="20" t="e">
        <f t="shared" si="178"/>
        <v>#DIV/0!</v>
      </c>
      <c r="AR134" s="13" t="e">
        <f t="shared" si="179"/>
        <v>#DIV/0!</v>
      </c>
      <c r="AS134" s="13" t="e">
        <f t="shared" si="134"/>
        <v>#DIV/0!</v>
      </c>
      <c r="AT134" s="15" t="e">
        <f t="shared" si="180"/>
        <v>#DIV/0!</v>
      </c>
      <c r="AU134" s="13" t="e">
        <f t="shared" si="111"/>
        <v>#DIV/0!</v>
      </c>
      <c r="AV134" s="339"/>
      <c r="AW134" s="339"/>
      <c r="AX134" s="356"/>
      <c r="AY134" s="339"/>
      <c r="AZ134" s="339"/>
      <c r="BA134" s="331"/>
      <c r="BB134" s="331"/>
      <c r="BC134" s="331"/>
      <c r="BD134" s="339"/>
      <c r="BE134" s="339"/>
      <c r="BF134" s="339"/>
      <c r="BG134" s="339"/>
      <c r="BH134" s="337"/>
      <c r="BI134" s="331"/>
      <c r="BJ134" s="331"/>
      <c r="BK134" s="331"/>
      <c r="BL134" s="15" t="e">
        <f t="shared" si="181"/>
        <v>#DIV/0!</v>
      </c>
      <c r="BM134" s="20" t="e">
        <f t="shared" si="193"/>
        <v>#DIV/0!</v>
      </c>
      <c r="BN134" s="20" t="e">
        <f t="shared" si="182"/>
        <v>#DIV/0!</v>
      </c>
      <c r="BO134" s="20" t="e">
        <f t="shared" si="183"/>
        <v>#DIV/0!</v>
      </c>
      <c r="BP134" s="20" t="e">
        <f t="shared" si="136"/>
        <v>#DIV/0!</v>
      </c>
      <c r="BQ134" s="15" t="e">
        <f t="shared" si="137"/>
        <v>#DIV/0!</v>
      </c>
      <c r="BR134" s="15" t="e">
        <f t="shared" si="184"/>
        <v>#DIV/0!</v>
      </c>
      <c r="BS134" s="6" t="e">
        <f t="shared" si="185"/>
        <v>#DIV/0!</v>
      </c>
      <c r="BT134" s="15" t="e">
        <f t="shared" si="186"/>
        <v>#DIV/0!</v>
      </c>
      <c r="BU134" s="13" t="e">
        <f t="shared" si="187"/>
        <v>#DIV/0!</v>
      </c>
      <c r="BV134" s="13" t="e">
        <f t="shared" si="138"/>
        <v>#DIV/0!</v>
      </c>
      <c r="BW134" s="13" t="e">
        <f t="shared" si="139"/>
        <v>#DIV/0!</v>
      </c>
      <c r="BX134" s="15" t="e">
        <f t="shared" si="188"/>
        <v>#DIV/0!</v>
      </c>
      <c r="BY134" s="15" t="e">
        <f t="shared" si="194"/>
        <v>#DIV/0!</v>
      </c>
      <c r="BZ134" s="15" t="e">
        <f t="shared" si="195"/>
        <v>#DIV/0!</v>
      </c>
      <c r="CA134" s="66" t="e">
        <f>((($AC$20*BU134*AQ134)/1000000))</f>
        <v>#DIV/0!</v>
      </c>
      <c r="CB134" s="66"/>
      <c r="CC134" s="362"/>
      <c r="CD134" s="362"/>
      <c r="CE134" s="362"/>
    </row>
    <row r="135" spans="3:85" ht="15.75" x14ac:dyDescent="0.25">
      <c r="C135" s="13"/>
      <c r="D135" s="74"/>
      <c r="E135" s="74"/>
      <c r="F135" s="19" t="s">
        <v>128</v>
      </c>
      <c r="G135" s="54"/>
      <c r="H135" s="88"/>
      <c r="I135" s="75"/>
      <c r="J135" s="76"/>
      <c r="K135" s="80"/>
      <c r="L135" s="80"/>
      <c r="M135" s="45"/>
      <c r="O135" s="80"/>
      <c r="Q135" s="77"/>
      <c r="R135" s="19"/>
      <c r="S135" s="19"/>
      <c r="T135" s="13"/>
      <c r="U135" s="13"/>
      <c r="V135" s="13"/>
      <c r="W135" s="13"/>
      <c r="X135" s="19"/>
      <c r="Y135" s="13"/>
      <c r="Z135" s="19"/>
      <c r="AA135" s="19"/>
      <c r="AB135" s="19"/>
      <c r="AC135" s="19"/>
      <c r="AD135" s="19"/>
      <c r="AE135" s="16"/>
      <c r="AF135" s="70"/>
      <c r="AG135" s="72"/>
      <c r="AH135" s="66"/>
      <c r="AI135" s="69"/>
      <c r="AJ135" s="85"/>
      <c r="AK135" s="19"/>
      <c r="AL135" s="70"/>
      <c r="AM135" s="70"/>
      <c r="AN135" s="70"/>
      <c r="AO135" s="70"/>
      <c r="AP135" s="70"/>
      <c r="AQ135" s="78"/>
      <c r="AR135" s="19"/>
      <c r="AS135" s="19"/>
      <c r="AT135" s="70"/>
      <c r="AU135" s="19"/>
      <c r="AV135" s="69"/>
      <c r="AW135" s="69"/>
      <c r="AX135" s="69"/>
      <c r="AY135" s="69"/>
      <c r="AZ135" s="69"/>
      <c r="BA135" s="66"/>
      <c r="BB135" s="66"/>
      <c r="BC135" s="66"/>
      <c r="BD135" s="69"/>
      <c r="BE135" s="69"/>
      <c r="BF135" s="69"/>
      <c r="BG135" s="69"/>
      <c r="BH135" s="73"/>
      <c r="BI135" s="66"/>
      <c r="BJ135" s="66"/>
      <c r="BK135" s="66"/>
      <c r="BL135" s="70"/>
      <c r="BM135" s="78"/>
      <c r="BN135" s="19"/>
      <c r="BO135" s="70"/>
      <c r="BP135" s="79"/>
      <c r="BQ135" s="70"/>
      <c r="BR135" s="70"/>
      <c r="BS135" s="70"/>
      <c r="BT135" s="70"/>
      <c r="BU135" s="19"/>
      <c r="BV135" s="19"/>
      <c r="BW135" s="19"/>
      <c r="BX135" s="70"/>
      <c r="BY135" s="15"/>
      <c r="BZ135" s="15"/>
      <c r="CA135" s="70"/>
      <c r="CB135" s="66"/>
    </row>
    <row r="136" spans="3:85" ht="15.75" x14ac:dyDescent="0.25">
      <c r="C136" s="13"/>
      <c r="D136" s="74"/>
      <c r="E136" s="74"/>
      <c r="F136" s="19" t="s">
        <v>128</v>
      </c>
      <c r="G136" s="54"/>
      <c r="H136" s="88"/>
      <c r="I136" s="75"/>
      <c r="J136" s="76"/>
      <c r="K136" s="80"/>
      <c r="L136" s="80"/>
      <c r="M136" s="45"/>
      <c r="O136" s="80">
        <f>SUM(O31:O130)</f>
        <v>37.541218725583754</v>
      </c>
      <c r="Q136" s="77">
        <f>SUM(Q31:Q134)</f>
        <v>5.3666666666639751</v>
      </c>
      <c r="R136" s="19"/>
      <c r="S136" s="19"/>
      <c r="T136" s="13"/>
      <c r="X136" s="19"/>
      <c r="Y136" s="13"/>
      <c r="Z136" s="19"/>
      <c r="AA136" s="19"/>
      <c r="AB136" s="19"/>
      <c r="AC136" s="19"/>
      <c r="AD136" s="19"/>
      <c r="AE136" s="16"/>
      <c r="AF136" s="70"/>
      <c r="AG136" s="72"/>
      <c r="AH136" s="66"/>
      <c r="AI136" s="69"/>
      <c r="AJ136" s="19"/>
      <c r="AK136" s="19"/>
      <c r="AL136" s="70"/>
      <c r="AM136" s="70"/>
      <c r="AN136" s="70"/>
      <c r="AO136" s="70"/>
      <c r="AP136" s="70"/>
      <c r="AQ136" s="78">
        <f>SUM(AQ33:AQ126)+AQ130</f>
        <v>4.3429857338099156</v>
      </c>
      <c r="AR136" s="19"/>
      <c r="AS136" s="19"/>
      <c r="AT136" s="70"/>
      <c r="AU136" s="19"/>
      <c r="AV136" s="69"/>
      <c r="AW136" s="69"/>
      <c r="AX136" s="69"/>
      <c r="AY136" s="69"/>
      <c r="AZ136" s="69"/>
      <c r="BA136" s="66"/>
      <c r="BB136" s="66"/>
      <c r="BC136" s="66"/>
      <c r="BD136" s="69"/>
      <c r="BE136" s="69"/>
      <c r="BF136" s="69"/>
      <c r="BG136" s="69"/>
      <c r="BH136" s="73"/>
      <c r="BI136" s="66"/>
      <c r="BJ136" s="66"/>
      <c r="BK136" s="66"/>
      <c r="BL136" s="68"/>
      <c r="BM136" s="78"/>
      <c r="BN136" s="19"/>
      <c r="BO136" s="70"/>
      <c r="BP136" s="79"/>
      <c r="BQ136" s="70"/>
      <c r="BR136" s="70"/>
      <c r="BS136" s="70"/>
      <c r="BT136" s="70"/>
      <c r="BU136" s="19"/>
      <c r="BV136" s="19"/>
      <c r="BW136" s="19"/>
      <c r="BX136" s="70"/>
      <c r="BY136" s="70">
        <f>SUM(BY33:BY126)</f>
        <v>0.50777890499280687</v>
      </c>
      <c r="BZ136" s="70">
        <f>SUM(BZ33:BZ126)</f>
        <v>0.50777890499280687</v>
      </c>
      <c r="CA136" s="70">
        <f>SUM(CA33:CA130)</f>
        <v>1.0155380885347145</v>
      </c>
      <c r="CB136" s="66"/>
      <c r="CC136" s="115"/>
      <c r="CD136" s="188">
        <f>SUM(CD31:CD134)</f>
        <v>1002</v>
      </c>
      <c r="CF136" s="89"/>
      <c r="CG136">
        <f>14/CD136</f>
        <v>1.3972055888223553E-2</v>
      </c>
    </row>
    <row r="137" spans="3:85" ht="15.75" x14ac:dyDescent="0.25">
      <c r="C137" s="13"/>
      <c r="D137" s="74"/>
      <c r="E137" s="74"/>
      <c r="F137" s="19" t="s">
        <v>128</v>
      </c>
      <c r="G137" s="54"/>
      <c r="H137" s="88"/>
      <c r="I137" s="75"/>
      <c r="J137" s="76"/>
      <c r="K137" s="80"/>
      <c r="L137" s="80"/>
      <c r="M137" s="45"/>
      <c r="N137" s="80"/>
      <c r="O137" s="80"/>
      <c r="P137" s="77"/>
      <c r="Q137" s="77"/>
      <c r="R137" s="19"/>
      <c r="S137" s="19"/>
      <c r="T137" s="13"/>
      <c r="Y137" s="13"/>
      <c r="Z137" s="19"/>
      <c r="AA137" s="19"/>
      <c r="AB137" s="19"/>
      <c r="AC137" s="19"/>
      <c r="AD137" s="19"/>
      <c r="AE137" s="16"/>
      <c r="AF137" s="70"/>
      <c r="AG137" s="72"/>
      <c r="AH137" s="66"/>
      <c r="AI137" s="69"/>
      <c r="AJ137" s="19"/>
      <c r="AK137" s="19"/>
      <c r="AL137" s="70"/>
      <c r="AM137" s="70"/>
      <c r="AN137" s="70"/>
      <c r="AO137" s="70"/>
      <c r="AP137" s="70"/>
      <c r="AQ137" s="78"/>
      <c r="AR137" s="19"/>
      <c r="AS137" s="19"/>
      <c r="AT137" s="70"/>
      <c r="AU137" s="19"/>
      <c r="AV137" s="69"/>
      <c r="AW137" s="69"/>
      <c r="AX137" s="69"/>
      <c r="AY137" s="69"/>
      <c r="AZ137" s="69"/>
      <c r="BA137" s="66"/>
      <c r="BB137" s="66"/>
      <c r="BC137" s="66"/>
      <c r="BD137" s="69"/>
      <c r="BE137" s="69"/>
      <c r="BF137" s="69"/>
      <c r="BG137" s="69"/>
      <c r="BH137" s="73"/>
      <c r="BI137" s="66"/>
      <c r="BJ137" s="66"/>
      <c r="BK137" s="66"/>
      <c r="BL137" s="68"/>
      <c r="BM137" s="78"/>
      <c r="BN137" s="19"/>
      <c r="BO137" s="70"/>
      <c r="BP137" s="79"/>
      <c r="BQ137" s="70"/>
      <c r="BR137" s="70"/>
      <c r="BS137" s="70"/>
      <c r="BT137" s="70"/>
      <c r="BU137" s="19"/>
      <c r="BV137" s="19"/>
      <c r="BW137" s="19"/>
      <c r="BX137" s="70"/>
      <c r="BY137" s="363">
        <f>BY136+BZ136</f>
        <v>1.0155578099856137</v>
      </c>
      <c r="BZ137" s="364"/>
      <c r="CA137" s="70"/>
      <c r="CB137" s="66"/>
    </row>
    <row r="138" spans="3:85" ht="41.25" x14ac:dyDescent="0.25">
      <c r="C138" s="272" t="s">
        <v>52</v>
      </c>
      <c r="D138" s="306" t="s">
        <v>53</v>
      </c>
      <c r="E138" s="306" t="s">
        <v>54</v>
      </c>
      <c r="F138" s="308" t="s">
        <v>127</v>
      </c>
      <c r="G138" s="273" t="s">
        <v>152</v>
      </c>
      <c r="H138" s="274"/>
      <c r="I138" s="273" t="s">
        <v>84</v>
      </c>
      <c r="J138" s="274"/>
      <c r="K138" s="376" t="s">
        <v>204</v>
      </c>
      <c r="L138" s="377"/>
      <c r="M138" s="52" t="s">
        <v>205</v>
      </c>
      <c r="N138" s="81" t="s">
        <v>206</v>
      </c>
      <c r="O138" s="81" t="s">
        <v>206</v>
      </c>
      <c r="P138" s="81" t="s">
        <v>152</v>
      </c>
      <c r="Q138" s="56" t="s">
        <v>152</v>
      </c>
      <c r="R138" s="44" t="s">
        <v>153</v>
      </c>
      <c r="S138" s="44" t="s">
        <v>214</v>
      </c>
      <c r="T138" s="38" t="s">
        <v>153</v>
      </c>
      <c r="U138" s="371" t="s">
        <v>55</v>
      </c>
      <c r="V138" s="372"/>
      <c r="W138" s="372"/>
      <c r="X138" s="372"/>
      <c r="Y138" s="373"/>
      <c r="Z138" s="157"/>
      <c r="AA138" s="157"/>
      <c r="AB138" s="369" t="s">
        <v>90</v>
      </c>
      <c r="AC138" s="39" t="s">
        <v>88</v>
      </c>
      <c r="AD138" s="308" t="s">
        <v>91</v>
      </c>
      <c r="AE138" s="18" t="s">
        <v>103</v>
      </c>
      <c r="AF138" s="306" t="s">
        <v>56</v>
      </c>
      <c r="AG138" s="324" t="s">
        <v>57</v>
      </c>
      <c r="AH138" s="324" t="s">
        <v>9</v>
      </c>
      <c r="AI138" s="374" t="s">
        <v>58</v>
      </c>
      <c r="AJ138" s="319" t="s">
        <v>93</v>
      </c>
      <c r="AK138" s="319" t="s">
        <v>94</v>
      </c>
      <c r="AL138" s="319" t="s">
        <v>95</v>
      </c>
      <c r="AM138" s="306" t="s">
        <v>59</v>
      </c>
      <c r="AN138" s="306" t="s">
        <v>60</v>
      </c>
      <c r="AO138" s="306" t="s">
        <v>61</v>
      </c>
      <c r="AP138" s="306" t="s">
        <v>56</v>
      </c>
      <c r="AQ138" s="306" t="s">
        <v>62</v>
      </c>
      <c r="AR138" s="306" t="s">
        <v>63</v>
      </c>
      <c r="AS138" s="26" t="s">
        <v>64</v>
      </c>
      <c r="AT138" s="27" t="s">
        <v>150</v>
      </c>
      <c r="AU138" s="26" t="s">
        <v>65</v>
      </c>
      <c r="AV138" s="306" t="s">
        <v>50</v>
      </c>
      <c r="AW138" s="306" t="s">
        <v>42</v>
      </c>
      <c r="AX138" s="306" t="s">
        <v>43</v>
      </c>
      <c r="AY138" s="26" t="s">
        <v>66</v>
      </c>
      <c r="AZ138" s="306" t="s">
        <v>34</v>
      </c>
      <c r="BA138" s="306" t="s">
        <v>48</v>
      </c>
      <c r="BB138" s="306" t="s">
        <v>24</v>
      </c>
      <c r="BC138" s="306" t="s">
        <v>30</v>
      </c>
      <c r="BD138" s="306" t="s">
        <v>35</v>
      </c>
      <c r="BE138" s="306" t="s">
        <v>40</v>
      </c>
      <c r="BF138" s="306" t="s">
        <v>20</v>
      </c>
      <c r="BG138" s="306" t="s">
        <v>44</v>
      </c>
      <c r="BH138" s="306" t="s">
        <v>49</v>
      </c>
      <c r="BI138" s="306" t="s">
        <v>18</v>
      </c>
      <c r="BJ138" s="306" t="s">
        <v>31</v>
      </c>
      <c r="BK138" s="306" t="s">
        <v>36</v>
      </c>
      <c r="BL138" s="306" t="s">
        <v>67</v>
      </c>
      <c r="BM138" s="306" t="s">
        <v>68</v>
      </c>
      <c r="BN138" s="306" t="s">
        <v>69</v>
      </c>
      <c r="BO138" s="306" t="s">
        <v>70</v>
      </c>
      <c r="BP138" s="308" t="s">
        <v>71</v>
      </c>
      <c r="BQ138" s="306" t="s">
        <v>72</v>
      </c>
      <c r="BR138" s="308" t="s">
        <v>73</v>
      </c>
      <c r="BS138" s="306" t="s">
        <v>74</v>
      </c>
      <c r="BT138" s="306" t="s">
        <v>75</v>
      </c>
      <c r="BU138" s="308" t="s">
        <v>76</v>
      </c>
      <c r="BV138" s="27" t="s">
        <v>199</v>
      </c>
      <c r="BW138" s="27" t="s">
        <v>200</v>
      </c>
      <c r="BX138" s="306" t="s">
        <v>77</v>
      </c>
      <c r="BY138" s="296" t="s">
        <v>78</v>
      </c>
      <c r="BZ138" s="18"/>
      <c r="CA138" s="27"/>
      <c r="CB138" s="308" t="s">
        <v>79</v>
      </c>
    </row>
    <row r="139" spans="3:85" ht="38.25" x14ac:dyDescent="0.25">
      <c r="C139" s="272"/>
      <c r="D139" s="307"/>
      <c r="E139" s="307"/>
      <c r="F139" s="309"/>
      <c r="G139" s="36" t="s">
        <v>229</v>
      </c>
      <c r="H139" s="36" t="s">
        <v>230</v>
      </c>
      <c r="I139" s="36" t="s">
        <v>85</v>
      </c>
      <c r="J139" s="36" t="s">
        <v>87</v>
      </c>
      <c r="K139" s="53" t="s">
        <v>85</v>
      </c>
      <c r="L139" s="53" t="s">
        <v>87</v>
      </c>
      <c r="M139" s="53" t="s">
        <v>161</v>
      </c>
      <c r="N139" s="53" t="s">
        <v>161</v>
      </c>
      <c r="O139" s="53" t="s">
        <v>161</v>
      </c>
      <c r="P139" s="53" t="s">
        <v>212</v>
      </c>
      <c r="Q139" s="53" t="s">
        <v>213</v>
      </c>
      <c r="R139" s="37" t="s">
        <v>89</v>
      </c>
      <c r="S139" s="37" t="s">
        <v>89</v>
      </c>
      <c r="T139" s="38" t="s">
        <v>92</v>
      </c>
      <c r="U139" s="134" t="s">
        <v>246</v>
      </c>
      <c r="V139" s="134" t="s">
        <v>249</v>
      </c>
      <c r="W139" s="134" t="s">
        <v>247</v>
      </c>
      <c r="X139" s="135" t="s">
        <v>248</v>
      </c>
      <c r="Y139" s="159" t="s">
        <v>266</v>
      </c>
      <c r="Z139" s="160" t="s">
        <v>267</v>
      </c>
      <c r="AA139" s="158" t="s">
        <v>248</v>
      </c>
      <c r="AB139" s="370"/>
      <c r="AC139" s="39" t="s">
        <v>89</v>
      </c>
      <c r="AD139" s="309"/>
      <c r="AE139" s="14" t="s">
        <v>80</v>
      </c>
      <c r="AF139" s="307"/>
      <c r="AG139" s="323"/>
      <c r="AH139" s="325"/>
      <c r="AI139" s="375"/>
      <c r="AJ139" s="320"/>
      <c r="AK139" s="320"/>
      <c r="AL139" s="320"/>
      <c r="AM139" s="307"/>
      <c r="AN139" s="307"/>
      <c r="AO139" s="307"/>
      <c r="AP139" s="307"/>
      <c r="AQ139" s="307"/>
      <c r="AR139" s="307"/>
      <c r="AS139" s="28" t="s">
        <v>149</v>
      </c>
      <c r="AT139" s="28" t="s">
        <v>151</v>
      </c>
      <c r="AU139" s="28" t="s">
        <v>149</v>
      </c>
      <c r="AV139" s="316"/>
      <c r="AW139" s="307"/>
      <c r="AX139" s="307"/>
      <c r="AY139" s="47" t="s">
        <v>154</v>
      </c>
      <c r="AZ139" s="307"/>
      <c r="BA139" s="307"/>
      <c r="BB139" s="307"/>
      <c r="BC139" s="307"/>
      <c r="BD139" s="307"/>
      <c r="BE139" s="307"/>
      <c r="BF139" s="307"/>
      <c r="BG139" s="307"/>
      <c r="BH139" s="307"/>
      <c r="BI139" s="307"/>
      <c r="BJ139" s="307"/>
      <c r="BK139" s="307"/>
      <c r="BL139" s="307"/>
      <c r="BM139" s="307"/>
      <c r="BN139" s="307"/>
      <c r="BO139" s="307"/>
      <c r="BP139" s="309"/>
      <c r="BQ139" s="307"/>
      <c r="BR139" s="309"/>
      <c r="BS139" s="307"/>
      <c r="BT139" s="307"/>
      <c r="BU139" s="309"/>
      <c r="BV139" s="28"/>
      <c r="BW139" s="28"/>
      <c r="BX139" s="307"/>
      <c r="BY139" s="296"/>
      <c r="BZ139" s="18"/>
      <c r="CA139" s="28"/>
      <c r="CB139" s="309"/>
      <c r="CC139" t="s">
        <v>268</v>
      </c>
      <c r="CD139" t="s">
        <v>269</v>
      </c>
      <c r="CE139" t="s">
        <v>270</v>
      </c>
    </row>
    <row r="140" spans="3:85" s="109" customFormat="1" ht="15" customHeight="1" x14ac:dyDescent="0.25">
      <c r="C140" s="100">
        <v>1</v>
      </c>
      <c r="D140" s="378" t="s">
        <v>82</v>
      </c>
      <c r="E140" s="378" t="s">
        <v>81</v>
      </c>
      <c r="F140" s="163" t="s">
        <v>128</v>
      </c>
      <c r="G140" s="340">
        <v>9.0277777777777776E-2</v>
      </c>
      <c r="H140" s="101">
        <v>9.0277777777777776E-2</v>
      </c>
      <c r="I140" s="100">
        <v>-8.5335330000000003</v>
      </c>
      <c r="J140" s="100">
        <v>115.509191</v>
      </c>
      <c r="K140" s="100">
        <f>RADIANS(I140)</f>
        <v>-0.14893824767758929</v>
      </c>
      <c r="L140" s="100">
        <f>RADIANS(J140)</f>
        <v>2.0160156992650013</v>
      </c>
      <c r="M140" s="100">
        <v>3443</v>
      </c>
      <c r="N140" s="168">
        <v>0</v>
      </c>
      <c r="O140" s="357">
        <f>SUM(N140:N145)</f>
        <v>1.2829692961640395</v>
      </c>
      <c r="P140" s="109">
        <v>0</v>
      </c>
      <c r="Q140" s="338">
        <v>0</v>
      </c>
      <c r="R140" s="103">
        <v>0</v>
      </c>
      <c r="S140" s="346">
        <f>AVERAGE(R140:R145)</f>
        <v>4.2765643205471777</v>
      </c>
      <c r="T140" s="100">
        <f t="shared" ref="T140:T245" si="200">R140*0.5144</f>
        <v>0</v>
      </c>
      <c r="U140" s="104"/>
      <c r="V140" s="104"/>
      <c r="W140" s="104"/>
      <c r="X140" s="104"/>
      <c r="Y140" s="104"/>
      <c r="Z140" s="104"/>
      <c r="AA140" s="104"/>
      <c r="AB140" s="100">
        <v>200</v>
      </c>
      <c r="AC140" s="100">
        <v>13</v>
      </c>
      <c r="AD140" s="100" t="e">
        <f>IF(#REF!&lt;=0.6,0,IF(#REF!&lt;=3,1,IF(#REF!&lt;=6.4,2,IF(#REF!&lt;=10.6,3,IF(#REF!&lt;=15.5,4,IF(#REF!&lt;=21,5,IF(#REF!&lt;=26.9,IF(#REF!&lt;=33.4,7,8))))))))</f>
        <v>#REF!</v>
      </c>
      <c r="AE140" s="169">
        <f>IF(AND(AA140&lt;=AB140,AB140&gt;AA140,(AB140-AA140)&lt;=180),AB140-AA140,IF(AND(AA140&lt;=AB140,AB140&gt;AA140,(AB140-AA140)&gt;180),360-AB140+AA140,IF(AND(AA140&lt;=180,AB140&lt;AA140),AA140-AB140,IF(AND(AA140&gt;180,AB140&lt;AA140,(AA140-AB140)&lt;=180),AA140-AB140,IF(AND(AA140&gt;180,AB140&lt;AA140,(AA140-AB140)&gt;180),360-AA140+AB140,IF(AND(AA140&gt;180,AB140&gt;AA140),AB140-AA140,0))))))</f>
        <v>160</v>
      </c>
      <c r="AF140" s="104">
        <f t="shared" ref="AF140:AF171" si="201">T140/((9.81*$D$3)^0.5)</f>
        <v>0</v>
      </c>
      <c r="AG140" s="381">
        <v>2877</v>
      </c>
      <c r="AH140" s="384">
        <f>($G$5*1.025)/(G$3*$D$4*AI140)</f>
        <v>0.64481801210777634</v>
      </c>
      <c r="AI140" s="387">
        <v>4.0999999999999996</v>
      </c>
      <c r="AJ140" s="100">
        <f t="shared" ref="AJ140:AJ171" si="202">IF(AND(F140="NORMAL",AND($D$6&gt;=0.55,$D$6&lt;0.6)),1.7-1.4*AF140-7.4*AF140^2,IF(AND(F140="NORMAL",AND($D$6&gt;=0.6,$D$6&lt;0.65)),2.2-2.5*AF140-9.7*AF140^2,IF(AND(F140="NORMAL",AND($D$6&gt;=0.65,$D$6&lt;0.7)),2.6-3.7*AF140-11.6*AF140^2,IF(AND(F140="NORMAL",AND($D$6&gt;=0.7,$D$6&lt;0.75)),3.1-5.3*AF140-12.4*AF140^2,IF(AND(F140="NORMAL OR LOADED",AND($D$6&gt;=0.75,$D$6&lt;0.8)),2.4-10.6*AF140-9.5*AF140^2,IF(AND(F140="NORMAL OR LOADED",AND($D$6&gt;=0.8,$D$6&lt;0.85)),2.6-13.1*AF140-15.1*AF140^2,IF(AND(F140="NORMAL OR LOADED",AND($D$6&gt;=0.85,$D$6&lt;0.9)),3.1-18.7*AF140+28*AF140^2,IF(AND(F140="BALLAST",AND($D$6&gt;=0.75,$D$6&lt;0.8)),2.6-12.5*AF140-13.5*AF140^2,IF(AND(F140="BALLAST",AND($D$6&gt;=0.8,$D$6&lt;0.85)),IF(AND(F140="BALLAST",AND($D$6&gt;=0.85,$D$6&lt;0.9)),3.4-20.9*AF140+31.8*AF140^2))))))))))</f>
        <v>2.2000000000000002</v>
      </c>
      <c r="AK140" s="100" t="e">
        <f>IF(AND(AE140&gt;=0,AE140&lt;=30),2/2,IF(AND(AE140&gt;30,AE140&lt;=60),(1.7-0.03*(AD140-4)^2)/2,IF(AND(AE140&gt;60,AE140&lt;=150),(0.9-0.06*(AD140-6)^2)/2,IF(AND(AE140&gt;150,AE140&lt;=180),(0.4-0.03*(AD140-8)^2)/2))))</f>
        <v>#REF!</v>
      </c>
      <c r="AL140" s="104" t="e">
        <f t="shared" ref="AL140:AL171" si="203">IF($T$21="ALL SHIP TYPE LOADED",(0.5*AD140+AD140^6.5)/(2.2*$G$5^(2/3)),IF($T$22="ALL SHIP TYPE BALLAST",(0.7*AD140+AD140^6.5)/(2.7*J18^(2/3)),IF($T$23="CONTAINER NORMAL",(0.7*AD140+AD140^6.5)/(2.2*$G$5^(2/3)))))</f>
        <v>#REF!</v>
      </c>
      <c r="AM140" s="104" t="e">
        <f t="shared" ref="AM140:AM203" si="204">AJ140*AK140*AL140</f>
        <v>#REF!</v>
      </c>
      <c r="AN140" s="104" t="e">
        <f t="shared" ref="AN140:AN171" si="205">R140/(1-(0.01*AM140))</f>
        <v>#REF!</v>
      </c>
      <c r="AO140" s="104" t="e">
        <f t="shared" ref="AO140:AO203" si="206">AN140*0.5144</f>
        <v>#REF!</v>
      </c>
      <c r="AP140" s="104" t="e">
        <f t="shared" ref="AP140:AP203" si="207">AO140/((9.81*$D$3)^0.5)</f>
        <v>#REF!</v>
      </c>
      <c r="AQ140" s="103" t="e">
        <f t="shared" ref="AQ140:AQ171" si="208">N140/AN140</f>
        <v>#REF!</v>
      </c>
      <c r="AR140" s="100" t="e">
        <f t="shared" ref="AR140:AR171" si="209">(AO140*$D$3)/$U$3</f>
        <v>#REF!</v>
      </c>
      <c r="AS140" s="100" t="e">
        <f t="shared" ref="AS140:AS203" si="210">0.075/((LOG(AR140)-2)^2)</f>
        <v>#REF!</v>
      </c>
      <c r="AT140" s="104" t="e">
        <f t="shared" ref="AT140:AT171" si="211">0.5*1024*(AO140^2)*$W$5*$W$6*AS140</f>
        <v>#REF!</v>
      </c>
      <c r="AU140" s="100" t="e">
        <f t="shared" ref="AU140:AU171" si="212">0.5*1024*AS140*$U$10*(AO140)^2</f>
        <v>#REF!</v>
      </c>
      <c r="AV140" s="297">
        <f>AI140/$D$3</f>
        <v>5.8806655192197348E-2</v>
      </c>
      <c r="AW140" s="297">
        <f>($D$3^3)/($D$3*$D$4*$D$6*AI140)</f>
        <v>112.79923008467735</v>
      </c>
      <c r="AX140" s="297">
        <f>$D$4/AI140</f>
        <v>3.9756097560975614</v>
      </c>
      <c r="AY140" s="297">
        <f>$D$3*((2*AI140)+$D$4)*($G$7^0.5)*(0.453+(0.4425*AH140)-(0.2862*$G$7)-(0.003467*AX140)+(0.3696*$D$8))+(2.38*('Perhitungan Bulbous Bow'!$D$14/AH140))</f>
        <v>1246.0322816310556</v>
      </c>
      <c r="AZ140" s="297">
        <f>W6</f>
        <v>4.3</v>
      </c>
      <c r="BA140" s="392">
        <f>$D$3/($D$3*$D$4*AH140*AI140)^(1/3)</f>
        <v>4.8317231853112652</v>
      </c>
      <c r="BB140" s="392">
        <f>1+89*EXP(-(($D$3/$D$4)^0.80856)*((1-$D$8)^0.30484)*((1-$G$6-(0.0225*$G$9))^0.6367)*(($J$9/$D$4)^0.34574)*((100*AI31*$D$3*$D$4*AH31)/$D$3^3)^0.16302)</f>
        <v>30.035945948122961</v>
      </c>
      <c r="BC140" s="392">
        <f>2223105*(BH140^3.78613)*((AI31/$D$4)^1.07961)*((90-BB140)^-1.37565)</f>
        <v>7.3179787261487803</v>
      </c>
      <c r="BD140" s="297">
        <f>EXP(-1.89*((BE140^0.5)))</f>
        <v>1</v>
      </c>
      <c r="BE140" s="297"/>
      <c r="BF140" s="297">
        <f>IF(AV140&lt;=0.04,AV140,IF(AV140&gt;0.04,0.04,0))</f>
        <v>0.04</v>
      </c>
      <c r="BG140" s="297">
        <f>1-((0.8*0)/($D$4*AI140*$G$7))</f>
        <v>1</v>
      </c>
      <c r="BH140" s="390">
        <f>IF($J$5&lt;=0.11,0.229577*($J$5^0.33333),IF(AND($J$5&gt;0.11,$J$5&lt;0.25),$J$5,IF($J$5&gt;=0.25,0.5-(0.0625*AX140),0)))</f>
        <v>0.23379231210556509</v>
      </c>
      <c r="BI140" s="392">
        <f>IF(AW140&lt;=512,-1.69385,IF(AW140&gt;=1727,#REF!,IF(AND(AW140&gt;512,AW140&lt;1727),$Y$6+((BA140-8)/2.36),0)))</f>
        <v>-1.6938500000000001</v>
      </c>
      <c r="BJ140" s="392">
        <f>IF($G$6&lt;0.8,(8.07981*($G$6))-(13.8673*($G$6^2))+(6.984388*($G$6^3)),IF($G$6&gt;0.8,1.73014-(0.7067*$G$6),0))</f>
        <v>1.2857994584601959</v>
      </c>
      <c r="BK140" s="392">
        <f>(0.0140407*($D$3/AI140)-(1.75254*((($D$3*$D$4*AI140*$D$6)^(1/3))/$D$3))-4.79323*($J$5)-BJ140)</f>
        <v>-2.5303747069836766</v>
      </c>
      <c r="BL140" s="104" t="e">
        <f t="shared" ref="BL140:BL171" si="213">$BK$140*($G$6^2)*EXP(-0.1*(AP140^-2))</f>
        <v>#REF!</v>
      </c>
      <c r="BM140" s="103" t="e">
        <f t="shared" ref="BM140:BM171" si="214">$BC$140*$BD$140*$BG$140*($D$3*$D$4*$AI$140*$AH$140)*1025*9.81*(EXP(($BK$140*(AP140^-0.9))+(BL140*COS($Y$10*(AP140^-2)))))</f>
        <v>#REF!</v>
      </c>
      <c r="BN140" s="100" t="e">
        <f t="shared" ref="BN140:BN171" si="215">0.5*1025*(AO140^2)*$AY$140*$W$3</f>
        <v>#REF!</v>
      </c>
      <c r="BO140" s="104" t="e">
        <f t="shared" ref="BO140:BO171" si="216">((AU140*$U$8)+AT140+BM140+BN140)/1000</f>
        <v>#REF!</v>
      </c>
      <c r="BP140" s="170" t="e">
        <f>BO140+(BO140*15%)</f>
        <v>#REF!</v>
      </c>
      <c r="BQ140" s="104" t="e">
        <f>BP140*AO140</f>
        <v>#REF!</v>
      </c>
      <c r="BR140" s="104" t="e">
        <f t="shared" ref="BR140:BR171" si="217">(1-$AB$4)*AO140</f>
        <v>#REF!</v>
      </c>
      <c r="BS140" s="104" t="e">
        <f t="shared" ref="BS140:BS171" si="218">BQ140/$AB$10</f>
        <v>#REF!</v>
      </c>
      <c r="BT140" s="104" t="e">
        <f t="shared" ref="BT140:BT171" si="219">BS140/$AG$4</f>
        <v>#REF!</v>
      </c>
      <c r="BU140" s="100" t="e">
        <f t="shared" ref="BU140:BU171" si="220">((BT140/$AG$5)/85%)</f>
        <v>#REF!</v>
      </c>
      <c r="BV140" s="100" t="e">
        <f>BU140/2</f>
        <v>#REF!</v>
      </c>
      <c r="BW140" s="100" t="e">
        <f>BU140/2</f>
        <v>#REF!</v>
      </c>
      <c r="BX140" s="104" t="e">
        <f t="shared" ref="BX140:BX171" si="221">(BU140/$AC$19)*100</f>
        <v>#REF!</v>
      </c>
      <c r="BY140" s="104" t="e">
        <f t="shared" ref="BY140:BY171" si="222">((($AC$20*BV140*AQ140)/1000000))</f>
        <v>#REF!</v>
      </c>
      <c r="BZ140" s="104" t="e">
        <f t="shared" ref="BZ140:BZ171" si="223">((($AC$20*BV140*AQ140)/1000000))</f>
        <v>#REF!</v>
      </c>
      <c r="CA140" s="108" t="e">
        <f t="shared" ref="CA140:CA171" si="224">((($AC$20*BU140*AQ140)/1000000))</f>
        <v>#REF!</v>
      </c>
      <c r="CB140" s="401"/>
      <c r="CC140" s="276">
        <f>SUM(CA142:CA144)*1000</f>
        <v>34.539683920403782</v>
      </c>
      <c r="CD140" s="276">
        <v>0</v>
      </c>
      <c r="CE140" s="276">
        <f>AVERAGE(AN142:AN144)</f>
        <v>5.5384192191199766</v>
      </c>
    </row>
    <row r="141" spans="3:85" s="109" customFormat="1" ht="15" customHeight="1" x14ac:dyDescent="0.25">
      <c r="C141" s="100">
        <v>2</v>
      </c>
      <c r="D141" s="379"/>
      <c r="E141" s="379"/>
      <c r="F141" s="163" t="s">
        <v>128</v>
      </c>
      <c r="G141" s="341"/>
      <c r="H141" s="101">
        <v>9.2361111111111116E-2</v>
      </c>
      <c r="I141" s="100">
        <v>-8.5335330000000003</v>
      </c>
      <c r="J141" s="100">
        <v>115.509191</v>
      </c>
      <c r="K141" s="100">
        <f t="shared" ref="K141:L204" si="225">RADIANS(I141)</f>
        <v>-0.14893824767758929</v>
      </c>
      <c r="L141" s="100">
        <f t="shared" si="225"/>
        <v>2.0160156992650013</v>
      </c>
      <c r="M141" s="100">
        <v>3443</v>
      </c>
      <c r="N141" s="234">
        <f t="shared" ref="N141:N172" si="226">2*M141*ASIN(((SIN((K141-K140)/2))^2+COS(K140)*COS(K141)*(SIN((L141-L140)/2))^2)^0.5)</f>
        <v>0</v>
      </c>
      <c r="O141" s="331"/>
      <c r="P141" s="102">
        <f t="shared" ref="P141:P172" si="227">(H141-H140)*24</f>
        <v>5.0000000000000155E-2</v>
      </c>
      <c r="Q141" s="339"/>
      <c r="R141" s="103">
        <f t="shared" ref="R141:R172" si="228">N141/P141</f>
        <v>0</v>
      </c>
      <c r="S141" s="347"/>
      <c r="T141" s="100">
        <f t="shared" si="200"/>
        <v>0</v>
      </c>
      <c r="U141" s="165">
        <f t="shared" ref="U141:U172" si="229">LN(TAN((K141/2)+(3.14/4))/(TAN((K140/2)+(3.14/4))))</f>
        <v>0</v>
      </c>
      <c r="V141" s="100">
        <f t="shared" ref="V141:V172" si="230">ABS(L140-L141)</f>
        <v>0</v>
      </c>
      <c r="W141" s="100" t="e">
        <f t="shared" ref="W141:W172" si="231">ATAN2(U141,V141)</f>
        <v>#DIV/0!</v>
      </c>
      <c r="X141" s="100" t="e">
        <f>DEGREES(W141)</f>
        <v>#DIV/0!</v>
      </c>
      <c r="Y141" s="165">
        <f>K141-K140</f>
        <v>0</v>
      </c>
      <c r="Z141" s="166">
        <f>J141-J140</f>
        <v>0</v>
      </c>
      <c r="AA141" s="167" t="e">
        <f>IF(AND(Y141&gt;0,Z141&gt;0),X141,IF(AND(Y141&lt;0,Z141&gt;0),X141,IF(AND(Y141&lt;0,Z141&lt;0),360-X141,360-X141)))</f>
        <v>#DIV/0!</v>
      </c>
      <c r="AB141" s="100">
        <v>200</v>
      </c>
      <c r="AC141" s="100">
        <v>13</v>
      </c>
      <c r="AD141" s="100">
        <v>4</v>
      </c>
      <c r="AE141" s="169" t="e">
        <f t="shared" ref="AE141:AE204" si="232">IF(AND(AA141&lt;=AB141,AB141&gt;AA141,(AB141-AA141)&lt;=180),AB141-AA141,IF(AND(AA141&lt;=AB141,AB141&gt;AA141,(AB141-AA141)&gt;180),360-AB141+AA141,IF(AND(AA141&lt;=180,AB141&lt;AA141),AA141-AB141,IF(AND(AA141&gt;180,AB141&lt;AA141,(AA141-AB141)&lt;=180),AA141-AB141,IF(AND(AA141&gt;180,AB141&lt;AA141,(AA141-AB141)&gt;180),360-AA141+AB141,IF(AND(AA141&gt;180,AB141&gt;AA141),AB141-AA141,0))))))</f>
        <v>#DIV/0!</v>
      </c>
      <c r="AF141" s="104">
        <f t="shared" si="201"/>
        <v>0</v>
      </c>
      <c r="AG141" s="382"/>
      <c r="AH141" s="385"/>
      <c r="AI141" s="388"/>
      <c r="AJ141" s="100">
        <f t="shared" si="202"/>
        <v>2.2000000000000002</v>
      </c>
      <c r="AK141" s="100" t="e">
        <f t="shared" ref="AK141:AK146" si="233">IF(AND(AE141&gt;=0,AE141&lt;=30),2/2,IF(AND(AE141&gt;30,AE141&lt;=60),(1.7-0.03*(AD141-4)^2)/2,IF(AND(AE141&gt;60,AE141&lt;=150),(0.9-0.06*(AD141-6)^2)/2,IF(AND(AE141&gt;150,AE141&lt;=180),(0.4-0.03*(AD141-8)^2)/2))))</f>
        <v>#DIV/0!</v>
      </c>
      <c r="AL141" s="104">
        <f t="shared" si="203"/>
        <v>17.587905559497941</v>
      </c>
      <c r="AM141" s="104" t="e">
        <f t="shared" si="204"/>
        <v>#DIV/0!</v>
      </c>
      <c r="AN141" s="104" t="e">
        <f t="shared" si="205"/>
        <v>#DIV/0!</v>
      </c>
      <c r="AO141" s="104" t="e">
        <f t="shared" si="206"/>
        <v>#DIV/0!</v>
      </c>
      <c r="AP141" s="104" t="e">
        <f t="shared" si="207"/>
        <v>#DIV/0!</v>
      </c>
      <c r="AQ141" s="103" t="e">
        <f t="shared" si="208"/>
        <v>#DIV/0!</v>
      </c>
      <c r="AR141" s="100" t="e">
        <f t="shared" si="209"/>
        <v>#DIV/0!</v>
      </c>
      <c r="AS141" s="100" t="e">
        <f t="shared" si="210"/>
        <v>#DIV/0!</v>
      </c>
      <c r="AT141" s="104" t="e">
        <f t="shared" si="211"/>
        <v>#DIV/0!</v>
      </c>
      <c r="AU141" s="100" t="e">
        <f t="shared" si="212"/>
        <v>#DIV/0!</v>
      </c>
      <c r="AV141" s="297"/>
      <c r="AW141" s="297"/>
      <c r="AX141" s="297"/>
      <c r="AY141" s="297"/>
      <c r="AZ141" s="297"/>
      <c r="BA141" s="392"/>
      <c r="BB141" s="392"/>
      <c r="BC141" s="392"/>
      <c r="BD141" s="297"/>
      <c r="BE141" s="297"/>
      <c r="BF141" s="297"/>
      <c r="BG141" s="297"/>
      <c r="BH141" s="390"/>
      <c r="BI141" s="392"/>
      <c r="BJ141" s="392"/>
      <c r="BK141" s="392"/>
      <c r="BL141" s="104" t="e">
        <f t="shared" si="213"/>
        <v>#DIV/0!</v>
      </c>
      <c r="BM141" s="103" t="e">
        <f t="shared" si="214"/>
        <v>#DIV/0!</v>
      </c>
      <c r="BN141" s="100" t="e">
        <f t="shared" si="215"/>
        <v>#DIV/0!</v>
      </c>
      <c r="BO141" s="104" t="e">
        <f t="shared" si="216"/>
        <v>#DIV/0!</v>
      </c>
      <c r="BP141" s="170" t="e">
        <f t="shared" ref="BP141:BP204" si="234">BO141+(BO141*15%)</f>
        <v>#DIV/0!</v>
      </c>
      <c r="BQ141" s="104" t="e">
        <f t="shared" ref="BQ141:BQ204" si="235">BP141*AO141</f>
        <v>#DIV/0!</v>
      </c>
      <c r="BR141" s="104" t="e">
        <f t="shared" si="217"/>
        <v>#DIV/0!</v>
      </c>
      <c r="BS141" s="104" t="e">
        <f t="shared" si="218"/>
        <v>#DIV/0!</v>
      </c>
      <c r="BT141" s="104" t="e">
        <f t="shared" si="219"/>
        <v>#DIV/0!</v>
      </c>
      <c r="BU141" s="100" t="e">
        <f t="shared" si="220"/>
        <v>#DIV/0!</v>
      </c>
      <c r="BV141" s="100" t="e">
        <f t="shared" ref="BV141:BV204" si="236">BU141/2</f>
        <v>#DIV/0!</v>
      </c>
      <c r="BW141" s="100" t="e">
        <f t="shared" ref="BW141:BW204" si="237">BU141/2</f>
        <v>#DIV/0!</v>
      </c>
      <c r="BX141" s="104" t="e">
        <f t="shared" si="221"/>
        <v>#DIV/0!</v>
      </c>
      <c r="BY141" s="104" t="e">
        <f t="shared" si="222"/>
        <v>#DIV/0!</v>
      </c>
      <c r="BZ141" s="104" t="e">
        <f t="shared" si="223"/>
        <v>#DIV/0!</v>
      </c>
      <c r="CA141" s="108" t="e">
        <f t="shared" si="224"/>
        <v>#DIV/0!</v>
      </c>
      <c r="CB141" s="402"/>
      <c r="CC141" s="277"/>
      <c r="CD141" s="277"/>
      <c r="CE141" s="277"/>
    </row>
    <row r="142" spans="3:85" s="109" customFormat="1" ht="15" customHeight="1" x14ac:dyDescent="0.25">
      <c r="C142" s="100">
        <v>3</v>
      </c>
      <c r="D142" s="379"/>
      <c r="E142" s="379"/>
      <c r="F142" s="163" t="s">
        <v>128</v>
      </c>
      <c r="G142" s="341"/>
      <c r="H142" s="101">
        <v>9.4444444444444442E-2</v>
      </c>
      <c r="I142" s="100">
        <v>-8.5337580000000006</v>
      </c>
      <c r="J142" s="100">
        <v>115.509702</v>
      </c>
      <c r="K142" s="100">
        <f t="shared" si="225"/>
        <v>-0.14894217466840626</v>
      </c>
      <c r="L142" s="100">
        <f t="shared" si="225"/>
        <v>2.0160246178974792</v>
      </c>
      <c r="M142" s="100">
        <v>3443</v>
      </c>
      <c r="N142" s="234">
        <f t="shared" si="226"/>
        <v>3.3240872442874811E-2</v>
      </c>
      <c r="O142" s="331"/>
      <c r="P142" s="102">
        <f t="shared" si="227"/>
        <v>4.9999999999999822E-2</v>
      </c>
      <c r="Q142" s="339"/>
      <c r="R142" s="103">
        <f t="shared" si="228"/>
        <v>0.66481744885749861</v>
      </c>
      <c r="S142" s="347"/>
      <c r="T142" s="100">
        <f t="shared" si="200"/>
        <v>0.34198209569229726</v>
      </c>
      <c r="U142" s="165">
        <f t="shared" si="229"/>
        <v>-3.9714294649344696E-6</v>
      </c>
      <c r="V142" s="100">
        <f t="shared" si="230"/>
        <v>8.9186324778722792E-6</v>
      </c>
      <c r="W142" s="100">
        <f t="shared" si="231"/>
        <v>1.9897313463153565</v>
      </c>
      <c r="X142" s="100">
        <f t="shared" ref="X142:X205" si="238">DEGREES(W142)</f>
        <v>114.00320850875312</v>
      </c>
      <c r="Y142" s="165">
        <f t="shared" ref="Y142:Y205" si="239">K142-K141</f>
        <v>-3.926990816971454E-6</v>
      </c>
      <c r="Z142" s="166">
        <f t="shared" ref="Z142:Z205" si="240">J142-J141</f>
        <v>5.110000000030368E-4</v>
      </c>
      <c r="AA142" s="167">
        <f t="shared" ref="AA142:AA205" si="241">IF(AND(Y142&gt;0,Z142&gt;0),X142,IF(AND(Y142&lt;0,Z142&gt;0),X142,IF(AND(Y142&lt;0,Z142&lt;0),360-X142,360-X142)))</f>
        <v>114.00320850875312</v>
      </c>
      <c r="AB142" s="100">
        <v>200</v>
      </c>
      <c r="AC142" s="100">
        <v>13</v>
      </c>
      <c r="AD142" s="100">
        <v>4</v>
      </c>
      <c r="AE142" s="169">
        <f t="shared" si="232"/>
        <v>85.996791491246881</v>
      </c>
      <c r="AF142" s="104">
        <f t="shared" si="201"/>
        <v>1.3076459602524536E-2</v>
      </c>
      <c r="AG142" s="382"/>
      <c r="AH142" s="385"/>
      <c r="AI142" s="388"/>
      <c r="AJ142" s="100">
        <f t="shared" si="202"/>
        <v>2.1656502111750449</v>
      </c>
      <c r="AK142" s="100">
        <f>IF(AND(AE142&gt;=0,AE142&lt;=30),2/2,IF(AND(AE142&gt;30,AE142&lt;=60),(1.7-0.03*(AD142-4)^2)/2,IF(AND(AE142&gt;60,AE142&lt;=150),(0.9-0.06*(AD142-6)^2)/2,IF(AND(AE142&gt;150,AE142&lt;=180),(0.4-0.03*(AD142-8)^2)/2))))</f>
        <v>0.33</v>
      </c>
      <c r="AL142" s="104">
        <f t="shared" si="203"/>
        <v>17.587905559497941</v>
      </c>
      <c r="AM142" s="104">
        <f t="shared" si="204"/>
        <v>12.569452958387641</v>
      </c>
      <c r="AN142" s="104">
        <f t="shared" si="205"/>
        <v>0.7603949321523521</v>
      </c>
      <c r="AO142" s="104">
        <f t="shared" si="206"/>
        <v>0.39114715309916992</v>
      </c>
      <c r="AP142" s="104">
        <f t="shared" si="207"/>
        <v>1.4956396871565754E-2</v>
      </c>
      <c r="AQ142" s="103">
        <f t="shared" si="208"/>
        <v>4.3715273520806022E-2</v>
      </c>
      <c r="AR142" s="100">
        <f t="shared" si="209"/>
        <v>22955201.611173514</v>
      </c>
      <c r="AS142" s="100">
        <f t="shared" si="210"/>
        <v>2.6096899403154888E-3</v>
      </c>
      <c r="AT142" s="104">
        <f t="shared" si="211"/>
        <v>6.5959631127484029</v>
      </c>
      <c r="AU142" s="100">
        <f t="shared" si="212"/>
        <v>254.72320688504644</v>
      </c>
      <c r="AV142" s="297"/>
      <c r="AW142" s="297"/>
      <c r="AX142" s="297"/>
      <c r="AY142" s="297"/>
      <c r="AZ142" s="297"/>
      <c r="BA142" s="392"/>
      <c r="BB142" s="392"/>
      <c r="BC142" s="392"/>
      <c r="BD142" s="297"/>
      <c r="BE142" s="297"/>
      <c r="BF142" s="297"/>
      <c r="BG142" s="297"/>
      <c r="BH142" s="390"/>
      <c r="BI142" s="392"/>
      <c r="BJ142" s="392"/>
      <c r="BK142" s="392"/>
      <c r="BL142" s="104">
        <f t="shared" si="213"/>
        <v>-8.1726785273728766E-195</v>
      </c>
      <c r="BM142" s="103">
        <f t="shared" si="214"/>
        <v>1.2033093722495699E-40</v>
      </c>
      <c r="BN142" s="100">
        <f t="shared" si="215"/>
        <v>57.519519538476466</v>
      </c>
      <c r="BO142" s="104">
        <f t="shared" si="216"/>
        <v>0.63775984413185793</v>
      </c>
      <c r="BP142" s="170">
        <f t="shared" si="234"/>
        <v>0.73342382075163659</v>
      </c>
      <c r="BQ142" s="104">
        <f t="shared" si="235"/>
        <v>0.28687663950211856</v>
      </c>
      <c r="BR142" s="104">
        <f t="shared" si="217"/>
        <v>0.28459514590261703</v>
      </c>
      <c r="BS142" s="104">
        <f t="shared" si="218"/>
        <v>0.68582250737459505</v>
      </c>
      <c r="BT142" s="104">
        <f t="shared" si="219"/>
        <v>0.69981888507611745</v>
      </c>
      <c r="BU142" s="100">
        <f t="shared" si="220"/>
        <v>0.8401187095751711</v>
      </c>
      <c r="BV142" s="100">
        <f t="shared" si="236"/>
        <v>0.42005935478758555</v>
      </c>
      <c r="BW142" s="100">
        <f t="shared" si="237"/>
        <v>0.42005935478758555</v>
      </c>
      <c r="BX142" s="104">
        <f t="shared" si="221"/>
        <v>4.000565283691291E-2</v>
      </c>
      <c r="BY142" s="104">
        <f t="shared" si="222"/>
        <v>3.2906513184406578E-6</v>
      </c>
      <c r="BZ142" s="104">
        <f t="shared" si="223"/>
        <v>3.2906513184406578E-6</v>
      </c>
      <c r="CA142" s="108">
        <f t="shared" si="224"/>
        <v>6.5813026368813156E-6</v>
      </c>
      <c r="CB142" s="402"/>
      <c r="CC142" s="277"/>
      <c r="CD142" s="277"/>
      <c r="CE142" s="277"/>
      <c r="CF142" s="117"/>
    </row>
    <row r="143" spans="3:85" s="109" customFormat="1" ht="15" customHeight="1" x14ac:dyDescent="0.25">
      <c r="C143" s="100">
        <v>4</v>
      </c>
      <c r="D143" s="379"/>
      <c r="E143" s="379"/>
      <c r="F143" s="163" t="s">
        <v>128</v>
      </c>
      <c r="G143" s="341"/>
      <c r="H143" s="101">
        <v>9.6527777777777796E-2</v>
      </c>
      <c r="I143" s="100">
        <v>-8.5349179999999993</v>
      </c>
      <c r="J143" s="100">
        <v>115.511346</v>
      </c>
      <c r="K143" s="100">
        <f t="shared" si="225"/>
        <v>-0.14896242048772937</v>
      </c>
      <c r="L143" s="100">
        <f t="shared" si="225"/>
        <v>2.0160533111103818</v>
      </c>
      <c r="M143" s="100">
        <v>3443</v>
      </c>
      <c r="N143" s="234">
        <f t="shared" si="226"/>
        <v>0.12001519529358783</v>
      </c>
      <c r="O143" s="331"/>
      <c r="P143" s="102">
        <f t="shared" si="227"/>
        <v>5.0000000000000488E-2</v>
      </c>
      <c r="Q143" s="339"/>
      <c r="R143" s="103">
        <f t="shared" si="228"/>
        <v>2.4003039058717333</v>
      </c>
      <c r="S143" s="347"/>
      <c r="T143" s="100">
        <f t="shared" si="200"/>
        <v>1.2347163291804195</v>
      </c>
      <c r="U143" s="165">
        <f t="shared" si="229"/>
        <v>-2.0474962578018891E-5</v>
      </c>
      <c r="V143" s="100">
        <f t="shared" si="230"/>
        <v>2.8693212902553E-5</v>
      </c>
      <c r="W143" s="100">
        <f t="shared" si="231"/>
        <v>2.1905797384667824</v>
      </c>
      <c r="X143" s="100">
        <f t="shared" si="238"/>
        <v>125.5109737010183</v>
      </c>
      <c r="Y143" s="165">
        <f t="shared" si="239"/>
        <v>-2.0245819323111425E-5</v>
      </c>
      <c r="Z143" s="166">
        <f t="shared" si="240"/>
        <v>1.6439999999988686E-3</v>
      </c>
      <c r="AA143" s="167">
        <f t="shared" si="241"/>
        <v>125.5109737010183</v>
      </c>
      <c r="AB143" s="100">
        <v>200</v>
      </c>
      <c r="AC143" s="100">
        <v>13</v>
      </c>
      <c r="AD143" s="100">
        <v>4</v>
      </c>
      <c r="AE143" s="169">
        <f t="shared" si="232"/>
        <v>74.489026298981699</v>
      </c>
      <c r="AF143" s="104">
        <f t="shared" si="201"/>
        <v>4.7212173977764199E-2</v>
      </c>
      <c r="AG143" s="382"/>
      <c r="AH143" s="385"/>
      <c r="AI143" s="388"/>
      <c r="AJ143" s="100">
        <f t="shared" si="202"/>
        <v>2.0603483681500352</v>
      </c>
      <c r="AK143" s="100">
        <f t="shared" si="233"/>
        <v>0.33</v>
      </c>
      <c r="AL143" s="104">
        <f t="shared" si="203"/>
        <v>17.587905559497941</v>
      </c>
      <c r="AM143" s="104">
        <f t="shared" si="204"/>
        <v>11.958280131167211</v>
      </c>
      <c r="AN143" s="104">
        <f t="shared" si="205"/>
        <v>2.7263255527581451</v>
      </c>
      <c r="AO143" s="104">
        <f t="shared" si="206"/>
        <v>1.4024218643387898</v>
      </c>
      <c r="AP143" s="104">
        <f t="shared" si="207"/>
        <v>5.362477476371693E-2</v>
      </c>
      <c r="AQ143" s="103">
        <f t="shared" si="208"/>
        <v>4.4020859934416824E-2</v>
      </c>
      <c r="AR143" s="100">
        <f t="shared" si="209"/>
        <v>82303747.796044141</v>
      </c>
      <c r="AS143" s="100">
        <f t="shared" si="210"/>
        <v>2.1433354628739897E-3</v>
      </c>
      <c r="AT143" s="104">
        <f t="shared" si="211"/>
        <v>69.639630333961833</v>
      </c>
      <c r="AU143" s="100">
        <f t="shared" si="212"/>
        <v>2689.3464474764942</v>
      </c>
      <c r="AV143" s="297"/>
      <c r="AW143" s="297"/>
      <c r="AX143" s="297"/>
      <c r="AY143" s="297"/>
      <c r="AZ143" s="297"/>
      <c r="BA143" s="392"/>
      <c r="BB143" s="392"/>
      <c r="BC143" s="392"/>
      <c r="BD143" s="297"/>
      <c r="BE143" s="297"/>
      <c r="BF143" s="297"/>
      <c r="BG143" s="297"/>
      <c r="BH143" s="390"/>
      <c r="BI143" s="392"/>
      <c r="BJ143" s="392"/>
      <c r="BK143" s="392"/>
      <c r="BL143" s="104">
        <f t="shared" si="213"/>
        <v>-9.0481191876749995E-16</v>
      </c>
      <c r="BM143" s="103">
        <f t="shared" si="214"/>
        <v>1.1216989471413179E-7</v>
      </c>
      <c r="BN143" s="100">
        <f t="shared" si="215"/>
        <v>739.42179973670238</v>
      </c>
      <c r="BO143" s="104">
        <f t="shared" si="216"/>
        <v>6.8655509213781807</v>
      </c>
      <c r="BP143" s="170">
        <f t="shared" si="234"/>
        <v>7.895383559584908</v>
      </c>
      <c r="BQ143" s="104">
        <f t="shared" si="235"/>
        <v>11.072658531302897</v>
      </c>
      <c r="BR143" s="104">
        <f t="shared" si="217"/>
        <v>1.0203895182060192</v>
      </c>
      <c r="BS143" s="104">
        <f t="shared" si="218"/>
        <v>26.470884664642671</v>
      </c>
      <c r="BT143" s="104">
        <f t="shared" si="219"/>
        <v>27.011106800655789</v>
      </c>
      <c r="BU143" s="100">
        <f t="shared" si="220"/>
        <v>32.426298680259052</v>
      </c>
      <c r="BV143" s="100">
        <f t="shared" si="236"/>
        <v>16.213149340129526</v>
      </c>
      <c r="BW143" s="100">
        <f t="shared" si="237"/>
        <v>16.213149340129526</v>
      </c>
      <c r="BX143" s="104">
        <f t="shared" si="221"/>
        <v>1.5441094609647166</v>
      </c>
      <c r="BY143" s="104">
        <f t="shared" si="222"/>
        <v>1.2789804629461429E-4</v>
      </c>
      <c r="BZ143" s="104">
        <f t="shared" si="223"/>
        <v>1.2789804629461429E-4</v>
      </c>
      <c r="CA143" s="108">
        <f t="shared" si="224"/>
        <v>2.5579609258922858E-4</v>
      </c>
      <c r="CB143" s="402"/>
      <c r="CC143" s="277"/>
      <c r="CD143" s="277"/>
      <c r="CE143" s="277"/>
      <c r="CF143" s="117"/>
    </row>
    <row r="144" spans="3:85" s="109" customFormat="1" ht="15" customHeight="1" x14ac:dyDescent="0.25">
      <c r="C144" s="100">
        <v>5</v>
      </c>
      <c r="D144" s="379"/>
      <c r="E144" s="379"/>
      <c r="F144" s="163" t="s">
        <v>128</v>
      </c>
      <c r="G144" s="342"/>
      <c r="H144" s="101">
        <v>9.8611111111111094E-2</v>
      </c>
      <c r="I144" s="100">
        <v>-8.5405630000000006</v>
      </c>
      <c r="J144" s="100">
        <v>115.52003000000001</v>
      </c>
      <c r="K144" s="100">
        <f t="shared" si="225"/>
        <v>-0.14906094432400449</v>
      </c>
      <c r="L144" s="100">
        <f t="shared" si="225"/>
        <v>2.0162048755026252</v>
      </c>
      <c r="M144" s="100">
        <v>3443</v>
      </c>
      <c r="N144" s="234">
        <f t="shared" si="226"/>
        <v>0.61755941619302612</v>
      </c>
      <c r="O144" s="331"/>
      <c r="P144" s="102">
        <f t="shared" si="227"/>
        <v>4.9999999999999156E-2</v>
      </c>
      <c r="Q144" s="339"/>
      <c r="R144" s="103">
        <f t="shared" si="228"/>
        <v>12.351188323860731</v>
      </c>
      <c r="S144" s="347"/>
      <c r="T144" s="100">
        <f t="shared" si="200"/>
        <v>6.3534512737939597</v>
      </c>
      <c r="U144" s="165">
        <f t="shared" si="229"/>
        <v>-9.9639827246114532E-5</v>
      </c>
      <c r="V144" s="100">
        <f t="shared" si="230"/>
        <v>1.5156439224339735E-4</v>
      </c>
      <c r="W144" s="100">
        <f t="shared" si="231"/>
        <v>2.1523625091024048</v>
      </c>
      <c r="X144" s="100">
        <f t="shared" si="238"/>
        <v>123.32128775375602</v>
      </c>
      <c r="Y144" s="165">
        <f t="shared" si="239"/>
        <v>-9.8523836275121734E-5</v>
      </c>
      <c r="Z144" s="166">
        <f t="shared" si="240"/>
        <v>8.6840000000023565E-3</v>
      </c>
      <c r="AA144" s="167">
        <f t="shared" si="241"/>
        <v>123.32128775375602</v>
      </c>
      <c r="AB144" s="100">
        <v>200</v>
      </c>
      <c r="AC144" s="100">
        <v>13</v>
      </c>
      <c r="AD144" s="100">
        <v>4</v>
      </c>
      <c r="AE144" s="169">
        <f t="shared" si="232"/>
        <v>76.678712246243975</v>
      </c>
      <c r="AF144" s="104">
        <f t="shared" si="201"/>
        <v>0.24293859229732201</v>
      </c>
      <c r="AG144" s="382"/>
      <c r="AH144" s="385"/>
      <c r="AI144" s="388"/>
      <c r="AJ144" s="100">
        <f t="shared" si="202"/>
        <v>1.0201676708708722</v>
      </c>
      <c r="AK144" s="100">
        <f t="shared" si="233"/>
        <v>0.33</v>
      </c>
      <c r="AL144" s="104">
        <f t="shared" si="203"/>
        <v>17.587905559497941</v>
      </c>
      <c r="AM144" s="104">
        <f t="shared" si="204"/>
        <v>5.9210621745428602</v>
      </c>
      <c r="AN144" s="104">
        <f t="shared" si="205"/>
        <v>13.128537172449432</v>
      </c>
      <c r="AO144" s="104">
        <f t="shared" si="206"/>
        <v>6.7533195215079873</v>
      </c>
      <c r="AP144" s="104">
        <f t="shared" si="207"/>
        <v>0.25822845996416471</v>
      </c>
      <c r="AQ144" s="103">
        <f t="shared" si="208"/>
        <v>4.7039468912727776E-2</v>
      </c>
      <c r="AR144" s="100">
        <f t="shared" si="209"/>
        <v>396331175.95920622</v>
      </c>
      <c r="AS144" s="100">
        <f t="shared" si="210"/>
        <v>1.7227766410869716E-3</v>
      </c>
      <c r="AT144" s="104">
        <f t="shared" si="211"/>
        <v>1297.9935376026658</v>
      </c>
      <c r="AU144" s="100">
        <f t="shared" si="212"/>
        <v>50125.974139423422</v>
      </c>
      <c r="AV144" s="297"/>
      <c r="AW144" s="297"/>
      <c r="AX144" s="297"/>
      <c r="AY144" s="297"/>
      <c r="AZ144" s="297"/>
      <c r="BA144" s="392"/>
      <c r="BB144" s="392"/>
      <c r="BC144" s="392"/>
      <c r="BD144" s="297"/>
      <c r="BE144" s="297"/>
      <c r="BF144" s="297"/>
      <c r="BG144" s="297"/>
      <c r="BH144" s="390"/>
      <c r="BI144" s="392"/>
      <c r="BJ144" s="392"/>
      <c r="BK144" s="392"/>
      <c r="BL144" s="104">
        <f t="shared" si="213"/>
        <v>-0.25581289375096794</v>
      </c>
      <c r="BM144" s="103">
        <f t="shared" si="214"/>
        <v>47461.537713911668</v>
      </c>
      <c r="BN144" s="100">
        <f t="shared" si="215"/>
        <v>17146.263697960851</v>
      </c>
      <c r="BO144" s="104">
        <f t="shared" si="216"/>
        <v>178.79100388052018</v>
      </c>
      <c r="BP144" s="170">
        <f t="shared" si="234"/>
        <v>205.6096544625982</v>
      </c>
      <c r="BQ144" s="104">
        <f t="shared" si="235"/>
        <v>1388.5476932927763</v>
      </c>
      <c r="BR144" s="104">
        <f t="shared" si="217"/>
        <v>4.913654463089677</v>
      </c>
      <c r="BS144" s="104">
        <f t="shared" si="218"/>
        <v>3319.535749847033</v>
      </c>
      <c r="BT144" s="104">
        <f t="shared" si="219"/>
        <v>3387.2813773949315</v>
      </c>
      <c r="BU144" s="100">
        <f t="shared" si="220"/>
        <v>4066.3641985533395</v>
      </c>
      <c r="BV144" s="100">
        <f t="shared" si="236"/>
        <v>2033.1820992766698</v>
      </c>
      <c r="BW144" s="100">
        <f t="shared" si="237"/>
        <v>2033.1820992766698</v>
      </c>
      <c r="BX144" s="104">
        <f t="shared" si="221"/>
        <v>193.63639040730186</v>
      </c>
      <c r="BY144" s="104">
        <f t="shared" si="222"/>
        <v>1.7138653262588836E-2</v>
      </c>
      <c r="BZ144" s="104">
        <f t="shared" si="223"/>
        <v>1.7138653262588836E-2</v>
      </c>
      <c r="CA144" s="108">
        <f t="shared" si="224"/>
        <v>3.4277306525177673E-2</v>
      </c>
      <c r="CB144" s="402"/>
      <c r="CC144" s="277"/>
      <c r="CD144" s="277"/>
      <c r="CE144" s="277"/>
      <c r="CF144" s="117"/>
    </row>
    <row r="145" spans="3:84" s="183" customFormat="1" ht="15.75" x14ac:dyDescent="0.25">
      <c r="C145" s="171">
        <v>6</v>
      </c>
      <c r="D145" s="379"/>
      <c r="E145" s="379"/>
      <c r="F145" s="172" t="s">
        <v>128</v>
      </c>
      <c r="G145" s="394">
        <v>0.10069444444444443</v>
      </c>
      <c r="H145" s="173">
        <v>0.100694444444444</v>
      </c>
      <c r="I145" s="171">
        <v>-8.5448649999999997</v>
      </c>
      <c r="J145" s="171">
        <v>115.52746999999999</v>
      </c>
      <c r="K145" s="171">
        <f t="shared" si="225"/>
        <v>-0.14913602838842527</v>
      </c>
      <c r="L145" s="171">
        <f t="shared" si="225"/>
        <v>2.0163347279989732</v>
      </c>
      <c r="M145" s="171">
        <v>3443</v>
      </c>
      <c r="N145" s="235">
        <f t="shared" si="226"/>
        <v>0.51215381223455092</v>
      </c>
      <c r="O145" s="358"/>
      <c r="P145" s="174">
        <f t="shared" si="227"/>
        <v>4.999999999998983E-2</v>
      </c>
      <c r="Q145" s="398"/>
      <c r="R145" s="175">
        <f t="shared" si="228"/>
        <v>10.243076244693102</v>
      </c>
      <c r="S145" s="348"/>
      <c r="T145" s="171">
        <f t="shared" si="200"/>
        <v>5.2690384202701308</v>
      </c>
      <c r="U145" s="176">
        <f t="shared" si="229"/>
        <v>-7.5935545552379839E-5</v>
      </c>
      <c r="V145" s="171">
        <f t="shared" si="230"/>
        <v>1.2985249634800411E-4</v>
      </c>
      <c r="W145" s="171">
        <f t="shared" si="231"/>
        <v>2.0999517850102052</v>
      </c>
      <c r="X145" s="171">
        <f t="shared" si="238"/>
        <v>120.31837446204837</v>
      </c>
      <c r="Y145" s="176">
        <f t="shared" si="239"/>
        <v>-7.5084064420777308E-5</v>
      </c>
      <c r="Z145" s="177">
        <f t="shared" si="240"/>
        <v>7.4399999999883448E-3</v>
      </c>
      <c r="AA145" s="178">
        <f t="shared" si="241"/>
        <v>120.31837446204837</v>
      </c>
      <c r="AB145" s="100">
        <v>200</v>
      </c>
      <c r="AC145" s="171">
        <v>13</v>
      </c>
      <c r="AD145" s="171">
        <v>4</v>
      </c>
      <c r="AE145" s="179">
        <f t="shared" si="232"/>
        <v>79.681625537951632</v>
      </c>
      <c r="AF145" s="180">
        <f t="shared" si="201"/>
        <v>0.20147361196594937</v>
      </c>
      <c r="AG145" s="382"/>
      <c r="AH145" s="385"/>
      <c r="AI145" s="388"/>
      <c r="AJ145" s="171">
        <f t="shared" si="202"/>
        <v>1.3025772917946492</v>
      </c>
      <c r="AK145" s="171">
        <f t="shared" si="233"/>
        <v>0.33</v>
      </c>
      <c r="AL145" s="180">
        <f t="shared" si="203"/>
        <v>17.587905559497941</v>
      </c>
      <c r="AM145" s="180">
        <f t="shared" si="204"/>
        <v>7.5601701093701914</v>
      </c>
      <c r="AN145" s="180">
        <f t="shared" si="205"/>
        <v>11.08080386648504</v>
      </c>
      <c r="AO145" s="180">
        <f t="shared" si="206"/>
        <v>5.6999655089199042</v>
      </c>
      <c r="AP145" s="180">
        <f t="shared" si="207"/>
        <v>0.21795108472648952</v>
      </c>
      <c r="AQ145" s="175">
        <f t="shared" si="208"/>
        <v>4.6219914945305508E-2</v>
      </c>
      <c r="AR145" s="171">
        <f t="shared" si="209"/>
        <v>334513127.34166312</v>
      </c>
      <c r="AS145" s="171">
        <f t="shared" si="210"/>
        <v>1.7618882228535638E-3</v>
      </c>
      <c r="AT145" s="180">
        <f t="shared" si="211"/>
        <v>945.65291903570824</v>
      </c>
      <c r="AU145" s="171">
        <f t="shared" si="212"/>
        <v>36519.267924864296</v>
      </c>
      <c r="AV145" s="297"/>
      <c r="AW145" s="297"/>
      <c r="AX145" s="297"/>
      <c r="AY145" s="297"/>
      <c r="AZ145" s="297"/>
      <c r="BA145" s="392"/>
      <c r="BB145" s="392"/>
      <c r="BC145" s="392"/>
      <c r="BD145" s="297"/>
      <c r="BE145" s="297"/>
      <c r="BF145" s="297"/>
      <c r="BG145" s="297"/>
      <c r="BH145" s="390"/>
      <c r="BI145" s="392"/>
      <c r="BJ145" s="392"/>
      <c r="BK145" s="392"/>
      <c r="BL145" s="180">
        <f t="shared" si="213"/>
        <v>-0.13962471097390625</v>
      </c>
      <c r="BM145" s="175">
        <f t="shared" si="214"/>
        <v>11826.847227860277</v>
      </c>
      <c r="BN145" s="171">
        <f t="shared" si="215"/>
        <v>12214.603050381247</v>
      </c>
      <c r="BO145" s="180">
        <f t="shared" si="216"/>
        <v>107.22959844017437</v>
      </c>
      <c r="BP145" s="181">
        <f t="shared" si="234"/>
        <v>123.31403820620052</v>
      </c>
      <c r="BQ145" s="180">
        <f t="shared" si="235"/>
        <v>702.88576454097426</v>
      </c>
      <c r="BR145" s="180">
        <f t="shared" si="217"/>
        <v>4.1472435700935879</v>
      </c>
      <c r="BS145" s="180">
        <f t="shared" si="218"/>
        <v>1680.3559825296973</v>
      </c>
      <c r="BT145" s="180">
        <f t="shared" si="219"/>
        <v>1714.6489617649972</v>
      </c>
      <c r="BU145" s="171">
        <f t="shared" si="220"/>
        <v>2058.4021149639825</v>
      </c>
      <c r="BV145" s="171">
        <f t="shared" si="236"/>
        <v>1029.2010574819913</v>
      </c>
      <c r="BW145" s="171">
        <f t="shared" si="237"/>
        <v>1029.2010574819913</v>
      </c>
      <c r="BX145" s="180">
        <f t="shared" si="221"/>
        <v>98.019148331618212</v>
      </c>
      <c r="BY145" s="180">
        <f t="shared" si="222"/>
        <v>8.5244696926477515E-3</v>
      </c>
      <c r="BZ145" s="180">
        <f t="shared" si="223"/>
        <v>8.5244696926477515E-3</v>
      </c>
      <c r="CA145" s="182">
        <f t="shared" si="224"/>
        <v>1.7048939385295503E-2</v>
      </c>
      <c r="CB145" s="402"/>
      <c r="CC145" s="276">
        <f>SUM(CA145:CA149)*1000</f>
        <v>53.251210083745363</v>
      </c>
      <c r="CD145" s="276">
        <v>41</v>
      </c>
      <c r="CE145" s="276">
        <f>AVERAGE(AN145:AN149)</f>
        <v>9.4991367842877565</v>
      </c>
      <c r="CF145" s="184"/>
    </row>
    <row r="146" spans="3:84" s="183" customFormat="1" ht="15.75" x14ac:dyDescent="0.25">
      <c r="C146" s="171">
        <v>7</v>
      </c>
      <c r="D146" s="379"/>
      <c r="E146" s="379"/>
      <c r="F146" s="172" t="s">
        <v>128</v>
      </c>
      <c r="G146" s="395"/>
      <c r="H146" s="173">
        <v>0.102777777777778</v>
      </c>
      <c r="I146" s="171">
        <v>-8.5488049999999998</v>
      </c>
      <c r="J146" s="171">
        <v>115.53231100000001</v>
      </c>
      <c r="K146" s="171">
        <f t="shared" si="225"/>
        <v>-0.14920479436095385</v>
      </c>
      <c r="L146" s="171">
        <f t="shared" si="225"/>
        <v>2.0164192193880628</v>
      </c>
      <c r="M146" s="171">
        <v>3443</v>
      </c>
      <c r="N146" s="235">
        <f t="shared" si="226"/>
        <v>0.37257456021402879</v>
      </c>
      <c r="O146" s="357">
        <f>SUM(N146:N150)</f>
        <v>2.0855908338153961</v>
      </c>
      <c r="P146" s="174">
        <f t="shared" si="227"/>
        <v>5.000000000001581E-2</v>
      </c>
      <c r="Q146" s="357">
        <f>SUM(P146:P150)</f>
        <v>0.25000000000000777</v>
      </c>
      <c r="R146" s="175">
        <f t="shared" si="228"/>
        <v>7.45149120427822</v>
      </c>
      <c r="S146" s="346">
        <f>AVERAGE(R146:R150)</f>
        <v>8.3423633352614335</v>
      </c>
      <c r="T146" s="171">
        <f t="shared" si="200"/>
        <v>3.833047075480716</v>
      </c>
      <c r="U146" s="176">
        <f t="shared" si="229"/>
        <v>-6.9546559793337432E-5</v>
      </c>
      <c r="V146" s="171">
        <f t="shared" si="230"/>
        <v>8.4491389089613733E-5</v>
      </c>
      <c r="W146" s="171">
        <f t="shared" si="231"/>
        <v>2.2594767608909843</v>
      </c>
      <c r="X146" s="171">
        <f t="shared" si="238"/>
        <v>129.45848230694327</v>
      </c>
      <c r="Y146" s="176">
        <f t="shared" si="239"/>
        <v>-6.8765972528583852E-5</v>
      </c>
      <c r="Z146" s="177">
        <f t="shared" si="240"/>
        <v>4.8410000000131959E-3</v>
      </c>
      <c r="AA146" s="178">
        <f t="shared" si="241"/>
        <v>129.45848230694327</v>
      </c>
      <c r="AB146" s="100">
        <v>200</v>
      </c>
      <c r="AC146" s="171">
        <v>13</v>
      </c>
      <c r="AD146" s="171">
        <v>4</v>
      </c>
      <c r="AE146" s="179">
        <f t="shared" si="232"/>
        <v>70.541517693056733</v>
      </c>
      <c r="AF146" s="180">
        <f t="shared" si="201"/>
        <v>0.14656523212313699</v>
      </c>
      <c r="AG146" s="382"/>
      <c r="AH146" s="385"/>
      <c r="AI146" s="388"/>
      <c r="AJ146" s="171">
        <f t="shared" si="202"/>
        <v>1.62521765719926</v>
      </c>
      <c r="AK146" s="171">
        <f t="shared" si="233"/>
        <v>0.33</v>
      </c>
      <c r="AL146" s="180">
        <f t="shared" si="203"/>
        <v>17.587905559497941</v>
      </c>
      <c r="AM146" s="180">
        <f t="shared" si="204"/>
        <v>9.4327776405881973</v>
      </c>
      <c r="AN146" s="180">
        <f t="shared" si="205"/>
        <v>8.2275805861720315</v>
      </c>
      <c r="AO146" s="180">
        <f t="shared" si="206"/>
        <v>4.2322674535268927</v>
      </c>
      <c r="AP146" s="180">
        <f t="shared" si="207"/>
        <v>0.16183032702659217</v>
      </c>
      <c r="AQ146" s="175">
        <f t="shared" si="208"/>
        <v>4.5283611179720212E-2</v>
      </c>
      <c r="AR146" s="171">
        <f t="shared" si="209"/>
        <v>248378524.29284096</v>
      </c>
      <c r="AS146" s="171">
        <f t="shared" si="210"/>
        <v>1.8338536596586008E-3</v>
      </c>
      <c r="AT146" s="180">
        <f t="shared" si="211"/>
        <v>542.65004713955568</v>
      </c>
      <c r="AU146" s="171">
        <f t="shared" si="212"/>
        <v>20956.084480908125</v>
      </c>
      <c r="AV146" s="297"/>
      <c r="AW146" s="297"/>
      <c r="AX146" s="297"/>
      <c r="AY146" s="297"/>
      <c r="AZ146" s="297"/>
      <c r="BA146" s="392"/>
      <c r="BB146" s="392"/>
      <c r="BC146" s="392"/>
      <c r="BD146" s="297"/>
      <c r="BE146" s="297"/>
      <c r="BF146" s="297"/>
      <c r="BG146" s="297"/>
      <c r="BH146" s="390"/>
      <c r="BI146" s="392"/>
      <c r="BJ146" s="392"/>
      <c r="BK146" s="392"/>
      <c r="BL146" s="180">
        <f t="shared" si="213"/>
        <v>-2.517153323958592E-2</v>
      </c>
      <c r="BM146" s="175">
        <f t="shared" si="214"/>
        <v>478.54197766604057</v>
      </c>
      <c r="BN146" s="171">
        <f t="shared" si="215"/>
        <v>6734.124041138346</v>
      </c>
      <c r="BO146" s="180">
        <f t="shared" si="216"/>
        <v>54.949051761215046</v>
      </c>
      <c r="BP146" s="181">
        <f t="shared" si="234"/>
        <v>63.191409525397304</v>
      </c>
      <c r="BQ146" s="180">
        <f t="shared" si="235"/>
        <v>267.44294587682828</v>
      </c>
      <c r="BR146" s="180">
        <f t="shared" si="217"/>
        <v>3.0793596831574113</v>
      </c>
      <c r="BS146" s="180">
        <f t="shared" si="218"/>
        <v>639.36328883112128</v>
      </c>
      <c r="BT146" s="180">
        <f t="shared" si="219"/>
        <v>652.41151921542985</v>
      </c>
      <c r="BU146" s="171">
        <f t="shared" si="220"/>
        <v>783.20710590087617</v>
      </c>
      <c r="BV146" s="171">
        <f t="shared" si="236"/>
        <v>391.60355295043809</v>
      </c>
      <c r="BW146" s="171">
        <f t="shared" si="237"/>
        <v>391.60355295043809</v>
      </c>
      <c r="BX146" s="180">
        <f t="shared" si="221"/>
        <v>37.295576471470291</v>
      </c>
      <c r="BY146" s="180">
        <f t="shared" si="222"/>
        <v>3.1777935666901067E-3</v>
      </c>
      <c r="BZ146" s="180">
        <f t="shared" si="223"/>
        <v>3.1777935666901067E-3</v>
      </c>
      <c r="CA146" s="182">
        <f t="shared" si="224"/>
        <v>6.3555871333802133E-3</v>
      </c>
      <c r="CB146" s="402"/>
      <c r="CC146" s="277"/>
      <c r="CD146" s="277"/>
      <c r="CE146" s="277"/>
      <c r="CF146" s="184"/>
    </row>
    <row r="147" spans="3:84" s="183" customFormat="1" ht="15.75" x14ac:dyDescent="0.25">
      <c r="C147" s="171">
        <v>8</v>
      </c>
      <c r="D147" s="379"/>
      <c r="E147" s="379"/>
      <c r="F147" s="172" t="s">
        <v>128</v>
      </c>
      <c r="G147" s="395"/>
      <c r="H147" s="173">
        <v>0.104861111111111</v>
      </c>
      <c r="I147" s="171">
        <v>-8.5532570000000003</v>
      </c>
      <c r="J147" s="171">
        <v>115.53908199999999</v>
      </c>
      <c r="K147" s="171">
        <f t="shared" si="225"/>
        <v>-0.14928249641925265</v>
      </c>
      <c r="L147" s="171">
        <f t="shared" si="225"/>
        <v>2.016537395631715</v>
      </c>
      <c r="M147" s="171">
        <v>3443</v>
      </c>
      <c r="N147" s="235">
        <f t="shared" si="226"/>
        <v>0.4831802649253375</v>
      </c>
      <c r="O147" s="331"/>
      <c r="P147" s="174">
        <f t="shared" si="227"/>
        <v>4.9999999999992162E-2</v>
      </c>
      <c r="Q147" s="331"/>
      <c r="R147" s="175">
        <f t="shared" si="228"/>
        <v>9.6636052985082657</v>
      </c>
      <c r="S147" s="347"/>
      <c r="T147" s="171">
        <f t="shared" si="200"/>
        <v>4.9709585655526514</v>
      </c>
      <c r="U147" s="176">
        <f t="shared" si="229"/>
        <v>-7.8584952100829009E-5</v>
      </c>
      <c r="V147" s="171">
        <f t="shared" si="230"/>
        <v>1.1817624365217938E-4</v>
      </c>
      <c r="W147" s="171">
        <f t="shared" si="231"/>
        <v>2.1576309953724016</v>
      </c>
      <c r="X147" s="171">
        <f t="shared" si="238"/>
        <v>123.62314978144947</v>
      </c>
      <c r="Y147" s="176">
        <f t="shared" si="239"/>
        <v>-7.7702058298795285E-5</v>
      </c>
      <c r="Z147" s="177">
        <f t="shared" si="240"/>
        <v>6.7709999999863157E-3</v>
      </c>
      <c r="AA147" s="178">
        <f t="shared" si="241"/>
        <v>123.62314978144947</v>
      </c>
      <c r="AB147" s="100">
        <v>200</v>
      </c>
      <c r="AC147" s="171">
        <v>13</v>
      </c>
      <c r="AD147" s="171">
        <v>4</v>
      </c>
      <c r="AE147" s="179">
        <f t="shared" si="232"/>
        <v>76.37685021855053</v>
      </c>
      <c r="AF147" s="180">
        <f t="shared" si="201"/>
        <v>0.19007585393230475</v>
      </c>
      <c r="AG147" s="382"/>
      <c r="AH147" s="385"/>
      <c r="AI147" s="388"/>
      <c r="AJ147" s="171">
        <f t="shared" si="202"/>
        <v>1.3743607117627183</v>
      </c>
      <c r="AK147" s="171">
        <f t="shared" ref="AK147:AK203" si="242">IF(AND(AE147&gt;=0,AE147&lt;=30),2/2,IF(AND(AE147&gt;=30,AE147&lt;=60),(1.7-0.03*(AD147-4)^2)/2,IF(AND(AE147&gt;=60,AE147&lt;=150),(0.9-0.06*(AD147-6)^2)/2,IF(AND(AE147&gt;=150,AE147&lt;=180),(0.4-0.03*(AD147-8)^2)/2))))</f>
        <v>0.33</v>
      </c>
      <c r="AL147" s="180">
        <f t="shared" si="203"/>
        <v>17.587905559497941</v>
      </c>
      <c r="AM147" s="180">
        <f t="shared" si="204"/>
        <v>7.9768017130451296</v>
      </c>
      <c r="AN147" s="180">
        <f t="shared" si="205"/>
        <v>10.501270851698022</v>
      </c>
      <c r="AO147" s="180">
        <f t="shared" si="206"/>
        <v>5.4018537261134627</v>
      </c>
      <c r="AP147" s="180">
        <f t="shared" si="207"/>
        <v>0.20655210585008515</v>
      </c>
      <c r="AQ147" s="175">
        <f t="shared" si="208"/>
        <v>4.6011599143470222E-2</v>
      </c>
      <c r="AR147" s="171">
        <f t="shared" si="209"/>
        <v>317017880.29009318</v>
      </c>
      <c r="AS147" s="171">
        <f t="shared" si="210"/>
        <v>1.7745561291988342E-3</v>
      </c>
      <c r="AT147" s="180">
        <f t="shared" si="211"/>
        <v>855.42973039827837</v>
      </c>
      <c r="AU147" s="171">
        <f t="shared" si="212"/>
        <v>33035.024676035013</v>
      </c>
      <c r="AV147" s="297"/>
      <c r="AW147" s="297"/>
      <c r="AX147" s="297"/>
      <c r="AY147" s="297"/>
      <c r="AZ147" s="297"/>
      <c r="BA147" s="392"/>
      <c r="BB147" s="392"/>
      <c r="BC147" s="392"/>
      <c r="BD147" s="297"/>
      <c r="BE147" s="297"/>
      <c r="BF147" s="297"/>
      <c r="BG147" s="297"/>
      <c r="BH147" s="390"/>
      <c r="BI147" s="392"/>
      <c r="BJ147" s="392"/>
      <c r="BK147" s="392"/>
      <c r="BL147" s="180">
        <f t="shared" si="213"/>
        <v>-0.10996848026815073</v>
      </c>
      <c r="BM147" s="175">
        <f t="shared" si="214"/>
        <v>7051.0713612440222</v>
      </c>
      <c r="BN147" s="171">
        <f t="shared" si="215"/>
        <v>10970.351484829907</v>
      </c>
      <c r="BO147" s="180">
        <f t="shared" si="216"/>
        <v>93.272726704003603</v>
      </c>
      <c r="BP147" s="181">
        <f t="shared" si="234"/>
        <v>107.26363570960415</v>
      </c>
      <c r="BQ147" s="180">
        <f t="shared" si="235"/>
        <v>579.42247023440223</v>
      </c>
      <c r="BR147" s="180">
        <f t="shared" si="217"/>
        <v>3.9303401217344018</v>
      </c>
      <c r="BS147" s="180">
        <f t="shared" si="218"/>
        <v>1385.1980839395073</v>
      </c>
      <c r="BT147" s="180">
        <f t="shared" si="219"/>
        <v>1413.467432591334</v>
      </c>
      <c r="BU147" s="171">
        <f t="shared" si="220"/>
        <v>1696.8396549715894</v>
      </c>
      <c r="BV147" s="171">
        <f t="shared" si="236"/>
        <v>848.41982748579471</v>
      </c>
      <c r="BW147" s="171">
        <f t="shared" si="237"/>
        <v>848.41982748579471</v>
      </c>
      <c r="BX147" s="180">
        <f t="shared" si="221"/>
        <v>80.80188833198045</v>
      </c>
      <c r="BY147" s="180">
        <f t="shared" si="222"/>
        <v>6.9954578189706179E-3</v>
      </c>
      <c r="BZ147" s="180">
        <f t="shared" si="223"/>
        <v>6.9954578189706179E-3</v>
      </c>
      <c r="CA147" s="182">
        <f t="shared" si="224"/>
        <v>1.3990915637941236E-2</v>
      </c>
      <c r="CB147" s="402"/>
      <c r="CC147" s="277"/>
      <c r="CD147" s="277"/>
      <c r="CE147" s="277"/>
      <c r="CF147" s="184"/>
    </row>
    <row r="148" spans="3:84" s="183" customFormat="1" ht="15.75" x14ac:dyDescent="0.25">
      <c r="C148" s="171">
        <v>9</v>
      </c>
      <c r="D148" s="379"/>
      <c r="E148" s="379"/>
      <c r="F148" s="172" t="s">
        <v>128</v>
      </c>
      <c r="G148" s="395"/>
      <c r="H148" s="173">
        <v>0.106944444444444</v>
      </c>
      <c r="I148" s="171">
        <v>-8.5570430000000002</v>
      </c>
      <c r="J148" s="171">
        <v>115.544588</v>
      </c>
      <c r="K148" s="171">
        <f t="shared" si="225"/>
        <v>-0.14934857458473313</v>
      </c>
      <c r="L148" s="171">
        <f t="shared" si="225"/>
        <v>2.0166334934603301</v>
      </c>
      <c r="M148" s="171">
        <v>3443</v>
      </c>
      <c r="N148" s="235">
        <f t="shared" si="226"/>
        <v>0.39850774859565136</v>
      </c>
      <c r="O148" s="331"/>
      <c r="P148" s="174">
        <f t="shared" si="227"/>
        <v>4.9999999999991829E-2</v>
      </c>
      <c r="Q148" s="331"/>
      <c r="R148" s="175">
        <f t="shared" si="228"/>
        <v>7.9701549719143294</v>
      </c>
      <c r="S148" s="347"/>
      <c r="T148" s="171">
        <f t="shared" si="200"/>
        <v>4.0998477175527306</v>
      </c>
      <c r="U148" s="176">
        <f t="shared" si="229"/>
        <v>-6.6829708654841141E-5</v>
      </c>
      <c r="V148" s="171">
        <f t="shared" si="230"/>
        <v>9.6097828615082648E-5</v>
      </c>
      <c r="W148" s="171">
        <f t="shared" si="231"/>
        <v>2.1784513629929485</v>
      </c>
      <c r="X148" s="171">
        <f t="shared" si="238"/>
        <v>124.81606897401764</v>
      </c>
      <c r="Y148" s="176">
        <f t="shared" si="239"/>
        <v>-6.6078165480487616E-5</v>
      </c>
      <c r="Z148" s="177">
        <f t="shared" si="240"/>
        <v>5.5060000000111131E-3</v>
      </c>
      <c r="AA148" s="178">
        <f t="shared" si="241"/>
        <v>124.81606897401764</v>
      </c>
      <c r="AB148" s="100">
        <v>200</v>
      </c>
      <c r="AC148" s="171">
        <v>13</v>
      </c>
      <c r="AD148" s="171">
        <v>4</v>
      </c>
      <c r="AE148" s="179">
        <f t="shared" si="232"/>
        <v>75.183931025982361</v>
      </c>
      <c r="AF148" s="180">
        <f t="shared" si="201"/>
        <v>0.15676695865188897</v>
      </c>
      <c r="AG148" s="382"/>
      <c r="AH148" s="385"/>
      <c r="AI148" s="388"/>
      <c r="AJ148" s="171">
        <f t="shared" si="202"/>
        <v>1.5696965739181361</v>
      </c>
      <c r="AK148" s="171">
        <f t="shared" si="242"/>
        <v>0.33</v>
      </c>
      <c r="AL148" s="180">
        <f t="shared" si="203"/>
        <v>17.587905559497941</v>
      </c>
      <c r="AM148" s="180">
        <f t="shared" si="204"/>
        <v>9.1105327827160867</v>
      </c>
      <c r="AN148" s="180">
        <f t="shared" si="205"/>
        <v>8.7690633644716662</v>
      </c>
      <c r="AO148" s="180">
        <f t="shared" si="206"/>
        <v>4.5108061946842248</v>
      </c>
      <c r="AP148" s="180">
        <f t="shared" si="207"/>
        <v>0.17248088634639672</v>
      </c>
      <c r="AQ148" s="175">
        <f t="shared" si="208"/>
        <v>4.5444733608634533E-2</v>
      </c>
      <c r="AR148" s="171">
        <f t="shared" si="209"/>
        <v>264725090.81934699</v>
      </c>
      <c r="AS148" s="171">
        <f t="shared" si="210"/>
        <v>1.8180805798178386E-3</v>
      </c>
      <c r="AT148" s="180">
        <f t="shared" si="211"/>
        <v>611.12552540399861</v>
      </c>
      <c r="AU148" s="171">
        <f t="shared" si="212"/>
        <v>23600.473650216009</v>
      </c>
      <c r="AV148" s="297"/>
      <c r="AW148" s="297"/>
      <c r="AX148" s="297"/>
      <c r="AY148" s="297"/>
      <c r="AZ148" s="297"/>
      <c r="BA148" s="392"/>
      <c r="BB148" s="392"/>
      <c r="BC148" s="392"/>
      <c r="BD148" s="297"/>
      <c r="BE148" s="297"/>
      <c r="BF148" s="297"/>
      <c r="BG148" s="297"/>
      <c r="BH148" s="390"/>
      <c r="BI148" s="392"/>
      <c r="BJ148" s="392"/>
      <c r="BK148" s="392"/>
      <c r="BL148" s="180">
        <f t="shared" si="213"/>
        <v>-3.9754354788454627E-2</v>
      </c>
      <c r="BM148" s="175">
        <f t="shared" si="214"/>
        <v>1007.3018814272219</v>
      </c>
      <c r="BN148" s="171">
        <f t="shared" si="215"/>
        <v>7649.6794815423182</v>
      </c>
      <c r="BO148" s="180">
        <f t="shared" si="216"/>
        <v>62.417086925470549</v>
      </c>
      <c r="BP148" s="181">
        <f t="shared" si="234"/>
        <v>71.779649964291139</v>
      </c>
      <c r="BQ148" s="180">
        <f t="shared" si="235"/>
        <v>323.78408971118978</v>
      </c>
      <c r="BR148" s="180">
        <f t="shared" si="217"/>
        <v>3.2820219626885736</v>
      </c>
      <c r="BS148" s="180">
        <f t="shared" si="218"/>
        <v>774.05541503524591</v>
      </c>
      <c r="BT148" s="180">
        <f t="shared" si="219"/>
        <v>789.85246432167946</v>
      </c>
      <c r="BU148" s="171">
        <f t="shared" si="220"/>
        <v>948.20223808124786</v>
      </c>
      <c r="BV148" s="171">
        <f t="shared" si="236"/>
        <v>474.10111904062393</v>
      </c>
      <c r="BW148" s="171">
        <f t="shared" si="237"/>
        <v>474.10111904062393</v>
      </c>
      <c r="BX148" s="180">
        <f t="shared" si="221"/>
        <v>45.152487527678467</v>
      </c>
      <c r="BY148" s="180">
        <f t="shared" si="222"/>
        <v>3.8609355112575175E-3</v>
      </c>
      <c r="BZ148" s="180">
        <f t="shared" si="223"/>
        <v>3.8609355112575175E-3</v>
      </c>
      <c r="CA148" s="182">
        <f t="shared" si="224"/>
        <v>7.7218710225150349E-3</v>
      </c>
      <c r="CB148" s="402"/>
      <c r="CC148" s="277"/>
      <c r="CD148" s="277"/>
      <c r="CE148" s="277"/>
      <c r="CF148" s="184"/>
    </row>
    <row r="149" spans="3:84" s="183" customFormat="1" ht="15.75" x14ac:dyDescent="0.25">
      <c r="C149" s="171">
        <v>10</v>
      </c>
      <c r="D149" s="379"/>
      <c r="E149" s="379"/>
      <c r="F149" s="172" t="s">
        <v>128</v>
      </c>
      <c r="G149" s="396"/>
      <c r="H149" s="173">
        <v>0.109027777777778</v>
      </c>
      <c r="I149" s="171">
        <v>-8.5609129999999993</v>
      </c>
      <c r="J149" s="171">
        <v>115.55018099999999</v>
      </c>
      <c r="K149" s="171">
        <f t="shared" si="225"/>
        <v>-0.14941611882678529</v>
      </c>
      <c r="L149" s="171">
        <f t="shared" si="225"/>
        <v>2.0167311097253937</v>
      </c>
      <c r="M149" s="171">
        <v>3443</v>
      </c>
      <c r="N149" s="235">
        <f t="shared" si="226"/>
        <v>0.40563300616283049</v>
      </c>
      <c r="O149" s="331"/>
      <c r="P149" s="174">
        <f t="shared" si="227"/>
        <v>5.0000000000016143E-2</v>
      </c>
      <c r="Q149" s="331"/>
      <c r="R149" s="175">
        <f t="shared" si="228"/>
        <v>8.1126601232539901</v>
      </c>
      <c r="S149" s="347"/>
      <c r="T149" s="171">
        <f t="shared" si="200"/>
        <v>4.173152367401852</v>
      </c>
      <c r="U149" s="176">
        <f t="shared" si="229"/>
        <v>-6.8313150187622465E-5</v>
      </c>
      <c r="V149" s="171">
        <f t="shared" si="230"/>
        <v>9.7616265063660279E-5</v>
      </c>
      <c r="W149" s="171">
        <f t="shared" si="231"/>
        <v>2.1813969066625734</v>
      </c>
      <c r="X149" s="171">
        <f t="shared" si="238"/>
        <v>124.98483619465863</v>
      </c>
      <c r="Y149" s="176">
        <f t="shared" si="239"/>
        <v>-6.7544242052158809E-5</v>
      </c>
      <c r="Z149" s="177">
        <f t="shared" si="240"/>
        <v>5.5929999999904112E-3</v>
      </c>
      <c r="AA149" s="178">
        <f t="shared" si="241"/>
        <v>124.98483619465863</v>
      </c>
      <c r="AB149" s="100">
        <v>200</v>
      </c>
      <c r="AC149" s="171">
        <v>13</v>
      </c>
      <c r="AD149" s="171">
        <v>4</v>
      </c>
      <c r="AE149" s="179">
        <f t="shared" si="232"/>
        <v>75.015163805341373</v>
      </c>
      <c r="AF149" s="180">
        <f t="shared" si="201"/>
        <v>0.1595699278847921</v>
      </c>
      <c r="AG149" s="382"/>
      <c r="AH149" s="385"/>
      <c r="AI149" s="388"/>
      <c r="AJ149" s="171">
        <f t="shared" si="202"/>
        <v>1.5540883300019899</v>
      </c>
      <c r="AK149" s="171">
        <f t="shared" si="242"/>
        <v>0.33</v>
      </c>
      <c r="AL149" s="180">
        <f t="shared" si="203"/>
        <v>17.587905559497941</v>
      </c>
      <c r="AM149" s="180">
        <f t="shared" si="204"/>
        <v>9.0199423971336472</v>
      </c>
      <c r="AN149" s="180">
        <f t="shared" si="205"/>
        <v>8.9169652526120178</v>
      </c>
      <c r="AO149" s="180">
        <f t="shared" si="206"/>
        <v>4.586886925943622</v>
      </c>
      <c r="AP149" s="180">
        <f t="shared" si="207"/>
        <v>0.17539000533647151</v>
      </c>
      <c r="AQ149" s="175">
        <f t="shared" si="208"/>
        <v>4.5490028801447861E-2</v>
      </c>
      <c r="AR149" s="171">
        <f t="shared" si="209"/>
        <v>269190030.70436823</v>
      </c>
      <c r="AS149" s="171">
        <f t="shared" si="210"/>
        <v>1.8139752257506432E-3</v>
      </c>
      <c r="AT149" s="180">
        <f t="shared" si="211"/>
        <v>630.48735278731158</v>
      </c>
      <c r="AU149" s="171">
        <f t="shared" si="212"/>
        <v>24348.18959069785</v>
      </c>
      <c r="AV149" s="297"/>
      <c r="AW149" s="297"/>
      <c r="AX149" s="297"/>
      <c r="AY149" s="297"/>
      <c r="AZ149" s="297"/>
      <c r="BA149" s="392"/>
      <c r="BB149" s="392"/>
      <c r="BC149" s="392"/>
      <c r="BD149" s="297"/>
      <c r="BE149" s="297"/>
      <c r="BF149" s="297"/>
      <c r="BG149" s="297"/>
      <c r="BH149" s="390"/>
      <c r="BI149" s="392"/>
      <c r="BJ149" s="392"/>
      <c r="BK149" s="392"/>
      <c r="BL149" s="180">
        <f t="shared" si="213"/>
        <v>-4.4402788933064971E-2</v>
      </c>
      <c r="BM149" s="175">
        <f t="shared" si="214"/>
        <v>1219.403766941628</v>
      </c>
      <c r="BN149" s="171">
        <f t="shared" si="215"/>
        <v>7909.8995962373683</v>
      </c>
      <c r="BO149" s="180">
        <f t="shared" si="216"/>
        <v>64.592649652405854</v>
      </c>
      <c r="BP149" s="181">
        <f t="shared" si="234"/>
        <v>74.281547100266735</v>
      </c>
      <c r="BQ149" s="180">
        <f t="shared" si="235"/>
        <v>340.72105723307885</v>
      </c>
      <c r="BR149" s="180">
        <f t="shared" si="217"/>
        <v>3.3373776175657452</v>
      </c>
      <c r="BS149" s="180">
        <f t="shared" si="218"/>
        <v>814.54582775530378</v>
      </c>
      <c r="BT149" s="180">
        <f t="shared" si="219"/>
        <v>831.169211995208</v>
      </c>
      <c r="BU149" s="171">
        <f t="shared" si="220"/>
        <v>997.80217526435536</v>
      </c>
      <c r="BV149" s="171">
        <f t="shared" si="236"/>
        <v>498.90108763217768</v>
      </c>
      <c r="BW149" s="171">
        <f t="shared" si="237"/>
        <v>498.90108763217768</v>
      </c>
      <c r="BX149" s="180">
        <f t="shared" si="221"/>
        <v>47.514389298302632</v>
      </c>
      <c r="BY149" s="180">
        <f t="shared" si="222"/>
        <v>4.0669484523066877E-3</v>
      </c>
      <c r="BZ149" s="180">
        <f t="shared" si="223"/>
        <v>4.0669484523066877E-3</v>
      </c>
      <c r="CA149" s="182">
        <f t="shared" si="224"/>
        <v>8.1338969046133754E-3</v>
      </c>
      <c r="CB149" s="402"/>
      <c r="CC149" s="277"/>
      <c r="CD149" s="277"/>
      <c r="CE149" s="277"/>
      <c r="CF149" s="184"/>
    </row>
    <row r="150" spans="3:84" s="109" customFormat="1" ht="15.75" x14ac:dyDescent="0.25">
      <c r="C150" s="100">
        <v>11</v>
      </c>
      <c r="D150" s="379"/>
      <c r="E150" s="379"/>
      <c r="F150" s="163" t="s">
        <v>128</v>
      </c>
      <c r="G150" s="340">
        <v>0.1111111111111111</v>
      </c>
      <c r="H150" s="101">
        <v>0.11111111111111099</v>
      </c>
      <c r="I150" s="100">
        <v>-8.5648569999999999</v>
      </c>
      <c r="J150" s="100">
        <v>115.55613200000001</v>
      </c>
      <c r="K150" s="100">
        <f t="shared" si="225"/>
        <v>-0.14948495461248398</v>
      </c>
      <c r="L150" s="100">
        <f t="shared" si="225"/>
        <v>2.0168349742691802</v>
      </c>
      <c r="M150" s="100">
        <v>3443</v>
      </c>
      <c r="N150" s="234">
        <f t="shared" si="226"/>
        <v>0.4256952539175482</v>
      </c>
      <c r="O150" s="358"/>
      <c r="P150" s="102">
        <f t="shared" si="227"/>
        <v>4.9999999999991829E-2</v>
      </c>
      <c r="Q150" s="358"/>
      <c r="R150" s="103">
        <f t="shared" si="228"/>
        <v>8.5139050783523551</v>
      </c>
      <c r="S150" s="348"/>
      <c r="T150" s="100">
        <f t="shared" si="200"/>
        <v>4.3795527723044509</v>
      </c>
      <c r="U150" s="165">
        <f t="shared" si="229"/>
        <v>-6.9620114999174043E-5</v>
      </c>
      <c r="V150" s="100">
        <f t="shared" si="230"/>
        <v>1.0386454378652488E-4</v>
      </c>
      <c r="W150" s="100">
        <f t="shared" si="231"/>
        <v>2.1613081807497081</v>
      </c>
      <c r="X150" s="100">
        <f t="shared" si="238"/>
        <v>123.83383698405635</v>
      </c>
      <c r="Y150" s="165">
        <f t="shared" si="239"/>
        <v>-6.8835785698689866E-5</v>
      </c>
      <c r="Z150" s="166">
        <f t="shared" si="240"/>
        <v>5.9510000000102536E-3</v>
      </c>
      <c r="AA150" s="167">
        <f t="shared" si="241"/>
        <v>123.83383698405635</v>
      </c>
      <c r="AB150" s="100">
        <v>200</v>
      </c>
      <c r="AC150" s="100">
        <v>13</v>
      </c>
      <c r="AD150" s="100">
        <v>4</v>
      </c>
      <c r="AE150" s="169">
        <f t="shared" si="232"/>
        <v>76.166163015943653</v>
      </c>
      <c r="AF150" s="104">
        <f t="shared" si="201"/>
        <v>0.16746211461225749</v>
      </c>
      <c r="AG150" s="382"/>
      <c r="AH150" s="385"/>
      <c r="AI150" s="388"/>
      <c r="AJ150" s="100">
        <f t="shared" si="202"/>
        <v>1.5093221831143906</v>
      </c>
      <c r="AK150" s="100">
        <f t="shared" si="242"/>
        <v>0.33</v>
      </c>
      <c r="AL150" s="104">
        <f t="shared" si="203"/>
        <v>17.587905559497941</v>
      </c>
      <c r="AM150" s="104">
        <f t="shared" si="204"/>
        <v>8.7601192851054819</v>
      </c>
      <c r="AN150" s="104">
        <f t="shared" si="205"/>
        <v>9.3313417462222716</v>
      </c>
      <c r="AO150" s="104">
        <f t="shared" si="206"/>
        <v>4.8000421942567364</v>
      </c>
      <c r="AP150" s="104">
        <f t="shared" si="207"/>
        <v>0.18354047955799227</v>
      </c>
      <c r="AQ150" s="103">
        <f t="shared" si="208"/>
        <v>4.5619940357439805E-2</v>
      </c>
      <c r="AR150" s="100">
        <f t="shared" si="209"/>
        <v>281699445.9457742</v>
      </c>
      <c r="AS150" s="100">
        <f t="shared" si="210"/>
        <v>1.8028959115254145E-3</v>
      </c>
      <c r="AT150" s="104">
        <f t="shared" si="211"/>
        <v>686.23003651180534</v>
      </c>
      <c r="AU150" s="100">
        <f t="shared" si="212"/>
        <v>26500.863114786967</v>
      </c>
      <c r="AV150" s="297"/>
      <c r="AW150" s="297"/>
      <c r="AX150" s="297"/>
      <c r="AY150" s="297"/>
      <c r="AZ150" s="297"/>
      <c r="BA150" s="392"/>
      <c r="BB150" s="392"/>
      <c r="BC150" s="392"/>
      <c r="BD150" s="297"/>
      <c r="BE150" s="297"/>
      <c r="BF150" s="297"/>
      <c r="BG150" s="297"/>
      <c r="BH150" s="390"/>
      <c r="BI150" s="392"/>
      <c r="BJ150" s="392"/>
      <c r="BK150" s="392"/>
      <c r="BL150" s="104">
        <f t="shared" si="213"/>
        <v>-5.8886277963877805E-2</v>
      </c>
      <c r="BM150" s="103">
        <f t="shared" si="214"/>
        <v>2029.8437908818717</v>
      </c>
      <c r="BN150" s="100">
        <f t="shared" si="215"/>
        <v>8662.1362861228845</v>
      </c>
      <c r="BO150" s="104">
        <f t="shared" si="216"/>
        <v>71.058954895550272</v>
      </c>
      <c r="BP150" s="170">
        <f t="shared" si="234"/>
        <v>81.717798129882809</v>
      </c>
      <c r="BQ150" s="104">
        <f t="shared" si="235"/>
        <v>392.2488790451917</v>
      </c>
      <c r="BR150" s="104">
        <f t="shared" si="217"/>
        <v>3.4924674711025343</v>
      </c>
      <c r="BS150" s="104">
        <f t="shared" si="218"/>
        <v>937.73097108403977</v>
      </c>
      <c r="BT150" s="104">
        <f t="shared" si="219"/>
        <v>956.86833784085695</v>
      </c>
      <c r="BU150" s="100">
        <f t="shared" si="220"/>
        <v>1148.7014860034299</v>
      </c>
      <c r="BV150" s="100">
        <f t="shared" si="236"/>
        <v>574.35074300171493</v>
      </c>
      <c r="BW150" s="100">
        <f t="shared" si="237"/>
        <v>574.35074300171493</v>
      </c>
      <c r="BX150" s="104">
        <f t="shared" si="221"/>
        <v>54.700070762068087</v>
      </c>
      <c r="BY150" s="104">
        <f t="shared" si="222"/>
        <v>4.6953709178861134E-3</v>
      </c>
      <c r="BZ150" s="104">
        <f t="shared" si="223"/>
        <v>4.6953709178861134E-3</v>
      </c>
      <c r="CA150" s="108">
        <f t="shared" si="224"/>
        <v>9.3907418357722268E-3</v>
      </c>
      <c r="CB150" s="402"/>
      <c r="CC150" s="276">
        <f t="shared" ref="CC150" si="243">SUM(CA150:CA154)*1000</f>
        <v>64.766875689578967</v>
      </c>
      <c r="CD150" s="276">
        <v>40</v>
      </c>
      <c r="CE150" s="276">
        <f t="shared" ref="CE150" si="244">AVERAGE(AN150:AN154)</f>
        <v>9.9524898277448379</v>
      </c>
      <c r="CF150" s="117"/>
    </row>
    <row r="151" spans="3:84" s="109" customFormat="1" ht="15.75" x14ac:dyDescent="0.25">
      <c r="C151" s="100">
        <v>12</v>
      </c>
      <c r="D151" s="379"/>
      <c r="E151" s="379"/>
      <c r="F151" s="163" t="s">
        <v>128</v>
      </c>
      <c r="G151" s="341"/>
      <c r="H151" s="101">
        <v>0.113194444444444</v>
      </c>
      <c r="I151" s="100">
        <v>-8.5690690000000007</v>
      </c>
      <c r="J151" s="100">
        <v>115.563985</v>
      </c>
      <c r="K151" s="100">
        <f t="shared" si="225"/>
        <v>-0.149558467880578</v>
      </c>
      <c r="L151" s="100">
        <f t="shared" si="225"/>
        <v>2.0169720349753391</v>
      </c>
      <c r="M151" s="100">
        <v>3443</v>
      </c>
      <c r="N151" s="234">
        <f t="shared" si="226"/>
        <v>0.53085849053068845</v>
      </c>
      <c r="O151" s="357">
        <f t="shared" ref="O151" si="245">SUM(N151:N155)</f>
        <v>2.4011788650929695</v>
      </c>
      <c r="P151" s="102">
        <f t="shared" si="227"/>
        <v>4.9999999999992162E-2</v>
      </c>
      <c r="Q151" s="357">
        <f t="shared" ref="Q151" si="246">SUM(P151:P155)</f>
        <v>0.2500000000000081</v>
      </c>
      <c r="R151" s="103">
        <f t="shared" si="228"/>
        <v>10.617169810615433</v>
      </c>
      <c r="S151" s="346">
        <f t="shared" ref="S151" si="247">AVERAGE(R151:R155)</f>
        <v>9.604715460371585</v>
      </c>
      <c r="T151" s="100">
        <f t="shared" si="200"/>
        <v>5.4614721505805788</v>
      </c>
      <c r="U151" s="165">
        <f t="shared" si="229"/>
        <v>-7.4351694930837464E-5</v>
      </c>
      <c r="V151" s="100">
        <f t="shared" si="230"/>
        <v>1.3706070615882027E-4</v>
      </c>
      <c r="W151" s="100">
        <f t="shared" si="231"/>
        <v>2.0678420782911129</v>
      </c>
      <c r="X151" s="100">
        <f t="shared" si="238"/>
        <v>118.47862378564152</v>
      </c>
      <c r="Y151" s="165">
        <f t="shared" si="239"/>
        <v>-7.3513268094016482E-5</v>
      </c>
      <c r="Z151" s="166">
        <f t="shared" si="240"/>
        <v>7.8529999999972233E-3</v>
      </c>
      <c r="AA151" s="167">
        <f t="shared" si="241"/>
        <v>118.47862378564152</v>
      </c>
      <c r="AB151" s="100">
        <v>200</v>
      </c>
      <c r="AC151" s="100">
        <v>13</v>
      </c>
      <c r="AD151" s="100">
        <v>4</v>
      </c>
      <c r="AE151" s="169">
        <f t="shared" si="232"/>
        <v>81.521376214358483</v>
      </c>
      <c r="AF151" s="104">
        <f t="shared" si="201"/>
        <v>0.20883175127284392</v>
      </c>
      <c r="AG151" s="382"/>
      <c r="AH151" s="385"/>
      <c r="AI151" s="388"/>
      <c r="AJ151" s="100">
        <f t="shared" si="202"/>
        <v>1.2548968285229658</v>
      </c>
      <c r="AK151" s="100">
        <f t="shared" si="242"/>
        <v>0.33</v>
      </c>
      <c r="AL151" s="104">
        <f t="shared" si="203"/>
        <v>17.587905559497941</v>
      </c>
      <c r="AM151" s="104">
        <f t="shared" si="204"/>
        <v>7.2834322793018833</v>
      </c>
      <c r="AN151" s="104">
        <f t="shared" si="205"/>
        <v>11.451211009664293</v>
      </c>
      <c r="AO151" s="104">
        <f t="shared" si="206"/>
        <v>5.8905029433713123</v>
      </c>
      <c r="AP151" s="104">
        <f t="shared" si="207"/>
        <v>0.22523671486840877</v>
      </c>
      <c r="AQ151" s="103">
        <f t="shared" si="208"/>
        <v>4.6358283860341791E-2</v>
      </c>
      <c r="AR151" s="100">
        <f t="shared" si="209"/>
        <v>345695172.7372458</v>
      </c>
      <c r="AS151" s="100">
        <f t="shared" si="210"/>
        <v>1.75420089079736E-3</v>
      </c>
      <c r="AT151" s="104">
        <f t="shared" si="211"/>
        <v>1005.5253902765279</v>
      </c>
      <c r="AU151" s="100">
        <f t="shared" si="212"/>
        <v>38831.425773218238</v>
      </c>
      <c r="AV151" s="297"/>
      <c r="AW151" s="297"/>
      <c r="AX151" s="297"/>
      <c r="AY151" s="297"/>
      <c r="AZ151" s="297"/>
      <c r="BA151" s="392"/>
      <c r="BB151" s="392"/>
      <c r="BC151" s="392"/>
      <c r="BD151" s="297"/>
      <c r="BE151" s="297"/>
      <c r="BF151" s="297"/>
      <c r="BG151" s="297"/>
      <c r="BH151" s="390"/>
      <c r="BI151" s="392"/>
      <c r="BJ151" s="392"/>
      <c r="BK151" s="392"/>
      <c r="BL151" s="104">
        <f t="shared" si="213"/>
        <v>-0.15964361046178174</v>
      </c>
      <c r="BM151" s="103">
        <f t="shared" si="214"/>
        <v>15945.511831042757</v>
      </c>
      <c r="BN151" s="100">
        <f t="shared" si="215"/>
        <v>13044.867045425872</v>
      </c>
      <c r="BO151" s="104">
        <f t="shared" si="216"/>
        <v>117.44544887424927</v>
      </c>
      <c r="BP151" s="170">
        <f t="shared" si="234"/>
        <v>135.06226620538666</v>
      </c>
      <c r="BQ151" s="104">
        <f t="shared" si="235"/>
        <v>795.58467662122985</v>
      </c>
      <c r="BR151" s="104">
        <f t="shared" si="217"/>
        <v>4.2858768914100303</v>
      </c>
      <c r="BS151" s="104">
        <f t="shared" si="218"/>
        <v>1901.9669175438344</v>
      </c>
      <c r="BT151" s="104">
        <f t="shared" si="219"/>
        <v>1940.78256892228</v>
      </c>
      <c r="BU151" s="100">
        <f t="shared" si="220"/>
        <v>2329.8710311191835</v>
      </c>
      <c r="BV151" s="100">
        <f t="shared" si="236"/>
        <v>1164.9355155595917</v>
      </c>
      <c r="BW151" s="100">
        <f t="shared" si="237"/>
        <v>1164.9355155595917</v>
      </c>
      <c r="BX151" s="104">
        <f t="shared" si="221"/>
        <v>110.94623957710397</v>
      </c>
      <c r="BY151" s="104">
        <f t="shared" si="222"/>
        <v>9.6775905066274846E-3</v>
      </c>
      <c r="BZ151" s="104">
        <f t="shared" si="223"/>
        <v>9.6775905066274846E-3</v>
      </c>
      <c r="CA151" s="108">
        <f t="shared" si="224"/>
        <v>1.9355181013254969E-2</v>
      </c>
      <c r="CB151" s="402"/>
      <c r="CC151" s="277"/>
      <c r="CD151" s="277"/>
      <c r="CE151" s="277"/>
      <c r="CF151" s="117"/>
    </row>
    <row r="152" spans="3:84" s="109" customFormat="1" ht="15.75" x14ac:dyDescent="0.25">
      <c r="C152" s="100">
        <v>13</v>
      </c>
      <c r="D152" s="379"/>
      <c r="E152" s="379"/>
      <c r="F152" s="163" t="s">
        <v>128</v>
      </c>
      <c r="G152" s="341"/>
      <c r="H152" s="101">
        <v>0.11527777777777801</v>
      </c>
      <c r="I152" s="100">
        <v>-8.5725289999999994</v>
      </c>
      <c r="J152" s="100">
        <v>115.569829</v>
      </c>
      <c r="K152" s="100">
        <f t="shared" si="225"/>
        <v>-0.14961885627269697</v>
      </c>
      <c r="L152" s="100">
        <f t="shared" si="225"/>
        <v>2.0170740320168257</v>
      </c>
      <c r="M152" s="100">
        <v>3443</v>
      </c>
      <c r="N152" s="234">
        <f t="shared" si="226"/>
        <v>0.40474059361355885</v>
      </c>
      <c r="O152" s="331"/>
      <c r="P152" s="102">
        <f t="shared" si="227"/>
        <v>5.0000000000016143E-2</v>
      </c>
      <c r="Q152" s="331"/>
      <c r="R152" s="103">
        <f t="shared" si="228"/>
        <v>8.0948118722685631</v>
      </c>
      <c r="S152" s="347"/>
      <c r="T152" s="100">
        <f t="shared" si="200"/>
        <v>4.1639712270949483</v>
      </c>
      <c r="U152" s="165">
        <f t="shared" si="229"/>
        <v>-6.1077747800073341E-5</v>
      </c>
      <c r="V152" s="100">
        <f t="shared" si="230"/>
        <v>1.0199704148661226E-4</v>
      </c>
      <c r="W152" s="100">
        <f t="shared" si="231"/>
        <v>2.1103468581176346</v>
      </c>
      <c r="X152" s="100">
        <f t="shared" si="238"/>
        <v>120.91396827883402</v>
      </c>
      <c r="Y152" s="165">
        <f t="shared" si="239"/>
        <v>-6.0388392118970735E-5</v>
      </c>
      <c r="Z152" s="166">
        <f t="shared" si="240"/>
        <v>5.8439999999961856E-3</v>
      </c>
      <c r="AA152" s="167">
        <f t="shared" si="241"/>
        <v>120.91396827883402</v>
      </c>
      <c r="AB152" s="100">
        <v>200</v>
      </c>
      <c r="AC152" s="100">
        <v>13</v>
      </c>
      <c r="AD152" s="100">
        <v>4</v>
      </c>
      <c r="AE152" s="169">
        <f t="shared" si="232"/>
        <v>79.08603172116598</v>
      </c>
      <c r="AF152" s="104">
        <f t="shared" si="201"/>
        <v>0.15921886620103554</v>
      </c>
      <c r="AG152" s="382"/>
      <c r="AH152" s="385"/>
      <c r="AI152" s="388"/>
      <c r="AJ152" s="100">
        <f t="shared" si="202"/>
        <v>1.5560515551602818</v>
      </c>
      <c r="AK152" s="100">
        <f t="shared" si="242"/>
        <v>0.33</v>
      </c>
      <c r="AL152" s="104">
        <f t="shared" si="203"/>
        <v>17.587905559497941</v>
      </c>
      <c r="AM152" s="104">
        <f t="shared" si="204"/>
        <v>9.0313369732967494</v>
      </c>
      <c r="AN152" s="104">
        <f t="shared" si="205"/>
        <v>8.8984619570504009</v>
      </c>
      <c r="AO152" s="104">
        <f t="shared" si="206"/>
        <v>4.5773688307067255</v>
      </c>
      <c r="AP152" s="104">
        <f t="shared" si="207"/>
        <v>0.17502605941817334</v>
      </c>
      <c r="AQ152" s="103">
        <f t="shared" si="208"/>
        <v>4.5484331513366318E-2</v>
      </c>
      <c r="AR152" s="100">
        <f t="shared" si="209"/>
        <v>268631443.49905133</v>
      </c>
      <c r="AS152" s="100">
        <f t="shared" si="210"/>
        <v>1.8144843281019285E-3</v>
      </c>
      <c r="AT152" s="104">
        <f t="shared" si="211"/>
        <v>628.04967749798607</v>
      </c>
      <c r="AU152" s="100">
        <f t="shared" si="212"/>
        <v>24254.051334248037</v>
      </c>
      <c r="AV152" s="297"/>
      <c r="AW152" s="297"/>
      <c r="AX152" s="297"/>
      <c r="AY152" s="297"/>
      <c r="AZ152" s="297"/>
      <c r="BA152" s="392"/>
      <c r="BB152" s="392"/>
      <c r="BC152" s="392"/>
      <c r="BD152" s="297"/>
      <c r="BE152" s="297"/>
      <c r="BF152" s="297"/>
      <c r="BG152" s="297"/>
      <c r="BH152" s="390"/>
      <c r="BI152" s="392"/>
      <c r="BJ152" s="392"/>
      <c r="BK152" s="392"/>
      <c r="BL152" s="104">
        <f t="shared" si="213"/>
        <v>-4.3805917794849873E-2</v>
      </c>
      <c r="BM152" s="103">
        <f t="shared" si="214"/>
        <v>1190.92111712211</v>
      </c>
      <c r="BN152" s="100">
        <f t="shared" si="215"/>
        <v>7877.1065206997555</v>
      </c>
      <c r="BO152" s="104">
        <f t="shared" si="216"/>
        <v>64.31693405269624</v>
      </c>
      <c r="BP152" s="170">
        <f t="shared" si="234"/>
        <v>73.964474160600673</v>
      </c>
      <c r="BQ152" s="104">
        <f t="shared" si="235"/>
        <v>338.56267860234652</v>
      </c>
      <c r="BR152" s="104">
        <f t="shared" si="217"/>
        <v>3.3304523371918582</v>
      </c>
      <c r="BS152" s="104">
        <f t="shared" si="218"/>
        <v>809.38589334251355</v>
      </c>
      <c r="BT152" s="104">
        <f t="shared" si="219"/>
        <v>825.90397279848321</v>
      </c>
      <c r="BU152" s="100">
        <f t="shared" si="220"/>
        <v>991.48135990214075</v>
      </c>
      <c r="BV152" s="100">
        <f t="shared" si="236"/>
        <v>495.74067995107038</v>
      </c>
      <c r="BW152" s="100">
        <f t="shared" si="237"/>
        <v>495.74067995107038</v>
      </c>
      <c r="BX152" s="104">
        <f t="shared" si="221"/>
        <v>47.213398090578131</v>
      </c>
      <c r="BY152" s="104">
        <f t="shared" si="222"/>
        <v>4.0406792709348554E-3</v>
      </c>
      <c r="BZ152" s="104">
        <f t="shared" si="223"/>
        <v>4.0406792709348554E-3</v>
      </c>
      <c r="CA152" s="108">
        <f t="shared" si="224"/>
        <v>8.0813585418697109E-3</v>
      </c>
      <c r="CB152" s="402"/>
      <c r="CC152" s="277"/>
      <c r="CD152" s="277"/>
      <c r="CE152" s="277"/>
      <c r="CF152" s="117"/>
    </row>
    <row r="153" spans="3:84" s="109" customFormat="1" ht="15.75" x14ac:dyDescent="0.25">
      <c r="C153" s="100">
        <v>14</v>
      </c>
      <c r="D153" s="379"/>
      <c r="E153" s="379"/>
      <c r="F153" s="163" t="s">
        <v>128</v>
      </c>
      <c r="G153" s="341"/>
      <c r="H153" s="101">
        <v>0.117361111111111</v>
      </c>
      <c r="I153" s="100">
        <v>-8.5757670000000008</v>
      </c>
      <c r="J153" s="100">
        <v>115.575294</v>
      </c>
      <c r="K153" s="100">
        <f t="shared" si="225"/>
        <v>-0.14967537003387657</v>
      </c>
      <c r="L153" s="100">
        <f t="shared" si="225"/>
        <v>2.0171694142604473</v>
      </c>
      <c r="M153" s="100">
        <v>3443</v>
      </c>
      <c r="N153" s="234">
        <f t="shared" si="226"/>
        <v>0.37856338554254793</v>
      </c>
      <c r="O153" s="331"/>
      <c r="P153" s="102">
        <f t="shared" si="227"/>
        <v>4.9999999999991829E-2</v>
      </c>
      <c r="Q153" s="331"/>
      <c r="R153" s="103">
        <f t="shared" si="228"/>
        <v>7.5712677108521955</v>
      </c>
      <c r="S153" s="347"/>
      <c r="T153" s="100">
        <f t="shared" si="200"/>
        <v>3.894660110462369</v>
      </c>
      <c r="U153" s="165">
        <f t="shared" si="229"/>
        <v>-5.7159392884333851E-5</v>
      </c>
      <c r="V153" s="100">
        <f t="shared" si="230"/>
        <v>9.5382243621600082E-5</v>
      </c>
      <c r="W153" s="100">
        <f t="shared" si="231"/>
        <v>2.1106763882483879</v>
      </c>
      <c r="X153" s="100">
        <f t="shared" si="238"/>
        <v>120.93284896454857</v>
      </c>
      <c r="Y153" s="165">
        <f t="shared" si="239"/>
        <v>-5.6513761179599609E-5</v>
      </c>
      <c r="Z153" s="166">
        <f t="shared" si="240"/>
        <v>5.4650000000009413E-3</v>
      </c>
      <c r="AA153" s="167">
        <f t="shared" si="241"/>
        <v>120.93284896454857</v>
      </c>
      <c r="AB153" s="100">
        <v>200</v>
      </c>
      <c r="AC153" s="100">
        <v>13</v>
      </c>
      <c r="AD153" s="100">
        <v>4</v>
      </c>
      <c r="AE153" s="169">
        <f t="shared" si="232"/>
        <v>79.067151035451431</v>
      </c>
      <c r="AF153" s="104">
        <f t="shared" si="201"/>
        <v>0.14892114599428724</v>
      </c>
      <c r="AG153" s="382"/>
      <c r="AH153" s="385"/>
      <c r="AI153" s="388"/>
      <c r="AJ153" s="100">
        <f t="shared" si="202"/>
        <v>1.6125753100890394</v>
      </c>
      <c r="AK153" s="100">
        <f t="shared" si="242"/>
        <v>0.33</v>
      </c>
      <c r="AL153" s="104">
        <f t="shared" si="203"/>
        <v>17.587905559497941</v>
      </c>
      <c r="AM153" s="104">
        <f t="shared" si="204"/>
        <v>9.3594013462699639</v>
      </c>
      <c r="AN153" s="104">
        <f t="shared" si="205"/>
        <v>8.3530645464692359</v>
      </c>
      <c r="AO153" s="104">
        <f t="shared" si="206"/>
        <v>4.296816402703775</v>
      </c>
      <c r="AP153" s="104">
        <f t="shared" si="207"/>
        <v>0.16429850222327372</v>
      </c>
      <c r="AQ153" s="103">
        <f t="shared" si="208"/>
        <v>4.5320299326857619E-2</v>
      </c>
      <c r="AR153" s="100">
        <f t="shared" si="209"/>
        <v>252166699.99706</v>
      </c>
      <c r="AS153" s="100">
        <f t="shared" si="210"/>
        <v>1.8300893396346134E-3</v>
      </c>
      <c r="AT153" s="104">
        <f t="shared" si="211"/>
        <v>558.1807375516596</v>
      </c>
      <c r="AU153" s="100">
        <f t="shared" si="212"/>
        <v>21555.849397613598</v>
      </c>
      <c r="AV153" s="297"/>
      <c r="AW153" s="297"/>
      <c r="AX153" s="297"/>
      <c r="AY153" s="297"/>
      <c r="AZ153" s="297"/>
      <c r="BA153" s="392"/>
      <c r="BB153" s="392"/>
      <c r="BC153" s="392"/>
      <c r="BD153" s="297"/>
      <c r="BE153" s="297"/>
      <c r="BF153" s="297"/>
      <c r="BG153" s="297"/>
      <c r="BH153" s="390"/>
      <c r="BI153" s="392"/>
      <c r="BJ153" s="392"/>
      <c r="BK153" s="392"/>
      <c r="BL153" s="104">
        <f t="shared" si="213"/>
        <v>-2.820715159020502E-2</v>
      </c>
      <c r="BM153" s="103">
        <f t="shared" si="214"/>
        <v>572.40048651556401</v>
      </c>
      <c r="BN153" s="100">
        <f t="shared" si="215"/>
        <v>6941.1031264261301</v>
      </c>
      <c r="BO153" s="104">
        <f t="shared" si="216"/>
        <v>56.616108767413849</v>
      </c>
      <c r="BP153" s="170">
        <f t="shared" si="234"/>
        <v>65.108525082525929</v>
      </c>
      <c r="BQ153" s="104">
        <f t="shared" si="235"/>
        <v>279.75937853044758</v>
      </c>
      <c r="BR153" s="104">
        <f t="shared" si="217"/>
        <v>3.1263249172471963</v>
      </c>
      <c r="BS153" s="104">
        <f t="shared" si="218"/>
        <v>668.80760586953647</v>
      </c>
      <c r="BT153" s="104">
        <f t="shared" si="219"/>
        <v>682.45674068320045</v>
      </c>
      <c r="BU153" s="100">
        <f t="shared" si="220"/>
        <v>819.27579913949637</v>
      </c>
      <c r="BV153" s="100">
        <f t="shared" si="236"/>
        <v>409.63789956974819</v>
      </c>
      <c r="BW153" s="100">
        <f t="shared" si="237"/>
        <v>409.63789956974819</v>
      </c>
      <c r="BX153" s="104">
        <f t="shared" si="221"/>
        <v>39.013133292356969</v>
      </c>
      <c r="BY153" s="104">
        <f t="shared" si="222"/>
        <v>3.3268322705634198E-3</v>
      </c>
      <c r="BZ153" s="104">
        <f t="shared" si="223"/>
        <v>3.3268322705634198E-3</v>
      </c>
      <c r="CA153" s="108">
        <f t="shared" si="224"/>
        <v>6.6536645411268396E-3</v>
      </c>
      <c r="CB153" s="402"/>
      <c r="CC153" s="277"/>
      <c r="CD153" s="277"/>
      <c r="CE153" s="277"/>
      <c r="CF153" s="117"/>
    </row>
    <row r="154" spans="3:84" s="109" customFormat="1" ht="15.75" x14ac:dyDescent="0.25">
      <c r="C154" s="100">
        <v>15</v>
      </c>
      <c r="D154" s="379"/>
      <c r="E154" s="379"/>
      <c r="F154" s="163" t="s">
        <v>128</v>
      </c>
      <c r="G154" s="342"/>
      <c r="H154" s="101">
        <v>0.11944444444444501</v>
      </c>
      <c r="I154" s="100">
        <v>-8.5801499999999997</v>
      </c>
      <c r="J154" s="100">
        <v>115.58332299999999</v>
      </c>
      <c r="K154" s="100">
        <f t="shared" si="225"/>
        <v>-0.14975186781499147</v>
      </c>
      <c r="L154" s="100">
        <f t="shared" si="225"/>
        <v>2.0173095467460898</v>
      </c>
      <c r="M154" s="100">
        <v>3443</v>
      </c>
      <c r="N154" s="234">
        <f t="shared" si="226"/>
        <v>0.54495363288423171</v>
      </c>
      <c r="O154" s="331"/>
      <c r="P154" s="102">
        <f t="shared" si="227"/>
        <v>5.0000000000016143E-2</v>
      </c>
      <c r="Q154" s="331"/>
      <c r="R154" s="103">
        <f t="shared" si="228"/>
        <v>10.899072657681115</v>
      </c>
      <c r="S154" s="347"/>
      <c r="T154" s="100">
        <f t="shared" si="200"/>
        <v>5.6064829751111649</v>
      </c>
      <c r="U154" s="165">
        <f t="shared" si="229"/>
        <v>-7.737249701718948E-5</v>
      </c>
      <c r="V154" s="100">
        <f t="shared" si="230"/>
        <v>1.401324856424857E-4</v>
      </c>
      <c r="W154" s="100">
        <f t="shared" si="231"/>
        <v>2.075279660207372</v>
      </c>
      <c r="X154" s="100">
        <f t="shared" si="238"/>
        <v>118.90476583922599</v>
      </c>
      <c r="Y154" s="165">
        <f t="shared" si="239"/>
        <v>-7.6497781114903685E-5</v>
      </c>
      <c r="Z154" s="166">
        <f t="shared" si="240"/>
        <v>8.0289999999934025E-3</v>
      </c>
      <c r="AA154" s="167">
        <f t="shared" si="241"/>
        <v>118.90476583922599</v>
      </c>
      <c r="AB154" s="100">
        <v>200</v>
      </c>
      <c r="AC154" s="100">
        <v>13</v>
      </c>
      <c r="AD154" s="100">
        <v>4</v>
      </c>
      <c r="AE154" s="169">
        <f t="shared" si="232"/>
        <v>81.095234160774012</v>
      </c>
      <c r="AF154" s="104">
        <f t="shared" si="201"/>
        <v>0.21437656842201172</v>
      </c>
      <c r="AG154" s="382"/>
      <c r="AH154" s="385"/>
      <c r="AI154" s="388"/>
      <c r="AJ154" s="100">
        <f t="shared" si="202"/>
        <v>1.2182726419875154</v>
      </c>
      <c r="AK154" s="100">
        <f t="shared" si="242"/>
        <v>0.33</v>
      </c>
      <c r="AL154" s="104">
        <f t="shared" si="203"/>
        <v>17.587905559497941</v>
      </c>
      <c r="AM154" s="104">
        <f t="shared" si="204"/>
        <v>7.0708651770888338</v>
      </c>
      <c r="AN154" s="104">
        <f t="shared" si="205"/>
        <v>11.728369879317986</v>
      </c>
      <c r="AO154" s="104">
        <f t="shared" si="206"/>
        <v>6.0330734659211718</v>
      </c>
      <c r="AP154" s="104">
        <f t="shared" si="207"/>
        <v>0.23068822154702592</v>
      </c>
      <c r="AQ154" s="103">
        <f t="shared" si="208"/>
        <v>4.6464567411470585E-2</v>
      </c>
      <c r="AR154" s="100">
        <f t="shared" si="209"/>
        <v>354062190.2727477</v>
      </c>
      <c r="AS154" s="100">
        <f t="shared" si="210"/>
        <v>1.748641300958064E-3</v>
      </c>
      <c r="AT154" s="104">
        <f t="shared" si="211"/>
        <v>1051.4458685109882</v>
      </c>
      <c r="AU154" s="100">
        <f t="shared" si="212"/>
        <v>40604.784913897667</v>
      </c>
      <c r="AV154" s="297"/>
      <c r="AW154" s="297"/>
      <c r="AX154" s="297"/>
      <c r="AY154" s="297"/>
      <c r="AZ154" s="297"/>
      <c r="BA154" s="392"/>
      <c r="BB154" s="392"/>
      <c r="BC154" s="392"/>
      <c r="BD154" s="297"/>
      <c r="BE154" s="297"/>
      <c r="BF154" s="297"/>
      <c r="BG154" s="297"/>
      <c r="BH154" s="390"/>
      <c r="BI154" s="392"/>
      <c r="BJ154" s="392"/>
      <c r="BK154" s="392"/>
      <c r="BL154" s="104">
        <f t="shared" si="213"/>
        <v>-0.17503850096345727</v>
      </c>
      <c r="BM154" s="103">
        <f t="shared" si="214"/>
        <v>19641.703455925923</v>
      </c>
      <c r="BN154" s="100">
        <f t="shared" si="215"/>
        <v>13683.970526270103</v>
      </c>
      <c r="BO154" s="104">
        <f t="shared" si="216"/>
        <v>125.82032284674571</v>
      </c>
      <c r="BP154" s="170">
        <f t="shared" si="234"/>
        <v>144.69337127375758</v>
      </c>
      <c r="BQ154" s="104">
        <f t="shared" si="235"/>
        <v>872.94573892638755</v>
      </c>
      <c r="BR154" s="104">
        <f t="shared" si="217"/>
        <v>4.3896099196194989</v>
      </c>
      <c r="BS154" s="104">
        <f t="shared" si="218"/>
        <v>2086.9103755241199</v>
      </c>
      <c r="BT154" s="104">
        <f t="shared" si="219"/>
        <v>2129.5003831878776</v>
      </c>
      <c r="BU154" s="100">
        <f t="shared" si="220"/>
        <v>2556.4230290370679</v>
      </c>
      <c r="BV154" s="100">
        <f t="shared" si="236"/>
        <v>1278.2115145185339</v>
      </c>
      <c r="BW154" s="100">
        <f t="shared" si="237"/>
        <v>1278.2115145185339</v>
      </c>
      <c r="BX154" s="104">
        <f t="shared" si="221"/>
        <v>121.73442995414609</v>
      </c>
      <c r="BY154" s="104">
        <f t="shared" si="222"/>
        <v>1.0642964878777608E-2</v>
      </c>
      <c r="BZ154" s="104">
        <f t="shared" si="223"/>
        <v>1.0642964878777608E-2</v>
      </c>
      <c r="CA154" s="108">
        <f t="shared" si="224"/>
        <v>2.1285929757555215E-2</v>
      </c>
      <c r="CB154" s="402"/>
      <c r="CC154" s="277"/>
      <c r="CD154" s="277"/>
      <c r="CE154" s="277"/>
      <c r="CF154" s="117"/>
    </row>
    <row r="155" spans="3:84" s="183" customFormat="1" ht="15.75" x14ac:dyDescent="0.25">
      <c r="C155" s="171">
        <v>16</v>
      </c>
      <c r="D155" s="379"/>
      <c r="E155" s="379"/>
      <c r="F155" s="172" t="s">
        <v>128</v>
      </c>
      <c r="G155" s="394">
        <v>0.121527777777778</v>
      </c>
      <c r="H155" s="173">
        <v>0.121527777777778</v>
      </c>
      <c r="I155" s="171">
        <v>-8.5845990000000008</v>
      </c>
      <c r="J155" s="171">
        <v>115.59125899999999</v>
      </c>
      <c r="K155" s="171">
        <f t="shared" si="225"/>
        <v>-0.1498295175134127</v>
      </c>
      <c r="L155" s="171">
        <f t="shared" si="225"/>
        <v>2.0174480560755281</v>
      </c>
      <c r="M155" s="171">
        <v>3443</v>
      </c>
      <c r="N155" s="235">
        <f t="shared" si="226"/>
        <v>0.5420627625219423</v>
      </c>
      <c r="O155" s="358"/>
      <c r="P155" s="174">
        <f t="shared" si="227"/>
        <v>4.9999999999991829E-2</v>
      </c>
      <c r="Q155" s="358"/>
      <c r="R155" s="175">
        <f t="shared" si="228"/>
        <v>10.841255250440618</v>
      </c>
      <c r="S155" s="348"/>
      <c r="T155" s="171">
        <f t="shared" si="200"/>
        <v>5.5767417008266538</v>
      </c>
      <c r="U155" s="176">
        <f t="shared" si="229"/>
        <v>-7.8538504204386371E-5</v>
      </c>
      <c r="V155" s="171">
        <f t="shared" si="230"/>
        <v>1.3850932943837435E-4</v>
      </c>
      <c r="W155" s="171">
        <f t="shared" si="231"/>
        <v>2.0866179038755575</v>
      </c>
      <c r="X155" s="171">
        <f t="shared" si="238"/>
        <v>119.55439934850395</v>
      </c>
      <c r="Y155" s="176">
        <f t="shared" si="239"/>
        <v>-7.7649698421222713E-5</v>
      </c>
      <c r="Z155" s="177">
        <f t="shared" si="240"/>
        <v>7.9360000000008313E-3</v>
      </c>
      <c r="AA155" s="178">
        <f t="shared" si="241"/>
        <v>119.55439934850395</v>
      </c>
      <c r="AB155" s="100">
        <v>200</v>
      </c>
      <c r="AC155" s="171">
        <v>13</v>
      </c>
      <c r="AD155" s="171">
        <v>4</v>
      </c>
      <c r="AE155" s="179">
        <f t="shared" si="232"/>
        <v>80.445600651496051</v>
      </c>
      <c r="AF155" s="180">
        <f t="shared" si="201"/>
        <v>0.21323934347191098</v>
      </c>
      <c r="AG155" s="382"/>
      <c r="AH155" s="385"/>
      <c r="AI155" s="388"/>
      <c r="AJ155" s="171">
        <f t="shared" si="202"/>
        <v>1.2258327705582059</v>
      </c>
      <c r="AK155" s="171">
        <f t="shared" si="242"/>
        <v>0.33</v>
      </c>
      <c r="AL155" s="180">
        <f t="shared" si="203"/>
        <v>17.587905559497941</v>
      </c>
      <c r="AM155" s="180">
        <f t="shared" si="204"/>
        <v>7.114744230104094</v>
      </c>
      <c r="AN155" s="180">
        <f t="shared" si="205"/>
        <v>11.671664313761051</v>
      </c>
      <c r="AO155" s="180">
        <f t="shared" si="206"/>
        <v>6.0039041229986845</v>
      </c>
      <c r="AP155" s="180">
        <f t="shared" si="207"/>
        <v>0.22957286568728147</v>
      </c>
      <c r="AQ155" s="175">
        <f t="shared" si="208"/>
        <v>4.6442627884940364E-2</v>
      </c>
      <c r="AR155" s="171">
        <f t="shared" si="209"/>
        <v>352350332.87497342</v>
      </c>
      <c r="AS155" s="171">
        <f t="shared" si="210"/>
        <v>1.7497658650825567E-3</v>
      </c>
      <c r="AT155" s="180">
        <f t="shared" si="211"/>
        <v>1041.9728333750613</v>
      </c>
      <c r="AU155" s="171">
        <f t="shared" si="212"/>
        <v>40238.954807283772</v>
      </c>
      <c r="AV155" s="297"/>
      <c r="AW155" s="297"/>
      <c r="AX155" s="297"/>
      <c r="AY155" s="297"/>
      <c r="AZ155" s="297"/>
      <c r="BA155" s="392"/>
      <c r="BB155" s="392"/>
      <c r="BC155" s="392"/>
      <c r="BD155" s="297"/>
      <c r="BE155" s="297"/>
      <c r="BF155" s="297"/>
      <c r="BG155" s="297"/>
      <c r="BH155" s="390"/>
      <c r="BI155" s="392"/>
      <c r="BJ155" s="392"/>
      <c r="BK155" s="392"/>
      <c r="BL155" s="180">
        <f t="shared" si="213"/>
        <v>-0.1718638869480526</v>
      </c>
      <c r="BM155" s="175">
        <f t="shared" si="214"/>
        <v>18840.592331433389</v>
      </c>
      <c r="BN155" s="171">
        <f t="shared" si="215"/>
        <v>13551.968985483132</v>
      </c>
      <c r="BO155" s="180">
        <f t="shared" si="216"/>
        <v>124.05387668820711</v>
      </c>
      <c r="BP155" s="181">
        <f t="shared" si="234"/>
        <v>142.66195819143817</v>
      </c>
      <c r="BQ155" s="180">
        <f t="shared" si="235"/>
        <v>856.52871898064166</v>
      </c>
      <c r="BR155" s="180">
        <f t="shared" si="217"/>
        <v>4.3683865684097718</v>
      </c>
      <c r="BS155" s="180">
        <f t="shared" si="218"/>
        <v>2047.6629770522513</v>
      </c>
      <c r="BT155" s="180">
        <f t="shared" si="219"/>
        <v>2089.4520174002564</v>
      </c>
      <c r="BU155" s="171">
        <f t="shared" si="220"/>
        <v>2508.3457591839815</v>
      </c>
      <c r="BV155" s="171">
        <f t="shared" si="236"/>
        <v>1254.1728795919907</v>
      </c>
      <c r="BW155" s="171">
        <f t="shared" si="237"/>
        <v>1254.1728795919907</v>
      </c>
      <c r="BX155" s="180">
        <f t="shared" si="221"/>
        <v>119.44503615161817</v>
      </c>
      <c r="BY155" s="180">
        <f t="shared" si="222"/>
        <v>1.0437877515569269E-2</v>
      </c>
      <c r="BZ155" s="180">
        <f t="shared" si="223"/>
        <v>1.0437877515569269E-2</v>
      </c>
      <c r="CA155" s="182">
        <f t="shared" si="224"/>
        <v>2.0875755031138539E-2</v>
      </c>
      <c r="CB155" s="402"/>
      <c r="CC155" s="276">
        <f t="shared" ref="CC155" si="248">SUM(CA155:CA159)*1000</f>
        <v>54.183401736614805</v>
      </c>
      <c r="CD155" s="276">
        <v>38</v>
      </c>
      <c r="CE155" s="276">
        <f t="shared" ref="CE155" si="249">AVERAGE(AN155:AN159)</f>
        <v>9.3971337415464724</v>
      </c>
      <c r="CF155" s="184"/>
    </row>
    <row r="156" spans="3:84" s="183" customFormat="1" ht="15.75" x14ac:dyDescent="0.25">
      <c r="C156" s="171">
        <v>17</v>
      </c>
      <c r="D156" s="379"/>
      <c r="E156" s="379"/>
      <c r="F156" s="172" t="s">
        <v>128</v>
      </c>
      <c r="G156" s="395"/>
      <c r="H156" s="173">
        <v>0.12361111111111101</v>
      </c>
      <c r="I156" s="171">
        <v>-8.5874799999999993</v>
      </c>
      <c r="J156" s="171">
        <v>115.596237</v>
      </c>
      <c r="K156" s="171">
        <f t="shared" si="225"/>
        <v>-0.14987980044916263</v>
      </c>
      <c r="L156" s="171">
        <f t="shared" si="225"/>
        <v>2.0175349385656927</v>
      </c>
      <c r="M156" s="171">
        <v>3443</v>
      </c>
      <c r="N156" s="235">
        <f t="shared" si="226"/>
        <v>0.34272452883433513</v>
      </c>
      <c r="O156" s="357">
        <f t="shared" ref="O156" si="250">SUM(N156:N160)</f>
        <v>2.012824646211425</v>
      </c>
      <c r="P156" s="174">
        <f t="shared" si="227"/>
        <v>4.9999999999992162E-2</v>
      </c>
      <c r="Q156" s="357">
        <f t="shared" ref="Q156" si="251">SUM(P156:P160)</f>
        <v>0.2500000000000081</v>
      </c>
      <c r="R156" s="175">
        <f t="shared" si="228"/>
        <v>6.8544905766877768</v>
      </c>
      <c r="S156" s="346">
        <f t="shared" ref="S156" si="252">AVERAGE(R156:R160)</f>
        <v>8.0512985848452931</v>
      </c>
      <c r="T156" s="171">
        <f t="shared" si="200"/>
        <v>3.5259499526481921</v>
      </c>
      <c r="U156" s="176">
        <f t="shared" si="229"/>
        <v>-5.0858985665740948E-5</v>
      </c>
      <c r="V156" s="171">
        <f t="shared" si="230"/>
        <v>8.6882490164530424E-5</v>
      </c>
      <c r="W156" s="171">
        <f t="shared" si="231"/>
        <v>2.1003940062754776</v>
      </c>
      <c r="X156" s="171">
        <f t="shared" si="238"/>
        <v>120.34371187415941</v>
      </c>
      <c r="Y156" s="176">
        <f t="shared" si="239"/>
        <v>-5.0282935749934587E-5</v>
      </c>
      <c r="Z156" s="177">
        <f t="shared" si="240"/>
        <v>4.9780000000083646E-3</v>
      </c>
      <c r="AA156" s="178">
        <f t="shared" si="241"/>
        <v>120.34371187415941</v>
      </c>
      <c r="AB156" s="100">
        <v>200</v>
      </c>
      <c r="AC156" s="171">
        <v>13</v>
      </c>
      <c r="AD156" s="171">
        <v>4</v>
      </c>
      <c r="AE156" s="179">
        <f t="shared" si="232"/>
        <v>79.656288125840589</v>
      </c>
      <c r="AF156" s="180">
        <f t="shared" si="201"/>
        <v>0.13482267842996287</v>
      </c>
      <c r="AG156" s="382"/>
      <c r="AH156" s="385"/>
      <c r="AI156" s="388"/>
      <c r="AJ156" s="171">
        <f t="shared" si="202"/>
        <v>1.6866249041205101</v>
      </c>
      <c r="AK156" s="171">
        <f t="shared" si="242"/>
        <v>0.33</v>
      </c>
      <c r="AL156" s="180">
        <f t="shared" si="203"/>
        <v>17.587905559497941</v>
      </c>
      <c r="AM156" s="180">
        <f t="shared" si="204"/>
        <v>9.7891858442297046</v>
      </c>
      <c r="AN156" s="180">
        <f t="shared" si="205"/>
        <v>7.5983025326119762</v>
      </c>
      <c r="AO156" s="180">
        <f t="shared" si="206"/>
        <v>3.9085668227756005</v>
      </c>
      <c r="AP156" s="180">
        <f t="shared" si="207"/>
        <v>0.14945290062138189</v>
      </c>
      <c r="AQ156" s="175">
        <f t="shared" si="208"/>
        <v>4.5105407077878072E-2</v>
      </c>
      <c r="AR156" s="171">
        <f t="shared" si="209"/>
        <v>229381547.88208327</v>
      </c>
      <c r="AS156" s="171">
        <f t="shared" si="210"/>
        <v>1.8538336611181145E-3</v>
      </c>
      <c r="AT156" s="180">
        <f t="shared" si="211"/>
        <v>467.85880327884405</v>
      </c>
      <c r="AU156" s="171">
        <f t="shared" si="212"/>
        <v>18067.792785294951</v>
      </c>
      <c r="AV156" s="297"/>
      <c r="AW156" s="297"/>
      <c r="AX156" s="297"/>
      <c r="AY156" s="297"/>
      <c r="AZ156" s="297"/>
      <c r="BA156" s="392"/>
      <c r="BB156" s="392"/>
      <c r="BC156" s="392"/>
      <c r="BD156" s="297"/>
      <c r="BE156" s="297"/>
      <c r="BF156" s="297"/>
      <c r="BG156" s="297"/>
      <c r="BH156" s="390"/>
      <c r="BI156" s="392"/>
      <c r="BJ156" s="392"/>
      <c r="BK156" s="392"/>
      <c r="BL156" s="180">
        <f t="shared" si="213"/>
        <v>-1.3027459372997137E-2</v>
      </c>
      <c r="BM156" s="175">
        <f t="shared" si="214"/>
        <v>181.50797026695469</v>
      </c>
      <c r="BN156" s="171">
        <f t="shared" si="215"/>
        <v>5743.4121813981501</v>
      </c>
      <c r="BO156" s="180">
        <f t="shared" si="216"/>
        <v>47.081994446653262</v>
      </c>
      <c r="BP156" s="181">
        <f t="shared" si="234"/>
        <v>54.14429361365125</v>
      </c>
      <c r="BQ156" s="180">
        <f t="shared" si="235"/>
        <v>211.62658966093809</v>
      </c>
      <c r="BR156" s="180">
        <f t="shared" si="217"/>
        <v>2.8438380194880954</v>
      </c>
      <c r="BS156" s="180">
        <f t="shared" si="218"/>
        <v>505.92574773704183</v>
      </c>
      <c r="BT156" s="180">
        <f t="shared" si="219"/>
        <v>516.25076299698151</v>
      </c>
      <c r="BU156" s="171">
        <f t="shared" si="220"/>
        <v>619.74881512242678</v>
      </c>
      <c r="BV156" s="171">
        <f t="shared" si="236"/>
        <v>309.87440756121339</v>
      </c>
      <c r="BW156" s="171">
        <f t="shared" si="237"/>
        <v>309.87440756121339</v>
      </c>
      <c r="BX156" s="180">
        <f t="shared" si="221"/>
        <v>29.511848339163183</v>
      </c>
      <c r="BY156" s="180">
        <f t="shared" si="222"/>
        <v>2.5046804242548171E-3</v>
      </c>
      <c r="BZ156" s="180">
        <f t="shared" si="223"/>
        <v>2.5046804242548171E-3</v>
      </c>
      <c r="CA156" s="182">
        <f t="shared" si="224"/>
        <v>5.0093608485096341E-3</v>
      </c>
      <c r="CB156" s="402"/>
      <c r="CC156" s="277"/>
      <c r="CD156" s="277"/>
      <c r="CE156" s="277"/>
      <c r="CF156" s="184"/>
    </row>
    <row r="157" spans="3:84" s="183" customFormat="1" ht="15.75" x14ac:dyDescent="0.25">
      <c r="C157" s="171">
        <v>18</v>
      </c>
      <c r="D157" s="379"/>
      <c r="E157" s="379"/>
      <c r="F157" s="172" t="s">
        <v>128</v>
      </c>
      <c r="G157" s="395"/>
      <c r="H157" s="173">
        <v>0.125694444444445</v>
      </c>
      <c r="I157" s="171">
        <v>-8.5912009999999999</v>
      </c>
      <c r="J157" s="171">
        <v>115.60331499999999</v>
      </c>
      <c r="K157" s="171">
        <f t="shared" si="225"/>
        <v>-0.14994474415062936</v>
      </c>
      <c r="L157" s="171">
        <f t="shared" si="225"/>
        <v>2.0176584729701483</v>
      </c>
      <c r="M157" s="171">
        <v>3443</v>
      </c>
      <c r="N157" s="235">
        <f t="shared" si="226"/>
        <v>0.47630554146912579</v>
      </c>
      <c r="O157" s="331"/>
      <c r="P157" s="174">
        <f t="shared" si="227"/>
        <v>5.000000000001581E-2</v>
      </c>
      <c r="Q157" s="331"/>
      <c r="R157" s="175">
        <f t="shared" si="228"/>
        <v>9.5261108293795029</v>
      </c>
      <c r="S157" s="347"/>
      <c r="T157" s="171">
        <f t="shared" si="200"/>
        <v>4.9002314106328164</v>
      </c>
      <c r="U157" s="176">
        <f t="shared" si="229"/>
        <v>-6.5688282231703921E-5</v>
      </c>
      <c r="V157" s="171">
        <f t="shared" si="230"/>
        <v>1.2353440445567188E-4</v>
      </c>
      <c r="W157" s="171">
        <f t="shared" si="231"/>
        <v>2.0595129664992395</v>
      </c>
      <c r="X157" s="171">
        <f t="shared" si="238"/>
        <v>118.00140083287452</v>
      </c>
      <c r="Y157" s="176">
        <f t="shared" si="239"/>
        <v>-6.4943701466729786E-5</v>
      </c>
      <c r="Z157" s="177">
        <f t="shared" si="240"/>
        <v>7.0779999999928123E-3</v>
      </c>
      <c r="AA157" s="178">
        <f t="shared" si="241"/>
        <v>118.00140083287452</v>
      </c>
      <c r="AB157" s="100">
        <v>200</v>
      </c>
      <c r="AC157" s="171">
        <v>13</v>
      </c>
      <c r="AD157" s="171">
        <v>4</v>
      </c>
      <c r="AE157" s="179">
        <f t="shared" si="232"/>
        <v>81.998599167125477</v>
      </c>
      <c r="AF157" s="180">
        <f t="shared" si="201"/>
        <v>0.18737144105291567</v>
      </c>
      <c r="AG157" s="382"/>
      <c r="AH157" s="385"/>
      <c r="AI157" s="388"/>
      <c r="AJ157" s="171">
        <f t="shared" si="202"/>
        <v>1.3910232452219224</v>
      </c>
      <c r="AK157" s="171">
        <f t="shared" si="242"/>
        <v>0.33</v>
      </c>
      <c r="AL157" s="180">
        <f t="shared" si="203"/>
        <v>17.587905559497941</v>
      </c>
      <c r="AM157" s="180">
        <f t="shared" si="204"/>
        <v>8.0735112044497406</v>
      </c>
      <c r="AN157" s="180">
        <f t="shared" si="205"/>
        <v>10.362748489791789</v>
      </c>
      <c r="AO157" s="180">
        <f t="shared" si="206"/>
        <v>5.3305978231488957</v>
      </c>
      <c r="AP157" s="180">
        <f t="shared" si="207"/>
        <v>0.20382747509223417</v>
      </c>
      <c r="AQ157" s="175">
        <f t="shared" si="208"/>
        <v>4.596324439778967E-2</v>
      </c>
      <c r="AR157" s="171">
        <f t="shared" si="209"/>
        <v>312836094.46964741</v>
      </c>
      <c r="AS157" s="171">
        <f t="shared" si="210"/>
        <v>1.7777086266695863E-3</v>
      </c>
      <c r="AT157" s="180">
        <f t="shared" si="211"/>
        <v>834.49045703022671</v>
      </c>
      <c r="AU157" s="171">
        <f t="shared" si="212"/>
        <v>32226.390853956174</v>
      </c>
      <c r="AV157" s="297"/>
      <c r="AW157" s="297"/>
      <c r="AX157" s="297"/>
      <c r="AY157" s="297"/>
      <c r="AZ157" s="297"/>
      <c r="BA157" s="392"/>
      <c r="BB157" s="392"/>
      <c r="BC157" s="392"/>
      <c r="BD157" s="297"/>
      <c r="BE157" s="297"/>
      <c r="BF157" s="297"/>
      <c r="BG157" s="297"/>
      <c r="BH157" s="390"/>
      <c r="BI157" s="392"/>
      <c r="BJ157" s="392"/>
      <c r="BK157" s="392"/>
      <c r="BL157" s="180">
        <f t="shared" si="213"/>
        <v>-0.10324567175866206</v>
      </c>
      <c r="BM157" s="175">
        <f t="shared" si="214"/>
        <v>6172.5461056048453</v>
      </c>
      <c r="BN157" s="171">
        <f t="shared" si="215"/>
        <v>10682.8403380695</v>
      </c>
      <c r="BO157" s="180">
        <f t="shared" si="216"/>
        <v>90.264683218158524</v>
      </c>
      <c r="BP157" s="181">
        <f t="shared" si="234"/>
        <v>103.80438570088231</v>
      </c>
      <c r="BQ157" s="180">
        <f t="shared" si="235"/>
        <v>553.33943245043156</v>
      </c>
      <c r="BR157" s="180">
        <f t="shared" si="217"/>
        <v>3.8784949684718852</v>
      </c>
      <c r="BS157" s="180">
        <f t="shared" si="218"/>
        <v>1322.8425906375965</v>
      </c>
      <c r="BT157" s="180">
        <f t="shared" si="219"/>
        <v>1349.839378201629</v>
      </c>
      <c r="BU157" s="171">
        <f t="shared" si="220"/>
        <v>1620.4554360163615</v>
      </c>
      <c r="BV157" s="171">
        <f t="shared" si="236"/>
        <v>810.22771800818077</v>
      </c>
      <c r="BW157" s="171">
        <f t="shared" si="237"/>
        <v>810.22771800818077</v>
      </c>
      <c r="BX157" s="180">
        <f t="shared" si="221"/>
        <v>77.164544572207689</v>
      </c>
      <c r="BY157" s="180">
        <f t="shared" si="222"/>
        <v>6.6735324760246774E-3</v>
      </c>
      <c r="BZ157" s="180">
        <f t="shared" si="223"/>
        <v>6.6735324760246774E-3</v>
      </c>
      <c r="CA157" s="182">
        <f t="shared" si="224"/>
        <v>1.3347064952049355E-2</v>
      </c>
      <c r="CB157" s="402"/>
      <c r="CC157" s="277"/>
      <c r="CD157" s="277"/>
      <c r="CE157" s="277"/>
      <c r="CF157" s="184"/>
    </row>
    <row r="158" spans="3:84" s="183" customFormat="1" ht="15.75" x14ac:dyDescent="0.25">
      <c r="C158" s="171">
        <v>19</v>
      </c>
      <c r="D158" s="379"/>
      <c r="E158" s="379"/>
      <c r="F158" s="172" t="s">
        <v>128</v>
      </c>
      <c r="G158" s="395"/>
      <c r="H158" s="173">
        <v>0.12777777777777799</v>
      </c>
      <c r="I158" s="171">
        <v>-8.5941589999999994</v>
      </c>
      <c r="J158" s="171">
        <v>115.60915799999999</v>
      </c>
      <c r="K158" s="171">
        <f t="shared" si="225"/>
        <v>-0.14999637098990334</v>
      </c>
      <c r="L158" s="171">
        <f t="shared" si="225"/>
        <v>2.0177604525583424</v>
      </c>
      <c r="M158" s="171">
        <v>3443</v>
      </c>
      <c r="N158" s="235">
        <f t="shared" si="226"/>
        <v>0.39003295452263603</v>
      </c>
      <c r="O158" s="331"/>
      <c r="P158" s="174">
        <f t="shared" si="227"/>
        <v>4.9999999999991829E-2</v>
      </c>
      <c r="Q158" s="331"/>
      <c r="R158" s="175">
        <f t="shared" si="228"/>
        <v>7.8006590904539959</v>
      </c>
      <c r="S158" s="347"/>
      <c r="T158" s="171">
        <f t="shared" si="200"/>
        <v>4.0126590361295351</v>
      </c>
      <c r="U158" s="176">
        <f t="shared" si="229"/>
        <v>-5.2219204249990784E-5</v>
      </c>
      <c r="V158" s="171">
        <f t="shared" si="230"/>
        <v>1.0197958819402331E-4</v>
      </c>
      <c r="W158" s="171">
        <f t="shared" si="231"/>
        <v>2.0440417199618621</v>
      </c>
      <c r="X158" s="171">
        <f t="shared" si="238"/>
        <v>117.11496370247642</v>
      </c>
      <c r="Y158" s="176">
        <f t="shared" si="239"/>
        <v>-5.1626839273982705E-5</v>
      </c>
      <c r="Z158" s="177">
        <f t="shared" si="240"/>
        <v>5.8429999999987103E-3</v>
      </c>
      <c r="AA158" s="178">
        <f t="shared" si="241"/>
        <v>117.11496370247642</v>
      </c>
      <c r="AB158" s="100">
        <v>200</v>
      </c>
      <c r="AC158" s="171">
        <v>13</v>
      </c>
      <c r="AD158" s="171">
        <v>4</v>
      </c>
      <c r="AE158" s="179">
        <f t="shared" si="232"/>
        <v>82.885036297523584</v>
      </c>
      <c r="AF158" s="180">
        <f t="shared" si="201"/>
        <v>0.1534331020412972</v>
      </c>
      <c r="AG158" s="382"/>
      <c r="AH158" s="385"/>
      <c r="AI158" s="388"/>
      <c r="AJ158" s="171">
        <f t="shared" si="202"/>
        <v>1.5880625919172104</v>
      </c>
      <c r="AK158" s="171">
        <f t="shared" si="242"/>
        <v>0.33</v>
      </c>
      <c r="AL158" s="180">
        <f t="shared" si="203"/>
        <v>17.587905559497941</v>
      </c>
      <c r="AM158" s="180">
        <f t="shared" si="204"/>
        <v>9.2171293134397665</v>
      </c>
      <c r="AN158" s="180">
        <f t="shared" si="205"/>
        <v>8.5926552349140781</v>
      </c>
      <c r="AO158" s="180">
        <f t="shared" si="206"/>
        <v>4.4200618528398019</v>
      </c>
      <c r="AP158" s="180">
        <f t="shared" si="207"/>
        <v>0.16901107101035076</v>
      </c>
      <c r="AQ158" s="175">
        <f t="shared" si="208"/>
        <v>4.5391435343272696E-2</v>
      </c>
      <c r="AR158" s="171">
        <f t="shared" si="209"/>
        <v>259399589.54544705</v>
      </c>
      <c r="AS158" s="171">
        <f t="shared" si="210"/>
        <v>1.8230874932415077E-3</v>
      </c>
      <c r="AT158" s="180">
        <f t="shared" si="211"/>
        <v>588.40067829861562</v>
      </c>
      <c r="AU158" s="171">
        <f t="shared" si="212"/>
        <v>22722.884459417219</v>
      </c>
      <c r="AV158" s="297"/>
      <c r="AW158" s="297"/>
      <c r="AX158" s="297"/>
      <c r="AY158" s="297"/>
      <c r="AZ158" s="297"/>
      <c r="BA158" s="392"/>
      <c r="BB158" s="392"/>
      <c r="BC158" s="392"/>
      <c r="BD158" s="297"/>
      <c r="BE158" s="297"/>
      <c r="BF158" s="297"/>
      <c r="BG158" s="297"/>
      <c r="BH158" s="390"/>
      <c r="BI158" s="392"/>
      <c r="BJ158" s="392"/>
      <c r="BK158" s="392"/>
      <c r="BL158" s="180">
        <f t="shared" si="213"/>
        <v>-3.4580277188075631E-2</v>
      </c>
      <c r="BM158" s="175">
        <f t="shared" si="214"/>
        <v>796.71401311997647</v>
      </c>
      <c r="BN158" s="171">
        <f t="shared" si="215"/>
        <v>7344.9965466735048</v>
      </c>
      <c r="BO158" s="180">
        <f t="shared" si="216"/>
        <v>59.902733890424919</v>
      </c>
      <c r="BP158" s="181">
        <f t="shared" si="234"/>
        <v>68.888143973988662</v>
      </c>
      <c r="BQ158" s="180">
        <f t="shared" si="235"/>
        <v>304.48985729236335</v>
      </c>
      <c r="BR158" s="180">
        <f t="shared" si="217"/>
        <v>3.2159971968110042</v>
      </c>
      <c r="BS158" s="180">
        <f t="shared" si="218"/>
        <v>727.92959984752997</v>
      </c>
      <c r="BT158" s="180">
        <f t="shared" si="219"/>
        <v>742.78530596686733</v>
      </c>
      <c r="BU158" s="171">
        <f t="shared" si="220"/>
        <v>891.69904677895238</v>
      </c>
      <c r="BV158" s="171">
        <f t="shared" si="236"/>
        <v>445.84952338947619</v>
      </c>
      <c r="BW158" s="171">
        <f t="shared" si="237"/>
        <v>445.84952338947619</v>
      </c>
      <c r="BX158" s="180">
        <f t="shared" si="221"/>
        <v>42.461859370426303</v>
      </c>
      <c r="BY158" s="180">
        <f t="shared" si="222"/>
        <v>3.6266047666262138E-3</v>
      </c>
      <c r="BZ158" s="180">
        <f t="shared" si="223"/>
        <v>3.6266047666262138E-3</v>
      </c>
      <c r="CA158" s="182">
        <f t="shared" si="224"/>
        <v>7.2532095332524275E-3</v>
      </c>
      <c r="CB158" s="402"/>
      <c r="CC158" s="277"/>
      <c r="CD158" s="277"/>
      <c r="CE158" s="277"/>
      <c r="CF158" s="184"/>
    </row>
    <row r="159" spans="3:84" s="183" customFormat="1" ht="15.75" x14ac:dyDescent="0.25">
      <c r="C159" s="171">
        <v>20</v>
      </c>
      <c r="D159" s="379"/>
      <c r="E159" s="379"/>
      <c r="F159" s="172" t="s">
        <v>128</v>
      </c>
      <c r="G159" s="396"/>
      <c r="H159" s="173">
        <v>0.12986111111111101</v>
      </c>
      <c r="I159" s="171">
        <v>-8.5972609999999996</v>
      </c>
      <c r="J159" s="171">
        <v>115.615078</v>
      </c>
      <c r="K159" s="171">
        <f t="shared" si="225"/>
        <v>-0.1500505111033002</v>
      </c>
      <c r="L159" s="171">
        <f t="shared" si="225"/>
        <v>2.0178637760500604</v>
      </c>
      <c r="M159" s="171">
        <v>3443</v>
      </c>
      <c r="N159" s="235">
        <f t="shared" si="226"/>
        <v>0.3980860527257975</v>
      </c>
      <c r="O159" s="331"/>
      <c r="P159" s="174">
        <f t="shared" si="227"/>
        <v>4.9999999999992495E-2</v>
      </c>
      <c r="Q159" s="331"/>
      <c r="R159" s="175">
        <f t="shared" si="228"/>
        <v>7.9617210545171453</v>
      </c>
      <c r="S159" s="347"/>
      <c r="T159" s="171">
        <f t="shared" si="200"/>
        <v>4.0955093104436191</v>
      </c>
      <c r="U159" s="176">
        <f t="shared" si="229"/>
        <v>-5.4761755648855866E-5</v>
      </c>
      <c r="V159" s="171">
        <f t="shared" si="230"/>
        <v>1.0332349171804367E-4</v>
      </c>
      <c r="W159" s="171">
        <f t="shared" si="231"/>
        <v>2.0581572111334454</v>
      </c>
      <c r="X159" s="171">
        <f t="shared" si="238"/>
        <v>117.92372177236231</v>
      </c>
      <c r="Y159" s="176">
        <f t="shared" si="239"/>
        <v>-5.4140113396855538E-5</v>
      </c>
      <c r="Z159" s="177">
        <f t="shared" si="240"/>
        <v>5.920000000003256E-3</v>
      </c>
      <c r="AA159" s="178">
        <f t="shared" si="241"/>
        <v>117.92372177236231</v>
      </c>
      <c r="AB159" s="100">
        <v>200</v>
      </c>
      <c r="AC159" s="171">
        <v>13</v>
      </c>
      <c r="AD159" s="171">
        <v>4</v>
      </c>
      <c r="AE159" s="179">
        <f t="shared" si="232"/>
        <v>82.076278227637687</v>
      </c>
      <c r="AF159" s="180">
        <f t="shared" si="201"/>
        <v>0.15660106983485381</v>
      </c>
      <c r="AG159" s="382"/>
      <c r="AH159" s="385"/>
      <c r="AI159" s="388"/>
      <c r="AJ159" s="171">
        <f t="shared" si="202"/>
        <v>1.5706155432006843</v>
      </c>
      <c r="AK159" s="171">
        <f t="shared" si="242"/>
        <v>0.33</v>
      </c>
      <c r="AL159" s="180">
        <f t="shared" si="203"/>
        <v>17.587905559497941</v>
      </c>
      <c r="AM159" s="180">
        <f t="shared" si="204"/>
        <v>9.1158664885507541</v>
      </c>
      <c r="AN159" s="180">
        <f t="shared" si="205"/>
        <v>8.7602981366534749</v>
      </c>
      <c r="AO159" s="180">
        <f t="shared" si="206"/>
        <v>4.5062973614945472</v>
      </c>
      <c r="AP159" s="180">
        <f t="shared" si="207"/>
        <v>0.1723084809023632</v>
      </c>
      <c r="AQ159" s="175">
        <f t="shared" si="208"/>
        <v>4.5442066755717804E-2</v>
      </c>
      <c r="AR159" s="171">
        <f t="shared" si="209"/>
        <v>264460481.51801342</v>
      </c>
      <c r="AS159" s="171">
        <f t="shared" si="210"/>
        <v>1.8183264888968816E-3</v>
      </c>
      <c r="AT159" s="180">
        <f t="shared" si="211"/>
        <v>609.98691371310622</v>
      </c>
      <c r="AU159" s="171">
        <f t="shared" si="212"/>
        <v>23556.50269156399</v>
      </c>
      <c r="AV159" s="297"/>
      <c r="AW159" s="297"/>
      <c r="AX159" s="297"/>
      <c r="AY159" s="297"/>
      <c r="AZ159" s="297"/>
      <c r="BA159" s="392"/>
      <c r="BB159" s="392"/>
      <c r="BC159" s="392"/>
      <c r="BD159" s="297"/>
      <c r="BE159" s="297"/>
      <c r="BF159" s="297"/>
      <c r="BG159" s="297"/>
      <c r="BH159" s="390"/>
      <c r="BI159" s="392"/>
      <c r="BJ159" s="392"/>
      <c r="BK159" s="392"/>
      <c r="BL159" s="180">
        <f t="shared" si="213"/>
        <v>-3.9487709614127613E-2</v>
      </c>
      <c r="BM159" s="175">
        <f t="shared" si="214"/>
        <v>995.80280915909054</v>
      </c>
      <c r="BN159" s="171">
        <f t="shared" si="215"/>
        <v>7634.3944574345842</v>
      </c>
      <c r="BO159" s="180">
        <f t="shared" si="216"/>
        <v>62.29014028939941</v>
      </c>
      <c r="BP159" s="181">
        <f t="shared" si="234"/>
        <v>71.633661332809325</v>
      </c>
      <c r="BQ159" s="180">
        <f t="shared" si="235"/>
        <v>322.80257905823265</v>
      </c>
      <c r="BR159" s="180">
        <f t="shared" si="217"/>
        <v>3.2787413762665589</v>
      </c>
      <c r="BS159" s="180">
        <f t="shared" si="218"/>
        <v>771.70896361907558</v>
      </c>
      <c r="BT159" s="180">
        <f t="shared" si="219"/>
        <v>787.45812614191391</v>
      </c>
      <c r="BU159" s="171">
        <f t="shared" si="220"/>
        <v>945.32788252330613</v>
      </c>
      <c r="BV159" s="171">
        <f t="shared" si="236"/>
        <v>472.66394126165306</v>
      </c>
      <c r="BW159" s="171">
        <f t="shared" si="237"/>
        <v>472.66394126165306</v>
      </c>
      <c r="BX159" s="180">
        <f t="shared" si="221"/>
        <v>45.015613453490765</v>
      </c>
      <c r="BY159" s="180">
        <f t="shared" si="222"/>
        <v>3.8490056858324229E-3</v>
      </c>
      <c r="BZ159" s="180">
        <f t="shared" si="223"/>
        <v>3.8490056858324229E-3</v>
      </c>
      <c r="CA159" s="182">
        <f t="shared" si="224"/>
        <v>7.6980113716648459E-3</v>
      </c>
      <c r="CB159" s="402"/>
      <c r="CC159" s="277"/>
      <c r="CD159" s="277"/>
      <c r="CE159" s="277"/>
      <c r="CF159" s="184"/>
    </row>
    <row r="160" spans="3:84" s="109" customFormat="1" ht="15.75" x14ac:dyDescent="0.25">
      <c r="C160" s="100">
        <v>21</v>
      </c>
      <c r="D160" s="379"/>
      <c r="E160" s="379"/>
      <c r="F160" s="163" t="s">
        <v>128</v>
      </c>
      <c r="G160" s="340">
        <v>0.131944444444444</v>
      </c>
      <c r="H160" s="101">
        <v>0.131944444444445</v>
      </c>
      <c r="I160" s="100">
        <v>-8.6002460000000003</v>
      </c>
      <c r="J160" s="100">
        <v>115.621202</v>
      </c>
      <c r="K160" s="100">
        <f t="shared" si="225"/>
        <v>-0.15010260918147225</v>
      </c>
      <c r="L160" s="100">
        <f t="shared" si="225"/>
        <v>2.0179706600134528</v>
      </c>
      <c r="M160" s="100">
        <v>3443</v>
      </c>
      <c r="N160" s="234">
        <f t="shared" si="226"/>
        <v>0.40567556865953053</v>
      </c>
      <c r="O160" s="358"/>
      <c r="P160" s="102">
        <f t="shared" si="227"/>
        <v>5.000000000001581E-2</v>
      </c>
      <c r="Q160" s="358"/>
      <c r="R160" s="103">
        <f t="shared" si="228"/>
        <v>8.1135113731880448</v>
      </c>
      <c r="S160" s="348"/>
      <c r="T160" s="100">
        <f t="shared" si="200"/>
        <v>4.1735902503679299</v>
      </c>
      <c r="U160" s="165">
        <f t="shared" si="229"/>
        <v>-5.2696699048358856E-5</v>
      </c>
      <c r="V160" s="100">
        <f t="shared" si="230"/>
        <v>1.0688396339242345E-4</v>
      </c>
      <c r="W160" s="100">
        <f t="shared" si="231"/>
        <v>2.0288501360779323</v>
      </c>
      <c r="X160" s="100">
        <f t="shared" si="238"/>
        <v>116.24455006180828</v>
      </c>
      <c r="Y160" s="165">
        <f t="shared" si="239"/>
        <v>-5.2098078172052587E-5</v>
      </c>
      <c r="Z160" s="166">
        <f t="shared" si="240"/>
        <v>6.1239999999997963E-3</v>
      </c>
      <c r="AA160" s="167">
        <f t="shared" si="241"/>
        <v>116.24455006180828</v>
      </c>
      <c r="AB160" s="100">
        <v>200</v>
      </c>
      <c r="AC160" s="100">
        <v>13</v>
      </c>
      <c r="AD160" s="100">
        <v>4</v>
      </c>
      <c r="AE160" s="169">
        <f t="shared" si="232"/>
        <v>83.755449938191717</v>
      </c>
      <c r="AF160" s="104">
        <f t="shared" si="201"/>
        <v>0.15958667133127272</v>
      </c>
      <c r="AG160" s="382"/>
      <c r="AH160" s="385"/>
      <c r="AI160" s="388"/>
      <c r="AJ160" s="100">
        <f t="shared" si="202"/>
        <v>1.5539946367058406</v>
      </c>
      <c r="AK160" s="100">
        <f t="shared" si="242"/>
        <v>0.33</v>
      </c>
      <c r="AL160" s="104">
        <f t="shared" si="203"/>
        <v>17.587905559497941</v>
      </c>
      <c r="AM160" s="104">
        <f t="shared" si="204"/>
        <v>9.0193986004150499</v>
      </c>
      <c r="AN160" s="104">
        <f t="shared" si="205"/>
        <v>8.9178475942950381</v>
      </c>
      <c r="AO160" s="104">
        <f t="shared" si="206"/>
        <v>4.5873408025053672</v>
      </c>
      <c r="AP160" s="104">
        <f t="shared" si="207"/>
        <v>0.1754073603342885</v>
      </c>
      <c r="AQ160" s="103">
        <f t="shared" si="208"/>
        <v>4.5490300699806863E-2</v>
      </c>
      <c r="AR160" s="100">
        <f t="shared" si="209"/>
        <v>269216667.29854739</v>
      </c>
      <c r="AS160" s="100">
        <f t="shared" si="210"/>
        <v>1.8139509806168576E-3</v>
      </c>
      <c r="AT160" s="104">
        <f t="shared" si="211"/>
        <v>630.6037049327665</v>
      </c>
      <c r="AU160" s="100">
        <f t="shared" si="212"/>
        <v>24352.682883202913</v>
      </c>
      <c r="AV160" s="297"/>
      <c r="AW160" s="297"/>
      <c r="AX160" s="297"/>
      <c r="AY160" s="297"/>
      <c r="AZ160" s="297"/>
      <c r="BA160" s="392"/>
      <c r="BB160" s="392"/>
      <c r="BC160" s="392"/>
      <c r="BD160" s="297"/>
      <c r="BE160" s="297"/>
      <c r="BF160" s="297"/>
      <c r="BG160" s="297"/>
      <c r="BH160" s="390"/>
      <c r="BI160" s="392"/>
      <c r="BJ160" s="392"/>
      <c r="BK160" s="392"/>
      <c r="BL160" s="104">
        <f t="shared" si="213"/>
        <v>-4.4431359937799342E-2</v>
      </c>
      <c r="BM160" s="103">
        <f t="shared" si="214"/>
        <v>1220.7765280868671</v>
      </c>
      <c r="BN160" s="100">
        <f t="shared" si="215"/>
        <v>7911.465056957526</v>
      </c>
      <c r="BO160" s="104">
        <f t="shared" si="216"/>
        <v>64.605823256957876</v>
      </c>
      <c r="BP160" s="170">
        <f t="shared" si="234"/>
        <v>74.296696745501563</v>
      </c>
      <c r="BQ160" s="104">
        <f t="shared" si="235"/>
        <v>340.82426847200708</v>
      </c>
      <c r="BR160" s="104">
        <f t="shared" si="217"/>
        <v>3.3377078540644343</v>
      </c>
      <c r="BS160" s="104">
        <f t="shared" si="218"/>
        <v>814.79257001634619</v>
      </c>
      <c r="BT160" s="104">
        <f t="shared" si="219"/>
        <v>831.42098981259812</v>
      </c>
      <c r="BU160" s="100">
        <f t="shared" si="220"/>
        <v>998.10442954693656</v>
      </c>
      <c r="BV160" s="100">
        <f t="shared" si="236"/>
        <v>499.05221477346828</v>
      </c>
      <c r="BW160" s="100">
        <f t="shared" si="237"/>
        <v>499.05221477346828</v>
      </c>
      <c r="BX160" s="104">
        <f t="shared" si="221"/>
        <v>47.528782359377928</v>
      </c>
      <c r="BY160" s="104">
        <f t="shared" si="222"/>
        <v>4.0682047284389808E-3</v>
      </c>
      <c r="BZ160" s="104">
        <f t="shared" si="223"/>
        <v>4.0682047284389808E-3</v>
      </c>
      <c r="CA160" s="108">
        <f t="shared" si="224"/>
        <v>8.1364094568779615E-3</v>
      </c>
      <c r="CB160" s="402"/>
      <c r="CC160" s="276">
        <f t="shared" ref="CC160" si="253">SUM(CA160:CA164)*1000</f>
        <v>60.033079121413095</v>
      </c>
      <c r="CD160" s="407">
        <v>56</v>
      </c>
      <c r="CE160" s="276">
        <f t="shared" ref="CE160" si="254">AVERAGE(AN160:AN164)</f>
        <v>9.7870147695758796</v>
      </c>
      <c r="CF160" s="117"/>
    </row>
    <row r="161" spans="3:84" s="109" customFormat="1" ht="15.75" x14ac:dyDescent="0.25">
      <c r="C161" s="100">
        <v>22</v>
      </c>
      <c r="D161" s="379"/>
      <c r="E161" s="379"/>
      <c r="F161" s="163" t="s">
        <v>128</v>
      </c>
      <c r="G161" s="341"/>
      <c r="H161" s="101">
        <v>0.134027777777778</v>
      </c>
      <c r="I161" s="100">
        <v>-8.6044780000000003</v>
      </c>
      <c r="J161" s="100">
        <v>115.62872299999999</v>
      </c>
      <c r="K161" s="100">
        <f t="shared" si="225"/>
        <v>-0.15017647151541666</v>
      </c>
      <c r="L161" s="100">
        <f t="shared" si="225"/>
        <v>2.0181019262264952</v>
      </c>
      <c r="M161" s="100">
        <v>3443</v>
      </c>
      <c r="N161" s="234">
        <f t="shared" si="226"/>
        <v>0.51416058404852727</v>
      </c>
      <c r="O161" s="357">
        <f t="shared" ref="O161" si="255">SUM(N161:N165)</f>
        <v>2.3232030769215539</v>
      </c>
      <c r="P161" s="102">
        <f t="shared" si="227"/>
        <v>4.9999999999991829E-2</v>
      </c>
      <c r="Q161" s="357">
        <f t="shared" ref="Q161" si="256">SUM(P161:P165)</f>
        <v>0.24999999999998379</v>
      </c>
      <c r="R161" s="103">
        <f t="shared" si="228"/>
        <v>10.283211680972226</v>
      </c>
      <c r="S161" s="346">
        <f t="shared" ref="S161" si="257">AVERAGE(R161:R165)</f>
        <v>9.292812307686928</v>
      </c>
      <c r="T161" s="100">
        <f t="shared" si="200"/>
        <v>5.2896840886921126</v>
      </c>
      <c r="U161" s="165">
        <f t="shared" si="229"/>
        <v>-7.4711747454987983E-5</v>
      </c>
      <c r="V161" s="100">
        <f t="shared" si="230"/>
        <v>1.3126621304238029E-4</v>
      </c>
      <c r="W161" s="100">
        <f t="shared" si="231"/>
        <v>2.0882321675516851</v>
      </c>
      <c r="X161" s="100">
        <f t="shared" si="238"/>
        <v>119.64688984416733</v>
      </c>
      <c r="Y161" s="165">
        <f t="shared" si="239"/>
        <v>-7.3862333944407776E-5</v>
      </c>
      <c r="Z161" s="166">
        <f t="shared" si="240"/>
        <v>7.5209999999970023E-3</v>
      </c>
      <c r="AA161" s="167">
        <f t="shared" si="241"/>
        <v>119.64688984416733</v>
      </c>
      <c r="AB161" s="100">
        <v>200</v>
      </c>
      <c r="AC161" s="100">
        <v>13</v>
      </c>
      <c r="AD161" s="100">
        <v>4</v>
      </c>
      <c r="AE161" s="169">
        <f t="shared" si="232"/>
        <v>80.353110155832667</v>
      </c>
      <c r="AF161" s="104">
        <f t="shared" si="201"/>
        <v>0.20226304583540572</v>
      </c>
      <c r="AG161" s="382"/>
      <c r="AH161" s="385"/>
      <c r="AI161" s="388"/>
      <c r="AJ161" s="100">
        <f t="shared" si="202"/>
        <v>1.2975120902185162</v>
      </c>
      <c r="AK161" s="100">
        <f t="shared" si="242"/>
        <v>0.33</v>
      </c>
      <c r="AL161" s="104">
        <f t="shared" si="203"/>
        <v>17.587905559497941</v>
      </c>
      <c r="AM161" s="104">
        <f t="shared" si="204"/>
        <v>7.5307716346731119</v>
      </c>
      <c r="AN161" s="104">
        <f t="shared" si="205"/>
        <v>11.120685078440768</v>
      </c>
      <c r="AO161" s="104">
        <f t="shared" si="206"/>
        <v>5.7204804043499307</v>
      </c>
      <c r="AP161" s="104">
        <f t="shared" si="207"/>
        <v>0.21873551819455661</v>
      </c>
      <c r="AQ161" s="103">
        <f t="shared" si="208"/>
        <v>4.6234614182655891E-2</v>
      </c>
      <c r="AR161" s="100">
        <f t="shared" si="209"/>
        <v>335717082.31588995</v>
      </c>
      <c r="AS161" s="100">
        <f t="shared" si="210"/>
        <v>1.7610458349022532E-3</v>
      </c>
      <c r="AT161" s="104">
        <f t="shared" si="211"/>
        <v>952.01682447053167</v>
      </c>
      <c r="AU161" s="100">
        <f t="shared" si="212"/>
        <v>36765.029517669187</v>
      </c>
      <c r="AV161" s="297"/>
      <c r="AW161" s="297"/>
      <c r="AX161" s="297"/>
      <c r="AY161" s="297"/>
      <c r="AZ161" s="297"/>
      <c r="BA161" s="392"/>
      <c r="BB161" s="392"/>
      <c r="BC161" s="392"/>
      <c r="BD161" s="297"/>
      <c r="BE161" s="297"/>
      <c r="BF161" s="297"/>
      <c r="BG161" s="297"/>
      <c r="BH161" s="390"/>
      <c r="BI161" s="392"/>
      <c r="BJ161" s="392"/>
      <c r="BK161" s="392"/>
      <c r="BL161" s="104">
        <f t="shared" si="213"/>
        <v>-0.14174506570602849</v>
      </c>
      <c r="BM161" s="103">
        <f t="shared" si="214"/>
        <v>12227.594264566549</v>
      </c>
      <c r="BN161" s="100">
        <f t="shared" si="215"/>
        <v>12302.685071501823</v>
      </c>
      <c r="BO161" s="104">
        <f t="shared" si="216"/>
        <v>108.27825393912345</v>
      </c>
      <c r="BP161" s="170">
        <f t="shared" si="234"/>
        <v>124.51999202999195</v>
      </c>
      <c r="BQ161" s="104">
        <f t="shared" si="235"/>
        <v>712.31417435737853</v>
      </c>
      <c r="BR161" s="104">
        <f t="shared" si="217"/>
        <v>4.1621700232502219</v>
      </c>
      <c r="BS161" s="104">
        <f t="shared" si="218"/>
        <v>1702.8960390224947</v>
      </c>
      <c r="BT161" s="104">
        <f t="shared" si="219"/>
        <v>1737.6490194107089</v>
      </c>
      <c r="BU161" s="100">
        <f t="shared" si="220"/>
        <v>2086.0132285842842</v>
      </c>
      <c r="BV161" s="100">
        <f t="shared" si="236"/>
        <v>1043.0066142921421</v>
      </c>
      <c r="BW161" s="100">
        <f t="shared" si="237"/>
        <v>1043.0066142921421</v>
      </c>
      <c r="BX161" s="104">
        <f t="shared" si="221"/>
        <v>99.333963265918285</v>
      </c>
      <c r="BY161" s="104">
        <f t="shared" si="222"/>
        <v>8.641563105594564E-3</v>
      </c>
      <c r="BZ161" s="104">
        <f t="shared" si="223"/>
        <v>8.641563105594564E-3</v>
      </c>
      <c r="CA161" s="108">
        <f t="shared" si="224"/>
        <v>1.7283126211189128E-2</v>
      </c>
      <c r="CB161" s="402"/>
      <c r="CC161" s="277"/>
      <c r="CD161" s="408"/>
      <c r="CE161" s="277"/>
      <c r="CF161" s="117"/>
    </row>
    <row r="162" spans="3:84" s="109" customFormat="1" ht="15.75" x14ac:dyDescent="0.25">
      <c r="C162" s="100">
        <v>23</v>
      </c>
      <c r="D162" s="379"/>
      <c r="E162" s="379"/>
      <c r="F162" s="163" t="s">
        <v>128</v>
      </c>
      <c r="G162" s="341"/>
      <c r="H162" s="101">
        <v>0.13611111111111099</v>
      </c>
      <c r="I162" s="100">
        <v>-8.6072410000000001</v>
      </c>
      <c r="J162" s="100">
        <v>115.634535</v>
      </c>
      <c r="K162" s="100">
        <f t="shared" si="225"/>
        <v>-0.15022469496264926</v>
      </c>
      <c r="L162" s="100">
        <f t="shared" si="225"/>
        <v>2.0182033647626212</v>
      </c>
      <c r="M162" s="100">
        <v>3443</v>
      </c>
      <c r="N162" s="234">
        <f t="shared" si="226"/>
        <v>0.38316240933174994</v>
      </c>
      <c r="O162" s="331"/>
      <c r="P162" s="102">
        <f t="shared" si="227"/>
        <v>4.9999999999991829E-2</v>
      </c>
      <c r="Q162" s="331"/>
      <c r="R162" s="103">
        <f t="shared" si="228"/>
        <v>7.6632481866362516</v>
      </c>
      <c r="S162" s="347"/>
      <c r="T162" s="100">
        <f t="shared" si="200"/>
        <v>3.9419748672056878</v>
      </c>
      <c r="U162" s="165">
        <f t="shared" si="229"/>
        <v>-4.877846765378563E-5</v>
      </c>
      <c r="V162" s="100">
        <f t="shared" si="230"/>
        <v>1.0143853612598619E-4</v>
      </c>
      <c r="W162" s="100">
        <f t="shared" si="231"/>
        <v>2.0190208974524411</v>
      </c>
      <c r="X162" s="100">
        <f t="shared" si="238"/>
        <v>115.68137617274066</v>
      </c>
      <c r="Y162" s="165">
        <f t="shared" si="239"/>
        <v>-4.8223447232598193E-5</v>
      </c>
      <c r="Z162" s="166">
        <f t="shared" si="240"/>
        <v>5.8120000000059235E-3</v>
      </c>
      <c r="AA162" s="167">
        <f t="shared" si="241"/>
        <v>115.68137617274066</v>
      </c>
      <c r="AB162" s="100">
        <v>200</v>
      </c>
      <c r="AC162" s="100">
        <v>13</v>
      </c>
      <c r="AD162" s="100">
        <v>4</v>
      </c>
      <c r="AE162" s="169">
        <f t="shared" si="232"/>
        <v>84.318623827259344</v>
      </c>
      <c r="AF162" s="104">
        <f t="shared" si="201"/>
        <v>0.15073033282877574</v>
      </c>
      <c r="AG162" s="382"/>
      <c r="AH162" s="385"/>
      <c r="AI162" s="388"/>
      <c r="AJ162" s="100">
        <f t="shared" si="202"/>
        <v>1.6027937255517277</v>
      </c>
      <c r="AK162" s="100">
        <f t="shared" si="242"/>
        <v>0.33</v>
      </c>
      <c r="AL162" s="104">
        <f t="shared" si="203"/>
        <v>17.587905559497941</v>
      </c>
      <c r="AM162" s="104">
        <f t="shared" si="204"/>
        <v>9.3026289431986839</v>
      </c>
      <c r="AN162" s="104">
        <f t="shared" si="205"/>
        <v>8.4492506203261026</v>
      </c>
      <c r="AO162" s="104">
        <f t="shared" si="206"/>
        <v>4.3462945190957472</v>
      </c>
      <c r="AP162" s="104">
        <f t="shared" si="207"/>
        <v>0.16619041001130827</v>
      </c>
      <c r="AQ162" s="103">
        <f t="shared" si="208"/>
        <v>4.5348685528393239E-2</v>
      </c>
      <c r="AR162" s="100">
        <f t="shared" si="209"/>
        <v>255070415.71662924</v>
      </c>
      <c r="AS162" s="100">
        <f t="shared" si="210"/>
        <v>1.8272496939086395E-3</v>
      </c>
      <c r="AT162" s="104">
        <f t="shared" si="211"/>
        <v>570.22356590912477</v>
      </c>
      <c r="AU162" s="100">
        <f t="shared" si="212"/>
        <v>22020.919897060579</v>
      </c>
      <c r="AV162" s="297"/>
      <c r="AW162" s="297"/>
      <c r="AX162" s="297"/>
      <c r="AY162" s="297"/>
      <c r="AZ162" s="297"/>
      <c r="BA162" s="392"/>
      <c r="BB162" s="392"/>
      <c r="BC162" s="392"/>
      <c r="BD162" s="297"/>
      <c r="BE162" s="297"/>
      <c r="BF162" s="297"/>
      <c r="BG162" s="297"/>
      <c r="BH162" s="390"/>
      <c r="BI162" s="392"/>
      <c r="BJ162" s="392"/>
      <c r="BK162" s="392"/>
      <c r="BL162" s="104">
        <f t="shared" si="213"/>
        <v>-3.0674753819458819E-2</v>
      </c>
      <c r="BM162" s="103">
        <f t="shared" si="214"/>
        <v>654.79211648166017</v>
      </c>
      <c r="BN162" s="100">
        <f t="shared" si="215"/>
        <v>7101.8779889451343</v>
      </c>
      <c r="BO162" s="104">
        <f t="shared" si="216"/>
        <v>57.91867091080131</v>
      </c>
      <c r="BP162" s="170">
        <f t="shared" si="234"/>
        <v>66.606471547421506</v>
      </c>
      <c r="BQ162" s="104">
        <f t="shared" si="235"/>
        <v>289.49134222286494</v>
      </c>
      <c r="BR162" s="104">
        <f t="shared" si="217"/>
        <v>3.1623247491314128</v>
      </c>
      <c r="BS162" s="104">
        <f t="shared" si="218"/>
        <v>692.07335435570042</v>
      </c>
      <c r="BT162" s="104">
        <f t="shared" si="219"/>
        <v>706.1973003629596</v>
      </c>
      <c r="BU162" s="100">
        <f t="shared" si="220"/>
        <v>847.77587078386512</v>
      </c>
      <c r="BV162" s="100">
        <f t="shared" si="236"/>
        <v>423.88793539193256</v>
      </c>
      <c r="BW162" s="100">
        <f t="shared" si="237"/>
        <v>423.88793539193256</v>
      </c>
      <c r="BX162" s="104">
        <f t="shared" si="221"/>
        <v>40.370279561136435</v>
      </c>
      <c r="BY162" s="104">
        <f t="shared" si="222"/>
        <v>3.4447187141012567E-3</v>
      </c>
      <c r="BZ162" s="104">
        <f t="shared" si="223"/>
        <v>3.4447187141012567E-3</v>
      </c>
      <c r="CA162" s="108">
        <f t="shared" si="224"/>
        <v>6.8894374282025134E-3</v>
      </c>
      <c r="CB162" s="402"/>
      <c r="CC162" s="277"/>
      <c r="CD162" s="408"/>
      <c r="CE162" s="277"/>
      <c r="CF162" s="117"/>
    </row>
    <row r="163" spans="3:84" s="109" customFormat="1" ht="15.75" x14ac:dyDescent="0.25">
      <c r="C163" s="100">
        <v>24</v>
      </c>
      <c r="D163" s="379"/>
      <c r="E163" s="379"/>
      <c r="F163" s="163" t="s">
        <v>128</v>
      </c>
      <c r="G163" s="341"/>
      <c r="H163" s="101">
        <v>0.13819444444444501</v>
      </c>
      <c r="I163" s="100">
        <v>-8.6105239999999998</v>
      </c>
      <c r="J163" s="100">
        <v>115.64057200000001</v>
      </c>
      <c r="K163" s="100">
        <f t="shared" si="225"/>
        <v>-0.15028199412199222</v>
      </c>
      <c r="L163" s="100">
        <f t="shared" si="225"/>
        <v>2.0183087302895641</v>
      </c>
      <c r="M163" s="100">
        <v>3443</v>
      </c>
      <c r="N163" s="234">
        <f t="shared" si="226"/>
        <v>0.40935997715267769</v>
      </c>
      <c r="O163" s="331"/>
      <c r="P163" s="102">
        <f t="shared" si="227"/>
        <v>5.0000000000016476E-2</v>
      </c>
      <c r="Q163" s="331"/>
      <c r="R163" s="103">
        <f t="shared" si="228"/>
        <v>8.1871995430508555</v>
      </c>
      <c r="S163" s="347"/>
      <c r="T163" s="100">
        <f t="shared" si="200"/>
        <v>4.2114954449453599</v>
      </c>
      <c r="U163" s="165">
        <f t="shared" si="229"/>
        <v>-5.7959100663181843E-5</v>
      </c>
      <c r="V163" s="100">
        <f t="shared" si="230"/>
        <v>1.0536552694295764E-4</v>
      </c>
      <c r="W163" s="100">
        <f t="shared" si="231"/>
        <v>2.0736982718122796</v>
      </c>
      <c r="X163" s="100">
        <f t="shared" si="238"/>
        <v>118.81415895841623</v>
      </c>
      <c r="Y163" s="165">
        <f t="shared" si="239"/>
        <v>-5.7299159342966144E-5</v>
      </c>
      <c r="Z163" s="166">
        <f t="shared" si="240"/>
        <v>6.0370000000062873E-3</v>
      </c>
      <c r="AA163" s="167">
        <f t="shared" si="241"/>
        <v>118.81415895841623</v>
      </c>
      <c r="AB163" s="100">
        <v>200</v>
      </c>
      <c r="AC163" s="100">
        <v>13</v>
      </c>
      <c r="AD163" s="100">
        <v>4</v>
      </c>
      <c r="AE163" s="169">
        <f t="shared" si="232"/>
        <v>81.185841041583771</v>
      </c>
      <c r="AF163" s="104">
        <f t="shared" si="201"/>
        <v>0.16103606225512851</v>
      </c>
      <c r="AG163" s="382"/>
      <c r="AH163" s="385"/>
      <c r="AI163" s="388"/>
      <c r="AJ163" s="100">
        <f t="shared" si="202"/>
        <v>1.5458634948997938</v>
      </c>
      <c r="AK163" s="100">
        <f t="shared" si="242"/>
        <v>0.33</v>
      </c>
      <c r="AL163" s="104">
        <f t="shared" si="203"/>
        <v>17.587905559497941</v>
      </c>
      <c r="AM163" s="104">
        <f t="shared" si="204"/>
        <v>8.9722053815370888</v>
      </c>
      <c r="AN163" s="104">
        <f t="shared" si="205"/>
        <v>8.9941754354996419</v>
      </c>
      <c r="AO163" s="104">
        <f t="shared" si="206"/>
        <v>4.6266038440210151</v>
      </c>
      <c r="AP163" s="104">
        <f t="shared" si="207"/>
        <v>0.17690867160969975</v>
      </c>
      <c r="AQ163" s="103">
        <f t="shared" si="208"/>
        <v>4.5513897309246452E-2</v>
      </c>
      <c r="AR163" s="100">
        <f t="shared" si="209"/>
        <v>271520892.26022327</v>
      </c>
      <c r="AS163" s="100">
        <f t="shared" si="210"/>
        <v>1.8118644819972915E-3</v>
      </c>
      <c r="AT163" s="104">
        <f t="shared" si="211"/>
        <v>640.70675047778775</v>
      </c>
      <c r="AU163" s="100">
        <f t="shared" si="212"/>
        <v>24742.84276077403</v>
      </c>
      <c r="AV163" s="297"/>
      <c r="AW163" s="297"/>
      <c r="AX163" s="297"/>
      <c r="AY163" s="297"/>
      <c r="AZ163" s="297"/>
      <c r="BA163" s="392"/>
      <c r="BB163" s="392"/>
      <c r="BC163" s="392"/>
      <c r="BD163" s="297"/>
      <c r="BE163" s="297"/>
      <c r="BF163" s="297"/>
      <c r="BG163" s="297"/>
      <c r="BH163" s="390"/>
      <c r="BI163" s="392"/>
      <c r="BJ163" s="392"/>
      <c r="BK163" s="392"/>
      <c r="BL163" s="104">
        <f t="shared" si="213"/>
        <v>-4.6940248533175466E-2</v>
      </c>
      <c r="BM163" s="103">
        <f t="shared" si="214"/>
        <v>1344.6860556629308</v>
      </c>
      <c r="BN163" s="100">
        <f t="shared" si="215"/>
        <v>8047.4730526251742</v>
      </c>
      <c r="BO163" s="104">
        <f t="shared" si="216"/>
        <v>65.754495663486907</v>
      </c>
      <c r="BP163" s="170">
        <f t="shared" si="234"/>
        <v>75.617670013009942</v>
      </c>
      <c r="BQ163" s="104">
        <f t="shared" si="235"/>
        <v>349.85300275810442</v>
      </c>
      <c r="BR163" s="104">
        <f t="shared" si="217"/>
        <v>3.3662752894661523</v>
      </c>
      <c r="BS163" s="104">
        <f t="shared" si="218"/>
        <v>836.37714099172013</v>
      </c>
      <c r="BT163" s="104">
        <f t="shared" si="219"/>
        <v>853.44606223644917</v>
      </c>
      <c r="BU163" s="100">
        <f t="shared" si="220"/>
        <v>1024.5450927208274</v>
      </c>
      <c r="BV163" s="100">
        <f t="shared" si="236"/>
        <v>512.27254636041368</v>
      </c>
      <c r="BW163" s="100">
        <f t="shared" si="237"/>
        <v>512.27254636041368</v>
      </c>
      <c r="BX163" s="104">
        <f t="shared" si="221"/>
        <v>48.787861558134637</v>
      </c>
      <c r="BY163" s="104">
        <f t="shared" si="222"/>
        <v>4.1781411964354155E-3</v>
      </c>
      <c r="BZ163" s="104">
        <f t="shared" si="223"/>
        <v>4.1781411964354155E-3</v>
      </c>
      <c r="CA163" s="108">
        <f t="shared" si="224"/>
        <v>8.356282392870831E-3</v>
      </c>
      <c r="CB163" s="402"/>
      <c r="CC163" s="277"/>
      <c r="CD163" s="408"/>
      <c r="CE163" s="277"/>
      <c r="CF163" s="117"/>
    </row>
    <row r="164" spans="3:84" s="109" customFormat="1" ht="15.75" x14ac:dyDescent="0.25">
      <c r="C164" s="100">
        <v>25</v>
      </c>
      <c r="D164" s="379"/>
      <c r="E164" s="379"/>
      <c r="F164" s="163" t="s">
        <v>128</v>
      </c>
      <c r="G164" s="342"/>
      <c r="H164" s="101">
        <v>0.140277777777778</v>
      </c>
      <c r="I164" s="100">
        <v>-8.6148220000000002</v>
      </c>
      <c r="J164" s="100">
        <v>115.64838</v>
      </c>
      <c r="K164" s="100">
        <f t="shared" si="225"/>
        <v>-0.15035700837324295</v>
      </c>
      <c r="L164" s="100">
        <f t="shared" si="225"/>
        <v>2.01844500559756</v>
      </c>
      <c r="M164" s="100">
        <v>3443</v>
      </c>
      <c r="N164" s="234">
        <f t="shared" si="226"/>
        <v>0.5309550318111681</v>
      </c>
      <c r="O164" s="331"/>
      <c r="P164" s="102">
        <f t="shared" si="227"/>
        <v>4.9999999999991829E-2</v>
      </c>
      <c r="Q164" s="331"/>
      <c r="R164" s="103">
        <f t="shared" si="228"/>
        <v>10.619100636225097</v>
      </c>
      <c r="S164" s="347"/>
      <c r="T164" s="100">
        <f t="shared" si="200"/>
        <v>5.4624653672741896</v>
      </c>
      <c r="U164" s="165">
        <f t="shared" si="229"/>
        <v>-7.5878989850331835E-5</v>
      </c>
      <c r="V164" s="100">
        <f t="shared" si="230"/>
        <v>1.3627530799587007E-4</v>
      </c>
      <c r="W164" s="100">
        <f t="shared" si="231"/>
        <v>2.0788503042994195</v>
      </c>
      <c r="X164" s="100">
        <f t="shared" si="238"/>
        <v>119.10934867584363</v>
      </c>
      <c r="Y164" s="165">
        <f t="shared" si="239"/>
        <v>-7.5014251250726804E-5</v>
      </c>
      <c r="Z164" s="166">
        <f t="shared" si="240"/>
        <v>7.8079999999971506E-3</v>
      </c>
      <c r="AA164" s="167">
        <f t="shared" si="241"/>
        <v>119.10934867584363</v>
      </c>
      <c r="AB164" s="100">
        <v>200</v>
      </c>
      <c r="AC164" s="100">
        <v>13</v>
      </c>
      <c r="AD164" s="100">
        <v>4</v>
      </c>
      <c r="AE164" s="169">
        <f t="shared" si="232"/>
        <v>80.890651324156366</v>
      </c>
      <c r="AF164" s="104">
        <f t="shared" si="201"/>
        <v>0.20886972916155258</v>
      </c>
      <c r="AG164" s="382"/>
      <c r="AH164" s="385"/>
      <c r="AI164" s="388"/>
      <c r="AJ164" s="100">
        <f t="shared" si="202"/>
        <v>1.2546480086239216</v>
      </c>
      <c r="AK164" s="100">
        <f t="shared" si="242"/>
        <v>0.33</v>
      </c>
      <c r="AL164" s="104">
        <f t="shared" si="203"/>
        <v>17.587905559497941</v>
      </c>
      <c r="AM164" s="104">
        <f t="shared" si="204"/>
        <v>7.2819881264095976</v>
      </c>
      <c r="AN164" s="104">
        <f t="shared" si="205"/>
        <v>11.453115119317845</v>
      </c>
      <c r="AO164" s="104">
        <f t="shared" si="206"/>
        <v>5.891482417377099</v>
      </c>
      <c r="AP164" s="104">
        <f t="shared" si="207"/>
        <v>0.22527416727433797</v>
      </c>
      <c r="AQ164" s="103">
        <f t="shared" si="208"/>
        <v>4.6359005936787628E-2</v>
      </c>
      <c r="AR164" s="100">
        <f t="shared" si="209"/>
        <v>345752654.9996056</v>
      </c>
      <c r="AS164" s="100">
        <f t="shared" si="210"/>
        <v>1.7541621472033856E-3</v>
      </c>
      <c r="AT164" s="104">
        <f t="shared" si="211"/>
        <v>1005.8376004043841</v>
      </c>
      <c r="AU164" s="100">
        <f t="shared" si="212"/>
        <v>38843.482718296626</v>
      </c>
      <c r="AV164" s="297"/>
      <c r="AW164" s="297"/>
      <c r="AX164" s="297"/>
      <c r="AY164" s="297"/>
      <c r="AZ164" s="297"/>
      <c r="BA164" s="392"/>
      <c r="BB164" s="392"/>
      <c r="BC164" s="392"/>
      <c r="BD164" s="297"/>
      <c r="BE164" s="297"/>
      <c r="BF164" s="297"/>
      <c r="BG164" s="297"/>
      <c r="BH164" s="390"/>
      <c r="BI164" s="392"/>
      <c r="BJ164" s="392"/>
      <c r="BK164" s="392"/>
      <c r="BL164" s="104">
        <f t="shared" si="213"/>
        <v>-0.1597482697345482</v>
      </c>
      <c r="BM164" s="103">
        <f t="shared" si="214"/>
        <v>15969.054140760991</v>
      </c>
      <c r="BN164" s="100">
        <f t="shared" si="215"/>
        <v>13049.205612299647</v>
      </c>
      <c r="BO164" s="104">
        <f t="shared" si="216"/>
        <v>117.50079456573364</v>
      </c>
      <c r="BP164" s="170">
        <f t="shared" si="234"/>
        <v>135.1259137505937</v>
      </c>
      <c r="BQ164" s="104">
        <f t="shared" si="235"/>
        <v>796.09194499363718</v>
      </c>
      <c r="BR164" s="104">
        <f t="shared" si="217"/>
        <v>4.2865895478754448</v>
      </c>
      <c r="BS164" s="104">
        <f t="shared" si="218"/>
        <v>1903.1796202151986</v>
      </c>
      <c r="BT164" s="104">
        <f t="shared" si="219"/>
        <v>1942.0200206277536</v>
      </c>
      <c r="BU164" s="100">
        <f t="shared" si="220"/>
        <v>2331.3565673802564</v>
      </c>
      <c r="BV164" s="100">
        <f t="shared" si="236"/>
        <v>1165.6782836901282</v>
      </c>
      <c r="BW164" s="100">
        <f t="shared" si="237"/>
        <v>1165.6782836901282</v>
      </c>
      <c r="BX164" s="104">
        <f t="shared" si="221"/>
        <v>111.01697939905984</v>
      </c>
      <c r="BY164" s="104">
        <f t="shared" si="222"/>
        <v>9.683911816136332E-3</v>
      </c>
      <c r="BZ164" s="104">
        <f t="shared" si="223"/>
        <v>9.683911816136332E-3</v>
      </c>
      <c r="CA164" s="108">
        <f t="shared" si="224"/>
        <v>1.9367823632272664E-2</v>
      </c>
      <c r="CB164" s="402"/>
      <c r="CC164" s="277"/>
      <c r="CD164" s="408"/>
      <c r="CE164" s="277"/>
      <c r="CF164" s="117"/>
    </row>
    <row r="165" spans="3:84" s="183" customFormat="1" ht="15.75" x14ac:dyDescent="0.25">
      <c r="C165" s="171">
        <v>26</v>
      </c>
      <c r="D165" s="379"/>
      <c r="E165" s="379"/>
      <c r="F165" s="172" t="s">
        <v>128</v>
      </c>
      <c r="G165" s="394">
        <v>0.14236111111111099</v>
      </c>
      <c r="H165" s="173">
        <v>0.14236111111111099</v>
      </c>
      <c r="I165" s="171">
        <v>-8.6181110000000007</v>
      </c>
      <c r="J165" s="171">
        <v>115.655845</v>
      </c>
      <c r="K165" s="171">
        <f t="shared" si="225"/>
        <v>-0.15041441225234103</v>
      </c>
      <c r="L165" s="171">
        <f t="shared" si="225"/>
        <v>2.018575294426221</v>
      </c>
      <c r="M165" s="171">
        <v>3443</v>
      </c>
      <c r="N165" s="235">
        <f t="shared" si="226"/>
        <v>0.48556507457743114</v>
      </c>
      <c r="O165" s="358"/>
      <c r="P165" s="174">
        <f t="shared" si="227"/>
        <v>4.9999999999991829E-2</v>
      </c>
      <c r="Q165" s="358"/>
      <c r="R165" s="175">
        <f t="shared" si="228"/>
        <v>9.7113014915502092</v>
      </c>
      <c r="S165" s="348"/>
      <c r="T165" s="171">
        <f t="shared" si="200"/>
        <v>4.9954934872534276</v>
      </c>
      <c r="U165" s="176">
        <f t="shared" si="229"/>
        <v>-5.8066196908891024E-5</v>
      </c>
      <c r="V165" s="171">
        <f t="shared" si="230"/>
        <v>1.3028882866095159E-4</v>
      </c>
      <c r="W165" s="171">
        <f t="shared" si="231"/>
        <v>1.990045991765748</v>
      </c>
      <c r="X165" s="171">
        <f t="shared" si="238"/>
        <v>114.02123636510353</v>
      </c>
      <c r="Y165" s="176">
        <f t="shared" si="239"/>
        <v>-5.7403879098083532E-5</v>
      </c>
      <c r="Z165" s="177">
        <f t="shared" si="240"/>
        <v>7.4649999999962802E-3</v>
      </c>
      <c r="AA165" s="178">
        <f t="shared" si="241"/>
        <v>114.02123636510353</v>
      </c>
      <c r="AB165" s="100">
        <v>200</v>
      </c>
      <c r="AC165" s="171">
        <v>13</v>
      </c>
      <c r="AD165" s="171">
        <v>4</v>
      </c>
      <c r="AE165" s="179">
        <f t="shared" si="232"/>
        <v>85.978763634896467</v>
      </c>
      <c r="AF165" s="180">
        <f t="shared" si="201"/>
        <v>0.19101400220530665</v>
      </c>
      <c r="AG165" s="382"/>
      <c r="AH165" s="385"/>
      <c r="AI165" s="388"/>
      <c r="AJ165" s="171">
        <f t="shared" si="202"/>
        <v>1.3685474088133913</v>
      </c>
      <c r="AK165" s="171">
        <f t="shared" si="242"/>
        <v>0.33</v>
      </c>
      <c r="AL165" s="180">
        <f t="shared" si="203"/>
        <v>17.587905559497941</v>
      </c>
      <c r="AM165" s="180">
        <f t="shared" si="204"/>
        <v>7.9430612513688299</v>
      </c>
      <c r="AN165" s="180">
        <f t="shared" si="205"/>
        <v>10.549233576045467</v>
      </c>
      <c r="AO165" s="180">
        <f t="shared" si="206"/>
        <v>5.4265257515177874</v>
      </c>
      <c r="AP165" s="180">
        <f t="shared" si="207"/>
        <v>0.20749549659356545</v>
      </c>
      <c r="AQ165" s="175">
        <f t="shared" si="208"/>
        <v>4.6028469374308066E-2</v>
      </c>
      <c r="AR165" s="171">
        <f t="shared" si="209"/>
        <v>318465804.2052359</v>
      </c>
      <c r="AS165" s="171">
        <f t="shared" si="210"/>
        <v>1.7734762079306178E-3</v>
      </c>
      <c r="AT165" s="180">
        <f t="shared" si="211"/>
        <v>862.73628223434946</v>
      </c>
      <c r="AU165" s="171">
        <f t="shared" si="212"/>
        <v>33317.189430922539</v>
      </c>
      <c r="AV165" s="297"/>
      <c r="AW165" s="297"/>
      <c r="AX165" s="297"/>
      <c r="AY165" s="297"/>
      <c r="AZ165" s="297"/>
      <c r="BA165" s="392"/>
      <c r="BB165" s="392"/>
      <c r="BC165" s="392"/>
      <c r="BD165" s="297"/>
      <c r="BE165" s="297"/>
      <c r="BF165" s="297"/>
      <c r="BG165" s="297"/>
      <c r="BH165" s="390"/>
      <c r="BI165" s="392"/>
      <c r="BJ165" s="392"/>
      <c r="BK165" s="392"/>
      <c r="BL165" s="180">
        <f t="shared" si="213"/>
        <v>-0.11233200048204199</v>
      </c>
      <c r="BM165" s="175">
        <f t="shared" si="214"/>
        <v>7377.1401729670388</v>
      </c>
      <c r="BN165" s="171">
        <f t="shared" si="215"/>
        <v>11070.790668219974</v>
      </c>
      <c r="BO165" s="180">
        <f t="shared" si="216"/>
        <v>94.341984808016804</v>
      </c>
      <c r="BP165" s="181">
        <f t="shared" si="234"/>
        <v>108.49328252921933</v>
      </c>
      <c r="BQ165" s="180">
        <f t="shared" si="235"/>
        <v>588.74159151150354</v>
      </c>
      <c r="BR165" s="180">
        <f t="shared" si="217"/>
        <v>3.9482912652209983</v>
      </c>
      <c r="BS165" s="180">
        <f t="shared" si="218"/>
        <v>1407.476869454709</v>
      </c>
      <c r="BT165" s="180">
        <f t="shared" si="219"/>
        <v>1436.2008871986827</v>
      </c>
      <c r="BU165" s="171">
        <f t="shared" si="220"/>
        <v>1724.1307169251893</v>
      </c>
      <c r="BV165" s="171">
        <f t="shared" si="236"/>
        <v>862.06535846259465</v>
      </c>
      <c r="BW165" s="171">
        <f t="shared" si="237"/>
        <v>862.06535846259465</v>
      </c>
      <c r="BX165" s="180">
        <f t="shared" si="221"/>
        <v>82.101462710723297</v>
      </c>
      <c r="BY165" s="180">
        <f t="shared" si="222"/>
        <v>7.1105751719560224E-3</v>
      </c>
      <c r="BZ165" s="180">
        <f t="shared" si="223"/>
        <v>7.1105751719560224E-3</v>
      </c>
      <c r="CA165" s="182">
        <f t="shared" si="224"/>
        <v>1.4221150343912045E-2</v>
      </c>
      <c r="CB165" s="402"/>
      <c r="CC165" s="276">
        <f t="shared" ref="CC165" si="258">SUM(CA165:CA169)*1000</f>
        <v>49.007114705800603</v>
      </c>
      <c r="CD165" s="276">
        <v>42</v>
      </c>
      <c r="CE165" s="276">
        <f t="shared" ref="CE165" si="259">AVERAGE(AN165:AN169)</f>
        <v>9.3017640042711811</v>
      </c>
      <c r="CF165" s="184"/>
    </row>
    <row r="166" spans="3:84" s="183" customFormat="1" ht="15.75" x14ac:dyDescent="0.25">
      <c r="C166" s="171">
        <v>27</v>
      </c>
      <c r="D166" s="379"/>
      <c r="E166" s="379"/>
      <c r="F166" s="172" t="s">
        <v>128</v>
      </c>
      <c r="G166" s="395"/>
      <c r="H166" s="173">
        <v>0.14444444444444501</v>
      </c>
      <c r="I166" s="171">
        <v>-8.6209299999999995</v>
      </c>
      <c r="J166" s="171">
        <v>115.66127899999999</v>
      </c>
      <c r="K166" s="171">
        <f t="shared" si="225"/>
        <v>-0.15046361308395476</v>
      </c>
      <c r="L166" s="171">
        <f t="shared" si="225"/>
        <v>2.0186701356177745</v>
      </c>
      <c r="M166" s="171">
        <v>3443</v>
      </c>
      <c r="N166" s="235">
        <f t="shared" si="226"/>
        <v>0.3645929568168253</v>
      </c>
      <c r="O166" s="357">
        <f t="shared" ref="O166" si="260">SUM(N166:N170)</f>
        <v>2.035136348656593</v>
      </c>
      <c r="P166" s="174">
        <f t="shared" si="227"/>
        <v>5.0000000000016476E-2</v>
      </c>
      <c r="Q166" s="357">
        <f t="shared" ref="Q166" si="261">SUM(P166:P170)</f>
        <v>0.25000000000000844</v>
      </c>
      <c r="R166" s="175">
        <f t="shared" si="228"/>
        <v>7.2918591363341028</v>
      </c>
      <c r="S166" s="346">
        <f t="shared" ref="S166" si="262">AVERAGE(R166:R170)</f>
        <v>8.1405453946261499</v>
      </c>
      <c r="T166" s="171">
        <f t="shared" si="200"/>
        <v>3.7509323397302623</v>
      </c>
      <c r="U166" s="176">
        <f t="shared" si="229"/>
        <v>-4.9768908034869527E-5</v>
      </c>
      <c r="V166" s="171">
        <f t="shared" si="230"/>
        <v>9.4841191553562965E-5</v>
      </c>
      <c r="W166" s="171">
        <f t="shared" si="231"/>
        <v>2.0540555334111006</v>
      </c>
      <c r="X166" s="171">
        <f t="shared" si="238"/>
        <v>117.68871294994912</v>
      </c>
      <c r="Y166" s="176">
        <f t="shared" si="239"/>
        <v>-4.9200831613721574E-5</v>
      </c>
      <c r="Z166" s="177">
        <f t="shared" si="240"/>
        <v>5.4339999999939437E-3</v>
      </c>
      <c r="AA166" s="178">
        <f t="shared" si="241"/>
        <v>117.68871294994912</v>
      </c>
      <c r="AB166" s="100">
        <v>200</v>
      </c>
      <c r="AC166" s="171">
        <v>13</v>
      </c>
      <c r="AD166" s="171">
        <v>4</v>
      </c>
      <c r="AE166" s="179">
        <f t="shared" si="232"/>
        <v>82.311287050050879</v>
      </c>
      <c r="AF166" s="180">
        <f t="shared" si="201"/>
        <v>0.14342538931166149</v>
      </c>
      <c r="AG166" s="382"/>
      <c r="AH166" s="385"/>
      <c r="AI166" s="388"/>
      <c r="AJ166" s="171">
        <f t="shared" si="202"/>
        <v>1.6418993564185902</v>
      </c>
      <c r="AK166" s="171">
        <f t="shared" si="242"/>
        <v>0.33</v>
      </c>
      <c r="AL166" s="180">
        <f t="shared" si="203"/>
        <v>17.587905559497941</v>
      </c>
      <c r="AM166" s="180">
        <f t="shared" si="204"/>
        <v>9.5295983702339022</v>
      </c>
      <c r="AN166" s="180">
        <f t="shared" si="205"/>
        <v>8.0599389468554907</v>
      </c>
      <c r="AO166" s="180">
        <f t="shared" si="206"/>
        <v>4.1460325942624641</v>
      </c>
      <c r="AP166" s="180">
        <f t="shared" si="207"/>
        <v>0.15853294196548853</v>
      </c>
      <c r="AQ166" s="175">
        <f t="shared" si="208"/>
        <v>4.5235200814897958E-2</v>
      </c>
      <c r="AR166" s="171">
        <f t="shared" si="209"/>
        <v>243317670.43095881</v>
      </c>
      <c r="AS166" s="171">
        <f t="shared" si="210"/>
        <v>1.8389919002188423E-3</v>
      </c>
      <c r="AT166" s="180">
        <f t="shared" si="211"/>
        <v>522.22084103761313</v>
      </c>
      <c r="AU166" s="171">
        <f t="shared" si="212"/>
        <v>20167.148459973643</v>
      </c>
      <c r="AV166" s="297"/>
      <c r="AW166" s="297"/>
      <c r="AX166" s="297"/>
      <c r="AY166" s="297"/>
      <c r="AZ166" s="297"/>
      <c r="BA166" s="392"/>
      <c r="BB166" s="392"/>
      <c r="BC166" s="392"/>
      <c r="BD166" s="297"/>
      <c r="BE166" s="297"/>
      <c r="BF166" s="297"/>
      <c r="BG166" s="297"/>
      <c r="BH166" s="390"/>
      <c r="BI166" s="392"/>
      <c r="BJ166" s="392"/>
      <c r="BK166" s="392"/>
      <c r="BL166" s="180">
        <f t="shared" si="213"/>
        <v>-2.1439213975814105E-2</v>
      </c>
      <c r="BM166" s="175">
        <f t="shared" si="214"/>
        <v>374.15217450042729</v>
      </c>
      <c r="BN166" s="171">
        <f t="shared" si="215"/>
        <v>6462.4965822166041</v>
      </c>
      <c r="BO166" s="180">
        <f t="shared" si="216"/>
        <v>52.775897526535232</v>
      </c>
      <c r="BP166" s="181">
        <f t="shared" si="234"/>
        <v>60.692282155515514</v>
      </c>
      <c r="BQ166" s="180">
        <f t="shared" si="235"/>
        <v>251.63218003694143</v>
      </c>
      <c r="BR166" s="180">
        <f t="shared" si="217"/>
        <v>3.0166159761924027</v>
      </c>
      <c r="BS166" s="180">
        <f t="shared" si="218"/>
        <v>601.56523357419019</v>
      </c>
      <c r="BT166" s="180">
        <f t="shared" si="219"/>
        <v>613.84207507570432</v>
      </c>
      <c r="BU166" s="171">
        <f t="shared" si="220"/>
        <v>736.90525219172196</v>
      </c>
      <c r="BV166" s="171">
        <f t="shared" si="236"/>
        <v>368.45262609586098</v>
      </c>
      <c r="BW166" s="171">
        <f t="shared" si="237"/>
        <v>368.45262609586098</v>
      </c>
      <c r="BX166" s="180">
        <f t="shared" si="221"/>
        <v>35.090726294843904</v>
      </c>
      <c r="BY166" s="180">
        <f t="shared" si="222"/>
        <v>2.9867315129743226E-3</v>
      </c>
      <c r="BZ166" s="180">
        <f t="shared" si="223"/>
        <v>2.9867315129743226E-3</v>
      </c>
      <c r="CA166" s="182">
        <f t="shared" si="224"/>
        <v>5.9734630259486452E-3</v>
      </c>
      <c r="CB166" s="402"/>
      <c r="CC166" s="277"/>
      <c r="CD166" s="277"/>
      <c r="CE166" s="277"/>
      <c r="CF166" s="184"/>
    </row>
    <row r="167" spans="3:84" s="183" customFormat="1" ht="15.75" x14ac:dyDescent="0.25">
      <c r="C167" s="171">
        <v>28</v>
      </c>
      <c r="D167" s="379"/>
      <c r="E167" s="379"/>
      <c r="F167" s="172" t="s">
        <v>128</v>
      </c>
      <c r="G167" s="395"/>
      <c r="H167" s="173">
        <v>0.14652777777777801</v>
      </c>
      <c r="I167" s="171">
        <v>-8.6235560000000007</v>
      </c>
      <c r="J167" s="171">
        <v>115.667068</v>
      </c>
      <c r="K167" s="171">
        <f t="shared" si="225"/>
        <v>-0.15050944543011213</v>
      </c>
      <c r="L167" s="171">
        <f t="shared" si="225"/>
        <v>2.0187711727281723</v>
      </c>
      <c r="M167" s="171">
        <v>3443</v>
      </c>
      <c r="N167" s="235">
        <f t="shared" si="226"/>
        <v>0.3784115118771621</v>
      </c>
      <c r="O167" s="331"/>
      <c r="P167" s="174">
        <f t="shared" si="227"/>
        <v>4.9999999999991829E-2</v>
      </c>
      <c r="Q167" s="331"/>
      <c r="R167" s="175">
        <f t="shared" si="228"/>
        <v>7.568230237544479</v>
      </c>
      <c r="S167" s="347"/>
      <c r="T167" s="171">
        <f t="shared" si="200"/>
        <v>3.8930976341928796</v>
      </c>
      <c r="U167" s="176">
        <f t="shared" si="229"/>
        <v>-4.6361865578063447E-5</v>
      </c>
      <c r="V167" s="171">
        <f t="shared" si="230"/>
        <v>1.0103711039777252E-4</v>
      </c>
      <c r="W167" s="171">
        <f t="shared" si="231"/>
        <v>2.000993568567349</v>
      </c>
      <c r="X167" s="171">
        <f t="shared" si="238"/>
        <v>114.64848631173061</v>
      </c>
      <c r="Y167" s="176">
        <f t="shared" si="239"/>
        <v>-4.5832346157376191E-5</v>
      </c>
      <c r="Z167" s="177">
        <f t="shared" si="240"/>
        <v>5.7890000000071495E-3</v>
      </c>
      <c r="AA167" s="178">
        <f t="shared" si="241"/>
        <v>114.64848631173061</v>
      </c>
      <c r="AB167" s="100">
        <v>200</v>
      </c>
      <c r="AC167" s="171">
        <v>13</v>
      </c>
      <c r="AD167" s="171">
        <v>4</v>
      </c>
      <c r="AE167" s="179">
        <f t="shared" si="232"/>
        <v>85.351513688269392</v>
      </c>
      <c r="AF167" s="180">
        <f t="shared" si="201"/>
        <v>0.14886140117701394</v>
      </c>
      <c r="AG167" s="382"/>
      <c r="AH167" s="385"/>
      <c r="AI167" s="388"/>
      <c r="AJ167" s="171">
        <f t="shared" si="202"/>
        <v>1.6128972444817415</v>
      </c>
      <c r="AK167" s="171">
        <f t="shared" si="242"/>
        <v>0.33</v>
      </c>
      <c r="AL167" s="180">
        <f t="shared" si="203"/>
        <v>17.587905559497941</v>
      </c>
      <c r="AM167" s="180">
        <f t="shared" si="204"/>
        <v>9.361269856329379</v>
      </c>
      <c r="AN167" s="180">
        <f t="shared" si="205"/>
        <v>8.3498855572536677</v>
      </c>
      <c r="AO167" s="180">
        <f t="shared" si="206"/>
        <v>4.2951811306512866</v>
      </c>
      <c r="AP167" s="180">
        <f t="shared" si="207"/>
        <v>0.1642359738944435</v>
      </c>
      <c r="AQ167" s="175">
        <f t="shared" si="208"/>
        <v>4.5319365071827898E-2</v>
      </c>
      <c r="AR167" s="171">
        <f t="shared" si="209"/>
        <v>252070731.00084832</v>
      </c>
      <c r="AS167" s="171">
        <f t="shared" si="210"/>
        <v>1.8301838620490842E-3</v>
      </c>
      <c r="AT167" s="180">
        <f t="shared" si="211"/>
        <v>557.78476380993368</v>
      </c>
      <c r="AU167" s="171">
        <f t="shared" si="212"/>
        <v>21540.55766544188</v>
      </c>
      <c r="AV167" s="297"/>
      <c r="AW167" s="297"/>
      <c r="AX167" s="297"/>
      <c r="AY167" s="297"/>
      <c r="AZ167" s="297"/>
      <c r="BA167" s="392"/>
      <c r="BB167" s="392"/>
      <c r="BC167" s="392"/>
      <c r="BD167" s="297"/>
      <c r="BE167" s="297"/>
      <c r="BF167" s="297"/>
      <c r="BG167" s="297"/>
      <c r="BH167" s="390"/>
      <c r="BI167" s="392"/>
      <c r="BJ167" s="392"/>
      <c r="BK167" s="392"/>
      <c r="BL167" s="180">
        <f t="shared" si="213"/>
        <v>-2.812768204715408E-2</v>
      </c>
      <c r="BM167" s="175">
        <f t="shared" si="214"/>
        <v>569.83877781601529</v>
      </c>
      <c r="BN167" s="171">
        <f t="shared" si="215"/>
        <v>6935.8208751023603</v>
      </c>
      <c r="BO167" s="180">
        <f t="shared" si="216"/>
        <v>56.573431390571471</v>
      </c>
      <c r="BP167" s="181">
        <f t="shared" si="234"/>
        <v>65.059446099157185</v>
      </c>
      <c r="BQ167" s="180">
        <f t="shared" si="235"/>
        <v>279.44210525572441</v>
      </c>
      <c r="BR167" s="180">
        <f t="shared" si="217"/>
        <v>3.1251351080291538</v>
      </c>
      <c r="BS167" s="180">
        <f t="shared" si="218"/>
        <v>668.04911555407818</v>
      </c>
      <c r="BT167" s="180">
        <f t="shared" si="219"/>
        <v>681.68277097354917</v>
      </c>
      <c r="BU167" s="171">
        <f t="shared" si="220"/>
        <v>818.3466638337926</v>
      </c>
      <c r="BV167" s="171">
        <f t="shared" si="236"/>
        <v>409.1733319168963</v>
      </c>
      <c r="BW167" s="171">
        <f t="shared" si="237"/>
        <v>409.1733319168963</v>
      </c>
      <c r="BX167" s="180">
        <f t="shared" si="221"/>
        <v>38.968888753990122</v>
      </c>
      <c r="BY167" s="180">
        <f t="shared" si="222"/>
        <v>3.3229908287382075E-3</v>
      </c>
      <c r="BZ167" s="180">
        <f t="shared" si="223"/>
        <v>3.3229908287382075E-3</v>
      </c>
      <c r="CA167" s="182">
        <f t="shared" si="224"/>
        <v>6.6459816574764149E-3</v>
      </c>
      <c r="CB167" s="402"/>
      <c r="CC167" s="277"/>
      <c r="CD167" s="277"/>
      <c r="CE167" s="277"/>
      <c r="CF167" s="184"/>
    </row>
    <row r="168" spans="3:84" s="183" customFormat="1" ht="15.75" x14ac:dyDescent="0.25">
      <c r="C168" s="171">
        <v>29</v>
      </c>
      <c r="D168" s="379"/>
      <c r="E168" s="379"/>
      <c r="F168" s="172" t="s">
        <v>128</v>
      </c>
      <c r="G168" s="395"/>
      <c r="H168" s="173">
        <v>0.148611111111111</v>
      </c>
      <c r="I168" s="171">
        <v>-8.6271170000000001</v>
      </c>
      <c r="J168" s="171">
        <v>115.67415</v>
      </c>
      <c r="K168" s="171">
        <f t="shared" si="225"/>
        <v>-0.15057159660477565</v>
      </c>
      <c r="L168" s="171">
        <f t="shared" si="225"/>
        <v>2.0188947769457988</v>
      </c>
      <c r="M168" s="171">
        <v>3443</v>
      </c>
      <c r="N168" s="235">
        <f t="shared" si="226"/>
        <v>0.47204448890070766</v>
      </c>
      <c r="O168" s="331"/>
      <c r="P168" s="174">
        <f t="shared" si="227"/>
        <v>4.9999999999991829E-2</v>
      </c>
      <c r="Q168" s="331"/>
      <c r="R168" s="175">
        <f t="shared" si="228"/>
        <v>9.4408897780156966</v>
      </c>
      <c r="S168" s="347"/>
      <c r="T168" s="171">
        <f t="shared" si="200"/>
        <v>4.8563937018112737</v>
      </c>
      <c r="U168" s="176">
        <f t="shared" si="229"/>
        <v>-6.2869749606701619E-5</v>
      </c>
      <c r="V168" s="171">
        <f t="shared" si="230"/>
        <v>1.2360421762647178E-4</v>
      </c>
      <c r="W168" s="171">
        <f t="shared" si="231"/>
        <v>2.041330095286999</v>
      </c>
      <c r="X168" s="171">
        <f t="shared" si="238"/>
        <v>116.95959905298322</v>
      </c>
      <c r="Y168" s="176">
        <f t="shared" si="239"/>
        <v>-6.2151174663516162E-5</v>
      </c>
      <c r="Z168" s="177">
        <f t="shared" si="240"/>
        <v>7.0819999999969241E-3</v>
      </c>
      <c r="AA168" s="178">
        <f t="shared" si="241"/>
        <v>116.95959905298322</v>
      </c>
      <c r="AB168" s="100">
        <v>200</v>
      </c>
      <c r="AC168" s="171">
        <v>13</v>
      </c>
      <c r="AD168" s="171">
        <v>4</v>
      </c>
      <c r="AE168" s="179">
        <f t="shared" si="232"/>
        <v>83.040400947016778</v>
      </c>
      <c r="AF168" s="180">
        <f t="shared" si="201"/>
        <v>0.18569520701700309</v>
      </c>
      <c r="AG168" s="382"/>
      <c r="AH168" s="385"/>
      <c r="AI168" s="388"/>
      <c r="AJ168" s="171">
        <f t="shared" si="202"/>
        <v>1.4012796963393424</v>
      </c>
      <c r="AK168" s="171">
        <f t="shared" si="242"/>
        <v>0.33</v>
      </c>
      <c r="AL168" s="180">
        <f t="shared" si="203"/>
        <v>17.587905559497941</v>
      </c>
      <c r="AM168" s="180">
        <f t="shared" si="204"/>
        <v>8.1330397373472412</v>
      </c>
      <c r="AN168" s="180">
        <f t="shared" si="205"/>
        <v>10.276697684372779</v>
      </c>
      <c r="AO168" s="180">
        <f t="shared" si="206"/>
        <v>5.286333288841357</v>
      </c>
      <c r="AP168" s="180">
        <f t="shared" si="207"/>
        <v>0.20213492041762368</v>
      </c>
      <c r="AQ168" s="175">
        <f t="shared" si="208"/>
        <v>4.5933480131318864E-2</v>
      </c>
      <c r="AR168" s="171">
        <f t="shared" si="209"/>
        <v>310238347.55725551</v>
      </c>
      <c r="AS168" s="171">
        <f t="shared" si="210"/>
        <v>1.7796925609335071E-3</v>
      </c>
      <c r="AT168" s="180">
        <f t="shared" si="211"/>
        <v>821.60491008830934</v>
      </c>
      <c r="AU168" s="171">
        <f t="shared" si="212"/>
        <v>31728.776209451989</v>
      </c>
      <c r="AV168" s="297"/>
      <c r="AW168" s="297"/>
      <c r="AX168" s="297"/>
      <c r="AY168" s="297"/>
      <c r="AZ168" s="297"/>
      <c r="BA168" s="392"/>
      <c r="BB168" s="392"/>
      <c r="BC168" s="392"/>
      <c r="BD168" s="297"/>
      <c r="BE168" s="297"/>
      <c r="BF168" s="297"/>
      <c r="BG168" s="297"/>
      <c r="BH168" s="390"/>
      <c r="BI168" s="392"/>
      <c r="BJ168" s="392"/>
      <c r="BK168" s="392"/>
      <c r="BL168" s="180">
        <f t="shared" si="213"/>
        <v>-9.9149933843753632E-2</v>
      </c>
      <c r="BM168" s="175">
        <f t="shared" si="214"/>
        <v>5672.0817847867729</v>
      </c>
      <c r="BN168" s="171">
        <f t="shared" si="215"/>
        <v>10506.159357308741</v>
      </c>
      <c r="BO168" s="180">
        <f t="shared" si="216"/>
        <v>88.454009148704884</v>
      </c>
      <c r="BP168" s="181">
        <f t="shared" si="234"/>
        <v>101.72211052101062</v>
      </c>
      <c r="BQ168" s="180">
        <f t="shared" si="235"/>
        <v>537.73697905841811</v>
      </c>
      <c r="BR168" s="180">
        <f t="shared" si="217"/>
        <v>3.846288491958501</v>
      </c>
      <c r="BS168" s="180">
        <f t="shared" si="218"/>
        <v>1285.5425381652972</v>
      </c>
      <c r="BT168" s="180">
        <f t="shared" si="219"/>
        <v>1311.7781001686706</v>
      </c>
      <c r="BU168" s="171">
        <f t="shared" si="220"/>
        <v>1574.7636256526657</v>
      </c>
      <c r="BV168" s="171">
        <f t="shared" si="236"/>
        <v>787.38181282633286</v>
      </c>
      <c r="BW168" s="171">
        <f t="shared" si="237"/>
        <v>787.38181282633286</v>
      </c>
      <c r="BX168" s="180">
        <f t="shared" si="221"/>
        <v>74.98874407869836</v>
      </c>
      <c r="BY168" s="180">
        <f t="shared" si="222"/>
        <v>6.481159884455457E-3</v>
      </c>
      <c r="BZ168" s="180">
        <f t="shared" si="223"/>
        <v>6.481159884455457E-3</v>
      </c>
      <c r="CA168" s="182">
        <f t="shared" si="224"/>
        <v>1.2962319768910914E-2</v>
      </c>
      <c r="CB168" s="402"/>
      <c r="CC168" s="277"/>
      <c r="CD168" s="277"/>
      <c r="CE168" s="277"/>
      <c r="CF168" s="184"/>
    </row>
    <row r="169" spans="3:84" s="183" customFormat="1" ht="15.75" x14ac:dyDescent="0.25">
      <c r="C169" s="171">
        <v>30</v>
      </c>
      <c r="D169" s="379"/>
      <c r="E169" s="379"/>
      <c r="F169" s="172" t="s">
        <v>128</v>
      </c>
      <c r="G169" s="396"/>
      <c r="H169" s="173">
        <v>0.15069444444444499</v>
      </c>
      <c r="I169" s="171">
        <v>-8.6301030000000001</v>
      </c>
      <c r="J169" s="171">
        <v>115.680595</v>
      </c>
      <c r="K169" s="171">
        <f t="shared" si="225"/>
        <v>-0.15062371213624021</v>
      </c>
      <c r="L169" s="171">
        <f t="shared" si="225"/>
        <v>2.0190072634160896</v>
      </c>
      <c r="M169" s="171">
        <v>3443</v>
      </c>
      <c r="N169" s="235">
        <f t="shared" si="226"/>
        <v>0.42286470182829561</v>
      </c>
      <c r="O169" s="331"/>
      <c r="P169" s="174">
        <f t="shared" si="227"/>
        <v>5.000000000001581E-2</v>
      </c>
      <c r="Q169" s="331"/>
      <c r="R169" s="175">
        <f t="shared" si="228"/>
        <v>8.4572940365632387</v>
      </c>
      <c r="S169" s="347"/>
      <c r="T169" s="171">
        <f t="shared" si="200"/>
        <v>4.3504320524081299</v>
      </c>
      <c r="U169" s="176">
        <f t="shared" si="229"/>
        <v>-5.2718536456129003E-5</v>
      </c>
      <c r="V169" s="171">
        <f t="shared" si="230"/>
        <v>1.1248647029082903E-4</v>
      </c>
      <c r="W169" s="171">
        <f t="shared" si="231"/>
        <v>2.0090636693682979</v>
      </c>
      <c r="X169" s="171">
        <f t="shared" si="238"/>
        <v>115.11086902787012</v>
      </c>
      <c r="Y169" s="176">
        <f t="shared" si="239"/>
        <v>-5.2115531464558273E-5</v>
      </c>
      <c r="Z169" s="177">
        <f t="shared" si="240"/>
        <v>6.4449999999993679E-3</v>
      </c>
      <c r="AA169" s="178">
        <f t="shared" si="241"/>
        <v>115.11086902787012</v>
      </c>
      <c r="AB169" s="100">
        <v>200</v>
      </c>
      <c r="AC169" s="171">
        <v>13</v>
      </c>
      <c r="AD169" s="171">
        <v>4</v>
      </c>
      <c r="AE169" s="179">
        <f t="shared" si="232"/>
        <v>84.889130972129877</v>
      </c>
      <c r="AF169" s="180">
        <f t="shared" si="201"/>
        <v>0.16634861796399056</v>
      </c>
      <c r="AG169" s="382"/>
      <c r="AH169" s="385"/>
      <c r="AI169" s="388"/>
      <c r="AJ169" s="171">
        <f t="shared" si="202"/>
        <v>1.515711386914286</v>
      </c>
      <c r="AK169" s="171">
        <f t="shared" si="242"/>
        <v>0.33</v>
      </c>
      <c r="AL169" s="180">
        <f t="shared" si="203"/>
        <v>17.587905559497941</v>
      </c>
      <c r="AM169" s="180">
        <f t="shared" si="204"/>
        <v>8.7972022804063563</v>
      </c>
      <c r="AN169" s="180">
        <f t="shared" si="205"/>
        <v>9.2730642568285031</v>
      </c>
      <c r="AO169" s="180">
        <f t="shared" si="206"/>
        <v>4.7700642537125821</v>
      </c>
      <c r="AP169" s="180">
        <f t="shared" si="207"/>
        <v>0.18239420513769272</v>
      </c>
      <c r="AQ169" s="175">
        <f t="shared" si="208"/>
        <v>4.560139885981123E-2</v>
      </c>
      <c r="AR169" s="171">
        <f t="shared" si="209"/>
        <v>279940134.48555666</v>
      </c>
      <c r="AS169" s="171">
        <f t="shared" si="210"/>
        <v>1.8044179687273004E-3</v>
      </c>
      <c r="AT169" s="180">
        <f t="shared" si="211"/>
        <v>678.2574314908511</v>
      </c>
      <c r="AU169" s="171">
        <f t="shared" si="212"/>
        <v>26192.976687368926</v>
      </c>
      <c r="AV169" s="297"/>
      <c r="AW169" s="297"/>
      <c r="AX169" s="297"/>
      <c r="AY169" s="297"/>
      <c r="AZ169" s="297"/>
      <c r="BA169" s="392"/>
      <c r="BB169" s="392"/>
      <c r="BC169" s="392"/>
      <c r="BD169" s="297"/>
      <c r="BE169" s="297"/>
      <c r="BF169" s="297"/>
      <c r="BG169" s="297"/>
      <c r="BH169" s="390"/>
      <c r="BI169" s="392"/>
      <c r="BJ169" s="392"/>
      <c r="BK169" s="392"/>
      <c r="BL169" s="180">
        <f t="shared" si="213"/>
        <v>-5.6722970417844236E-2</v>
      </c>
      <c r="BM169" s="175">
        <f t="shared" si="214"/>
        <v>1893.6997011926885</v>
      </c>
      <c r="BN169" s="171">
        <f t="shared" si="215"/>
        <v>8554.2780124789042</v>
      </c>
      <c r="BO169" s="180">
        <f t="shared" si="216"/>
        <v>70.1136103860986</v>
      </c>
      <c r="BP169" s="181">
        <f t="shared" si="234"/>
        <v>80.630651944013394</v>
      </c>
      <c r="BQ169" s="180">
        <f t="shared" si="235"/>
        <v>384.61339059167921</v>
      </c>
      <c r="BR169" s="180">
        <f t="shared" si="217"/>
        <v>3.4706557915455556</v>
      </c>
      <c r="BS169" s="180">
        <f t="shared" si="218"/>
        <v>919.47716747944526</v>
      </c>
      <c r="BT169" s="180">
        <f t="shared" si="219"/>
        <v>938.24200763208705</v>
      </c>
      <c r="BU169" s="171">
        <f t="shared" si="220"/>
        <v>1126.3409455367191</v>
      </c>
      <c r="BV169" s="171">
        <f t="shared" si="236"/>
        <v>563.17047276835956</v>
      </c>
      <c r="BW169" s="171">
        <f t="shared" si="237"/>
        <v>563.17047276835956</v>
      </c>
      <c r="BX169" s="180">
        <f t="shared" si="221"/>
        <v>53.635283120796153</v>
      </c>
      <c r="BY169" s="180">
        <f t="shared" si="222"/>
        <v>4.6020999547762929E-3</v>
      </c>
      <c r="BZ169" s="180">
        <f t="shared" si="223"/>
        <v>4.6020999547762929E-3</v>
      </c>
      <c r="CA169" s="182">
        <f t="shared" si="224"/>
        <v>9.2041999095525857E-3</v>
      </c>
      <c r="CB169" s="402"/>
      <c r="CC169" s="277"/>
      <c r="CD169" s="277"/>
      <c r="CE169" s="277"/>
      <c r="CF169" s="184"/>
    </row>
    <row r="170" spans="3:84" s="109" customFormat="1" ht="15.75" x14ac:dyDescent="0.25">
      <c r="C170" s="100">
        <v>31</v>
      </c>
      <c r="D170" s="379"/>
      <c r="E170" s="379"/>
      <c r="F170" s="163" t="s">
        <v>128</v>
      </c>
      <c r="G170" s="340">
        <v>0.15277777777777801</v>
      </c>
      <c r="H170" s="101">
        <v>0.15277777777777801</v>
      </c>
      <c r="I170" s="100">
        <v>-8.6329440000000002</v>
      </c>
      <c r="J170" s="100">
        <v>115.686632</v>
      </c>
      <c r="K170" s="100">
        <f t="shared" si="225"/>
        <v>-0.15067329694028936</v>
      </c>
      <c r="L170" s="100">
        <f t="shared" si="225"/>
        <v>2.0191126289430326</v>
      </c>
      <c r="M170" s="100">
        <v>3443</v>
      </c>
      <c r="N170" s="234">
        <f t="shared" si="226"/>
        <v>0.39722268923360227</v>
      </c>
      <c r="O170" s="358"/>
      <c r="P170" s="102">
        <f t="shared" si="227"/>
        <v>4.9999999999992495E-2</v>
      </c>
      <c r="Q170" s="358"/>
      <c r="R170" s="103">
        <f t="shared" si="228"/>
        <v>7.9444537846732377</v>
      </c>
      <c r="S170" s="348"/>
      <c r="T170" s="100">
        <f t="shared" si="200"/>
        <v>4.0866270268359131</v>
      </c>
      <c r="U170" s="165">
        <f t="shared" si="229"/>
        <v>-5.015891633640878E-5</v>
      </c>
      <c r="V170" s="100">
        <f t="shared" si="230"/>
        <v>1.0536552694295764E-4</v>
      </c>
      <c r="W170" s="100">
        <f t="shared" si="231"/>
        <v>2.0150983682040886</v>
      </c>
      <c r="X170" s="100">
        <f t="shared" si="238"/>
        <v>115.45663180179343</v>
      </c>
      <c r="Y170" s="165">
        <f t="shared" si="239"/>
        <v>-4.9584804049151998E-5</v>
      </c>
      <c r="Z170" s="166">
        <f t="shared" si="240"/>
        <v>6.0370000000062873E-3</v>
      </c>
      <c r="AA170" s="167">
        <f t="shared" si="241"/>
        <v>115.45663180179343</v>
      </c>
      <c r="AB170" s="100">
        <v>200</v>
      </c>
      <c r="AC170" s="100">
        <v>13</v>
      </c>
      <c r="AD170" s="100">
        <v>4</v>
      </c>
      <c r="AE170" s="169">
        <f t="shared" si="232"/>
        <v>84.543368198206565</v>
      </c>
      <c r="AF170" s="104">
        <f t="shared" si="201"/>
        <v>0.1562614356135382</v>
      </c>
      <c r="AG170" s="382"/>
      <c r="AH170" s="385"/>
      <c r="AI170" s="388"/>
      <c r="AJ170" s="100">
        <f t="shared" si="202"/>
        <v>1.5724953392441163</v>
      </c>
      <c r="AK170" s="100">
        <f t="shared" si="242"/>
        <v>0.33</v>
      </c>
      <c r="AL170" s="104">
        <f t="shared" si="203"/>
        <v>17.587905559497941</v>
      </c>
      <c r="AM170" s="104">
        <f t="shared" si="204"/>
        <v>9.1267768413941432</v>
      </c>
      <c r="AN170" s="104">
        <f t="shared" si="205"/>
        <v>8.74234841522828</v>
      </c>
      <c r="AO170" s="104">
        <f t="shared" si="206"/>
        <v>4.4970640247934268</v>
      </c>
      <c r="AP170" s="104">
        <f t="shared" si="207"/>
        <v>0.17195542337131239</v>
      </c>
      <c r="AQ170" s="103">
        <f t="shared" si="208"/>
        <v>4.5436611579296113E-2</v>
      </c>
      <c r="AR170" s="100">
        <f t="shared" si="209"/>
        <v>263918605.89949313</v>
      </c>
      <c r="AS170" s="100">
        <f t="shared" si="210"/>
        <v>1.8188309944758886E-3</v>
      </c>
      <c r="AT170" s="104">
        <f t="shared" si="211"/>
        <v>607.65831797729959</v>
      </c>
      <c r="AU170" s="100">
        <f t="shared" si="212"/>
        <v>23466.576874329337</v>
      </c>
      <c r="AV170" s="297"/>
      <c r="AW170" s="297"/>
      <c r="AX170" s="297"/>
      <c r="AY170" s="297"/>
      <c r="AZ170" s="297"/>
      <c r="BA170" s="392"/>
      <c r="BB170" s="392"/>
      <c r="BC170" s="392"/>
      <c r="BD170" s="297"/>
      <c r="BE170" s="297"/>
      <c r="BF170" s="297"/>
      <c r="BG170" s="297"/>
      <c r="BH170" s="390"/>
      <c r="BI170" s="392"/>
      <c r="BJ170" s="392"/>
      <c r="BK170" s="392"/>
      <c r="BL170" s="104">
        <f t="shared" si="213"/>
        <v>-3.8944770758228289E-2</v>
      </c>
      <c r="BM170" s="103">
        <f t="shared" si="214"/>
        <v>972.6087179999638</v>
      </c>
      <c r="BN170" s="100">
        <f t="shared" si="215"/>
        <v>7603.1409863721592</v>
      </c>
      <c r="BO170" s="104">
        <f t="shared" si="216"/>
        <v>62.030848472821766</v>
      </c>
      <c r="BP170" s="170">
        <f t="shared" si="234"/>
        <v>71.335475743745036</v>
      </c>
      <c r="BQ170" s="104">
        <f t="shared" si="235"/>
        <v>320.80020165871991</v>
      </c>
      <c r="BR170" s="104">
        <f t="shared" si="217"/>
        <v>3.2720232836387515</v>
      </c>
      <c r="BS170" s="104">
        <f t="shared" si="218"/>
        <v>766.92197402233671</v>
      </c>
      <c r="BT170" s="104">
        <f t="shared" si="219"/>
        <v>782.57344287993544</v>
      </c>
      <c r="BU170" s="100">
        <f t="shared" si="220"/>
        <v>939.46391702273161</v>
      </c>
      <c r="BV170" s="100">
        <f t="shared" si="236"/>
        <v>469.7319585113658</v>
      </c>
      <c r="BW170" s="100">
        <f t="shared" si="237"/>
        <v>469.7319585113658</v>
      </c>
      <c r="BX170" s="104">
        <f t="shared" si="221"/>
        <v>44.736377001082452</v>
      </c>
      <c r="BY170" s="104">
        <f t="shared" si="222"/>
        <v>3.8246707153111229E-3</v>
      </c>
      <c r="BZ170" s="104">
        <f t="shared" si="223"/>
        <v>3.8246707153111229E-3</v>
      </c>
      <c r="CA170" s="108">
        <f t="shared" si="224"/>
        <v>7.6493414306222458E-3</v>
      </c>
      <c r="CB170" s="402"/>
      <c r="CC170" s="276">
        <f t="shared" ref="CC170" si="263">SUM(CA170:CA174)*1000</f>
        <v>46.074238876837605</v>
      </c>
      <c r="CD170" s="276">
        <v>38</v>
      </c>
      <c r="CE170" s="276">
        <f t="shared" ref="CE170" si="264">AVERAGE(AN170:AN174)</f>
        <v>9.2144088569091007</v>
      </c>
      <c r="CF170" s="117"/>
    </row>
    <row r="171" spans="3:84" s="109" customFormat="1" ht="15.75" x14ac:dyDescent="0.25">
      <c r="C171" s="100">
        <v>32</v>
      </c>
      <c r="D171" s="379"/>
      <c r="E171" s="379"/>
      <c r="F171" s="163" t="s">
        <v>128</v>
      </c>
      <c r="G171" s="341"/>
      <c r="H171" s="101">
        <v>0.15486111111111101</v>
      </c>
      <c r="I171" s="100">
        <v>-8.6359980000000007</v>
      </c>
      <c r="J171" s="100">
        <v>115.69264</v>
      </c>
      <c r="K171" s="100">
        <f t="shared" si="225"/>
        <v>-0.15072659929564527</v>
      </c>
      <c r="L171" s="100">
        <f t="shared" si="225"/>
        <v>2.0192174883244927</v>
      </c>
      <c r="M171" s="100">
        <v>3443</v>
      </c>
      <c r="N171" s="234">
        <f t="shared" si="226"/>
        <v>0.40135402362199413</v>
      </c>
      <c r="O171" s="357">
        <f t="shared" ref="O171" si="265">SUM(N171:N175)</f>
        <v>2.1038567479469088</v>
      </c>
      <c r="P171" s="102">
        <f t="shared" si="227"/>
        <v>4.9999999999991829E-2</v>
      </c>
      <c r="Q171" s="357">
        <f t="shared" ref="Q171" si="266">SUM(P171:P175)</f>
        <v>0.25000000000000777</v>
      </c>
      <c r="R171" s="103">
        <f t="shared" si="228"/>
        <v>8.0270804724411935</v>
      </c>
      <c r="S171" s="346">
        <f t="shared" ref="S171" si="267">AVERAGE(R171:R175)</f>
        <v>8.415426991787303</v>
      </c>
      <c r="T171" s="100">
        <f t="shared" si="200"/>
        <v>4.12913019502375</v>
      </c>
      <c r="U171" s="165">
        <f t="shared" si="229"/>
        <v>-5.3919934305146402E-5</v>
      </c>
      <c r="V171" s="100">
        <f t="shared" si="230"/>
        <v>1.0485938146009843E-4</v>
      </c>
      <c r="W171" s="100">
        <f t="shared" si="231"/>
        <v>2.0457486502216806</v>
      </c>
      <c r="X171" s="100">
        <f t="shared" si="238"/>
        <v>117.21276360228718</v>
      </c>
      <c r="Y171" s="165">
        <f t="shared" si="239"/>
        <v>-5.3302355355916431E-5</v>
      </c>
      <c r="Z171" s="166">
        <f t="shared" si="240"/>
        <v>6.0079999999942402E-3</v>
      </c>
      <c r="AA171" s="167">
        <f t="shared" si="241"/>
        <v>117.21276360228718</v>
      </c>
      <c r="AB171" s="100">
        <v>200</v>
      </c>
      <c r="AC171" s="100">
        <v>13</v>
      </c>
      <c r="AD171" s="100">
        <v>4</v>
      </c>
      <c r="AE171" s="169">
        <f t="shared" si="232"/>
        <v>82.787236397712817</v>
      </c>
      <c r="AF171" s="104">
        <f t="shared" si="201"/>
        <v>0.15788664046720877</v>
      </c>
      <c r="AG171" s="382"/>
      <c r="AH171" s="385"/>
      <c r="AI171" s="388"/>
      <c r="AJ171" s="100">
        <f t="shared" si="202"/>
        <v>1.5634799438231683</v>
      </c>
      <c r="AK171" s="100">
        <f t="shared" si="242"/>
        <v>0.33</v>
      </c>
      <c r="AL171" s="104">
        <f t="shared" si="203"/>
        <v>17.587905559497941</v>
      </c>
      <c r="AM171" s="104">
        <f t="shared" si="204"/>
        <v>9.0744514067232398</v>
      </c>
      <c r="AN171" s="104">
        <f t="shared" si="205"/>
        <v>8.8281903124362717</v>
      </c>
      <c r="AO171" s="104">
        <f t="shared" si="206"/>
        <v>4.5412210967172175</v>
      </c>
      <c r="AP171" s="104">
        <f t="shared" si="207"/>
        <v>0.17364386897840861</v>
      </c>
      <c r="AQ171" s="103">
        <f t="shared" si="208"/>
        <v>4.5462774296630953E-2</v>
      </c>
      <c r="AR171" s="100">
        <f t="shared" si="209"/>
        <v>266510046.18108124</v>
      </c>
      <c r="AS171" s="100">
        <f t="shared" si="210"/>
        <v>1.8164294560403136E-3</v>
      </c>
      <c r="AT171" s="104">
        <f t="shared" si="211"/>
        <v>618.83203681527414</v>
      </c>
      <c r="AU171" s="100">
        <f t="shared" si="212"/>
        <v>23898.08406237587</v>
      </c>
      <c r="AV171" s="297"/>
      <c r="AW171" s="297"/>
      <c r="AX171" s="297"/>
      <c r="AY171" s="297"/>
      <c r="AZ171" s="297"/>
      <c r="BA171" s="392"/>
      <c r="BB171" s="392"/>
      <c r="BC171" s="392"/>
      <c r="BD171" s="297"/>
      <c r="BE171" s="297"/>
      <c r="BF171" s="297"/>
      <c r="BG171" s="297"/>
      <c r="BH171" s="390"/>
      <c r="BI171" s="392"/>
      <c r="BJ171" s="392"/>
      <c r="BK171" s="392"/>
      <c r="BL171" s="104">
        <f t="shared" si="213"/>
        <v>-4.1578967419012396E-2</v>
      </c>
      <c r="BM171" s="103">
        <f t="shared" si="214"/>
        <v>1087.9150873670351</v>
      </c>
      <c r="BN171" s="100">
        <f t="shared" si="215"/>
        <v>7753.1858756126621</v>
      </c>
      <c r="BO171" s="104">
        <f t="shared" si="216"/>
        <v>63.279140681012663</v>
      </c>
      <c r="BP171" s="170">
        <f t="shared" si="234"/>
        <v>72.771011783164568</v>
      </c>
      <c r="BQ171" s="104">
        <f t="shared" si="235"/>
        <v>330.46925393916416</v>
      </c>
      <c r="BR171" s="104">
        <f t="shared" si="217"/>
        <v>3.3041515714895322</v>
      </c>
      <c r="BS171" s="104">
        <f t="shared" si="218"/>
        <v>790.03732315086461</v>
      </c>
      <c r="BT171" s="104">
        <f t="shared" si="219"/>
        <v>806.16053382741291</v>
      </c>
      <c r="BU171" s="100">
        <f t="shared" si="220"/>
        <v>967.77975249389306</v>
      </c>
      <c r="BV171" s="100">
        <f t="shared" si="236"/>
        <v>483.88987624694653</v>
      </c>
      <c r="BW171" s="100">
        <f t="shared" si="237"/>
        <v>483.88987624694653</v>
      </c>
      <c r="BX171" s="104">
        <f t="shared" si="221"/>
        <v>46.084750118756816</v>
      </c>
      <c r="BY171" s="104">
        <f t="shared" si="222"/>
        <v>3.9422165401005382E-3</v>
      </c>
      <c r="BZ171" s="104">
        <f t="shared" si="223"/>
        <v>3.9422165401005382E-3</v>
      </c>
      <c r="CA171" s="108">
        <f t="shared" si="224"/>
        <v>7.8844330802010764E-3</v>
      </c>
      <c r="CB171" s="402"/>
      <c r="CC171" s="277"/>
      <c r="CD171" s="277"/>
      <c r="CE171" s="277"/>
      <c r="CF171" s="117"/>
    </row>
    <row r="172" spans="3:84" s="109" customFormat="1" ht="15.75" x14ac:dyDescent="0.25">
      <c r="C172" s="100">
        <v>33</v>
      </c>
      <c r="D172" s="379"/>
      <c r="E172" s="379"/>
      <c r="F172" s="163" t="s">
        <v>128</v>
      </c>
      <c r="G172" s="341"/>
      <c r="H172" s="101">
        <v>0.156944444444445</v>
      </c>
      <c r="I172" s="100">
        <v>-8.6384050000000006</v>
      </c>
      <c r="J172" s="100">
        <v>115.700299</v>
      </c>
      <c r="K172" s="100">
        <f t="shared" si="225"/>
        <v>-0.15076860937074077</v>
      </c>
      <c r="L172" s="100">
        <f t="shared" si="225"/>
        <v>2.019351163091903</v>
      </c>
      <c r="M172" s="100">
        <v>3443</v>
      </c>
      <c r="N172" s="234">
        <f t="shared" si="226"/>
        <v>0.47745842204828531</v>
      </c>
      <c r="O172" s="331"/>
      <c r="P172" s="102">
        <f t="shared" si="227"/>
        <v>5.000000000001581E-2</v>
      </c>
      <c r="Q172" s="331"/>
      <c r="R172" s="103">
        <f t="shared" si="228"/>
        <v>9.5491684409626867</v>
      </c>
      <c r="S172" s="347"/>
      <c r="T172" s="100">
        <f t="shared" si="200"/>
        <v>4.9120922460312055</v>
      </c>
      <c r="U172" s="165">
        <f t="shared" si="229"/>
        <v>-4.2497127135321215E-5</v>
      </c>
      <c r="V172" s="100">
        <f t="shared" si="230"/>
        <v>1.3367476741033002E-4</v>
      </c>
      <c r="W172" s="100">
        <f t="shared" si="231"/>
        <v>1.8786062122059972</v>
      </c>
      <c r="X172" s="100">
        <f t="shared" si="238"/>
        <v>107.63620732646156</v>
      </c>
      <c r="Y172" s="165">
        <f t="shared" si="239"/>
        <v>-4.201007509549437E-5</v>
      </c>
      <c r="Z172" s="166">
        <f t="shared" si="240"/>
        <v>7.6590000000038572E-3</v>
      </c>
      <c r="AA172" s="167">
        <f t="shared" si="241"/>
        <v>107.63620732646156</v>
      </c>
      <c r="AB172" s="100">
        <v>200</v>
      </c>
      <c r="AC172" s="100">
        <v>13</v>
      </c>
      <c r="AD172" s="100">
        <v>4</v>
      </c>
      <c r="AE172" s="169">
        <f t="shared" si="232"/>
        <v>92.363792673538441</v>
      </c>
      <c r="AF172" s="104">
        <f t="shared" ref="AF172:AF203" si="268">T172/((9.81*$D$3)^0.5)</f>
        <v>0.1878249669447471</v>
      </c>
      <c r="AG172" s="382"/>
      <c r="AH172" s="385"/>
      <c r="AI172" s="388"/>
      <c r="AJ172" s="100">
        <f t="shared" ref="AJ172:AJ203" si="269">IF(AND(F172="NORMAL",AND($D$6&gt;=0.55,$D$6&lt;0.6)),1.7-1.4*AF172-7.4*AF172^2,IF(AND(F172="NORMAL",AND($D$6&gt;=0.6,$D$6&lt;0.65)),2.2-2.5*AF172-9.7*AF172^2,IF(AND(F172="NORMAL",AND($D$6&gt;=0.65,$D$6&lt;0.7)),2.6-3.7*AF172-11.6*AF172^2,IF(AND(F172="NORMAL",AND($D$6&gt;=0.7,$D$6&lt;0.75)),3.1-5.3*AF172-12.4*AF172^2,IF(AND(F172="NORMAL OR LOADED",AND($D$6&gt;=0.75,$D$6&lt;0.8)),2.4-10.6*AF172-9.5*AF172^2,IF(AND(F172="NORMAL OR LOADED",AND($D$6&gt;=0.8,$D$6&lt;0.85)),2.6-13.1*AF172-15.1*AF172^2,IF(AND(F172="NORMAL OR LOADED",AND($D$6&gt;=0.85,$D$6&lt;0.9)),3.1-18.7*AF172+28*AF172^2,IF(AND(F172="BALLAST",AND($D$6&gt;=0.75,$D$6&lt;0.8)),2.6-12.5*AF172-13.5*AF172^2,IF(AND(F172="BALLAST",AND($D$6&gt;=0.8,$D$6&lt;0.85)),IF(AND(F172="BALLAST",AND($D$6&gt;=0.85,$D$6&lt;0.9)),3.4-20.9*AF172+31.8*AF172^2))))))))))</f>
        <v>1.3882388660225176</v>
      </c>
      <c r="AK172" s="100">
        <f t="shared" si="242"/>
        <v>0.33</v>
      </c>
      <c r="AL172" s="104">
        <f t="shared" ref="AL172:AL203" si="270">IF($T$21="ALL SHIP TYPE LOADED",(0.5*AD172+AD172^6.5)/(2.2*$G$5^(2/3)),IF($T$22="ALL SHIP TYPE BALLAST",(0.7*AD172+AD172^6.5)/(2.7*J50^(2/3)),IF($T$23="CONTAINER NORMAL",(0.7*AD172+AD172^6.5)/(2.2*$G$5^(2/3)))))</f>
        <v>17.587905559497941</v>
      </c>
      <c r="AM172" s="104">
        <f t="shared" si="204"/>
        <v>8.057350642977422</v>
      </c>
      <c r="AN172" s="104">
        <f t="shared" ref="AN172:AN203" si="271">R172/(1-(0.01*AM172))</f>
        <v>10.386005306288601</v>
      </c>
      <c r="AO172" s="104">
        <f t="shared" si="206"/>
        <v>5.3425611295548556</v>
      </c>
      <c r="AP172" s="104">
        <f t="shared" si="207"/>
        <v>0.20428491919501232</v>
      </c>
      <c r="AQ172" s="103">
        <f t="shared" ref="AQ172:AQ203" si="272">N172/AN172</f>
        <v>4.5971324678525827E-2</v>
      </c>
      <c r="AR172" s="100">
        <f t="shared" ref="AR172:AR203" si="273">(AO172*$D$3)/$U$3</f>
        <v>313538183.46175474</v>
      </c>
      <c r="AS172" s="100">
        <f t="shared" si="210"/>
        <v>1.7771758252964082E-3</v>
      </c>
      <c r="AT172" s="104">
        <f t="shared" ref="AT172:AT203" si="274">0.5*1024*(AO172^2)*$W$5*$W$6*AS172</f>
        <v>837.9890746713686</v>
      </c>
      <c r="AU172" s="100">
        <f t="shared" ref="AU172:AU203" si="275">0.5*1024*AS172*$U$10*(AO172)^2</f>
        <v>32361.500630948987</v>
      </c>
      <c r="AV172" s="297"/>
      <c r="AW172" s="297"/>
      <c r="AX172" s="297"/>
      <c r="AY172" s="297"/>
      <c r="AZ172" s="297"/>
      <c r="BA172" s="392"/>
      <c r="BB172" s="392"/>
      <c r="BC172" s="392"/>
      <c r="BD172" s="297"/>
      <c r="BE172" s="297"/>
      <c r="BF172" s="297"/>
      <c r="BG172" s="297"/>
      <c r="BH172" s="390"/>
      <c r="BI172" s="392"/>
      <c r="BJ172" s="392"/>
      <c r="BK172" s="392"/>
      <c r="BL172" s="104">
        <f t="shared" ref="BL172:BL203" si="276">$BK$140*($G$6^2)*EXP(-0.1*(AP172^-2))</f>
        <v>-0.10436338878176646</v>
      </c>
      <c r="BM172" s="103">
        <f t="shared" ref="BM172:BM203" si="277">$BC$140*$BD$140*$BG$140*($D$3*$D$4*$AI$140*$AH$140)*1025*9.81*(EXP(($BK$140*(AP172^-0.9))+(BL172*COS($Y$10*(AP172^-2)))))</f>
        <v>6313.6508303761839</v>
      </c>
      <c r="BN172" s="100">
        <f t="shared" ref="BN172:BN203" si="278">0.5*1025*(AO172^2)*$AY$140*$W$3</f>
        <v>10730.844523627418</v>
      </c>
      <c r="BO172" s="104">
        <f t="shared" ref="BO172:BO203" si="279">((AU172*$U$8)+AT172+BM172+BN172)/1000</f>
        <v>90.761562047910246</v>
      </c>
      <c r="BP172" s="170">
        <f t="shared" si="234"/>
        <v>104.37579635509678</v>
      </c>
      <c r="BQ172" s="104">
        <f t="shared" si="235"/>
        <v>557.63407247307339</v>
      </c>
      <c r="BR172" s="104">
        <f t="shared" ref="BR172:BR203" si="280">(1-$AB$4)*AO172</f>
        <v>3.8871993624706791</v>
      </c>
      <c r="BS172" s="104">
        <f t="shared" ref="BS172:BS203" si="281">BQ172/$AB$10</f>
        <v>1333.1095848191765</v>
      </c>
      <c r="BT172" s="104">
        <f t="shared" ref="BT172:BT203" si="282">BS172/$AG$4</f>
        <v>1360.3159028767107</v>
      </c>
      <c r="BU172" s="100">
        <f t="shared" ref="BU172:BU203" si="283">((BT172/$AG$5)/85%)</f>
        <v>1633.032296370601</v>
      </c>
      <c r="BV172" s="100">
        <f t="shared" si="236"/>
        <v>816.51614818530049</v>
      </c>
      <c r="BW172" s="100">
        <f t="shared" si="237"/>
        <v>816.51614818530049</v>
      </c>
      <c r="BX172" s="104">
        <f t="shared" ref="BX172:BX203" si="284">(BU172/$AC$19)*100</f>
        <v>77.763442684314327</v>
      </c>
      <c r="BY172" s="104">
        <f t="shared" ref="BY172:BY203" si="285">((($AC$20*BV172*AQ172)/1000000))</f>
        <v>6.7265101484646466E-3</v>
      </c>
      <c r="BZ172" s="104">
        <f t="shared" ref="BZ172:BZ203" si="286">((($AC$20*BV172*AQ172)/1000000))</f>
        <v>6.7265101484646466E-3</v>
      </c>
      <c r="CA172" s="108">
        <f t="shared" ref="CA172:CA203" si="287">((($AC$20*BU172*AQ172)/1000000))</f>
        <v>1.3453020296929293E-2</v>
      </c>
      <c r="CB172" s="402"/>
      <c r="CC172" s="277"/>
      <c r="CD172" s="277"/>
      <c r="CE172" s="277"/>
      <c r="CF172" s="117"/>
    </row>
    <row r="173" spans="3:84" s="109" customFormat="1" ht="15.75" x14ac:dyDescent="0.25">
      <c r="C173" s="100">
        <v>34</v>
      </c>
      <c r="D173" s="379"/>
      <c r="E173" s="379"/>
      <c r="F173" s="163" t="s">
        <v>128</v>
      </c>
      <c r="G173" s="341"/>
      <c r="H173" s="101">
        <v>0.15902777777777799</v>
      </c>
      <c r="I173" s="100">
        <v>-8.6410870000000006</v>
      </c>
      <c r="J173" s="100">
        <v>115.70666199999999</v>
      </c>
      <c r="K173" s="100">
        <f t="shared" si="225"/>
        <v>-0.15081541910127927</v>
      </c>
      <c r="L173" s="100">
        <f t="shared" si="225"/>
        <v>2.0194622183922069</v>
      </c>
      <c r="M173" s="100">
        <v>3443</v>
      </c>
      <c r="N173" s="234">
        <f t="shared" ref="N173:N204" si="288">2*M173*ASIN(((SIN((K173-K172)/2))^2+COS(K172)*COS(K173)*(SIN((L173-L172)/2))^2)^0.5)</f>
        <v>0.41094642922175384</v>
      </c>
      <c r="O173" s="331"/>
      <c r="P173" s="102">
        <f t="shared" ref="P173:P204" si="289">(H173-H172)*24</f>
        <v>4.9999999999991829E-2</v>
      </c>
      <c r="Q173" s="331"/>
      <c r="R173" s="103">
        <f t="shared" ref="R173:R204" si="290">N173/P173</f>
        <v>8.2189285844364193</v>
      </c>
      <c r="S173" s="347"/>
      <c r="T173" s="100">
        <f t="shared" si="200"/>
        <v>4.2278168638340938</v>
      </c>
      <c r="U173" s="165">
        <f t="shared" ref="U173:U204" si="291">LN(TAN((K173/2)+(3.14/4))/(TAN((K172/2)+(3.14/4))))</f>
        <v>-4.7352749520721797E-5</v>
      </c>
      <c r="V173" s="100">
        <f t="shared" ref="V173:V204" si="292">ABS(L172-L173)</f>
        <v>1.110553003038639E-4</v>
      </c>
      <c r="W173" s="100">
        <f t="shared" ref="W173:W204" si="293">ATAN2(U173,V173)</f>
        <v>1.9738428132592891</v>
      </c>
      <c r="X173" s="100">
        <f t="shared" si="238"/>
        <v>113.09286262198636</v>
      </c>
      <c r="Y173" s="165">
        <f t="shared" si="239"/>
        <v>-4.6809730538499572E-5</v>
      </c>
      <c r="Z173" s="166">
        <f t="shared" si="240"/>
        <v>6.3629999999932352E-3</v>
      </c>
      <c r="AA173" s="167">
        <f t="shared" si="241"/>
        <v>113.09286262198636</v>
      </c>
      <c r="AB173" s="100">
        <v>200</v>
      </c>
      <c r="AC173" s="100">
        <v>13</v>
      </c>
      <c r="AD173" s="100">
        <v>4</v>
      </c>
      <c r="AE173" s="169">
        <f t="shared" si="232"/>
        <v>86.907137378013644</v>
      </c>
      <c r="AF173" s="104">
        <f t="shared" si="268"/>
        <v>0.16166014865451253</v>
      </c>
      <c r="AG173" s="382"/>
      <c r="AH173" s="385"/>
      <c r="AI173" s="388"/>
      <c r="AJ173" s="100">
        <f t="shared" si="269"/>
        <v>1.5423497928326277</v>
      </c>
      <c r="AK173" s="100">
        <f t="shared" si="242"/>
        <v>0.33</v>
      </c>
      <c r="AL173" s="104">
        <f t="shared" si="270"/>
        <v>17.587905559497941</v>
      </c>
      <c r="AM173" s="104">
        <f t="shared" si="204"/>
        <v>8.9518118236969855</v>
      </c>
      <c r="AN173" s="104">
        <f t="shared" si="271"/>
        <v>9.0270094870218944</v>
      </c>
      <c r="AO173" s="104">
        <f t="shared" si="206"/>
        <v>4.6434936801240623</v>
      </c>
      <c r="AP173" s="104">
        <f t="shared" si="207"/>
        <v>0.17755449272804705</v>
      </c>
      <c r="AQ173" s="103">
        <f t="shared" si="272"/>
        <v>4.5524094088144069E-2</v>
      </c>
      <c r="AR173" s="100">
        <f t="shared" si="273"/>
        <v>272512103.85374552</v>
      </c>
      <c r="AS173" s="100">
        <f t="shared" si="210"/>
        <v>1.8109734698257107E-3</v>
      </c>
      <c r="AT173" s="104">
        <f t="shared" si="274"/>
        <v>645.07582301066066</v>
      </c>
      <c r="AU173" s="100">
        <f t="shared" si="275"/>
        <v>24911.567804814345</v>
      </c>
      <c r="AV173" s="297"/>
      <c r="AW173" s="297"/>
      <c r="AX173" s="297"/>
      <c r="AY173" s="297"/>
      <c r="AZ173" s="297"/>
      <c r="BA173" s="392"/>
      <c r="BB173" s="392"/>
      <c r="BC173" s="392"/>
      <c r="BD173" s="297"/>
      <c r="BE173" s="297"/>
      <c r="BF173" s="297"/>
      <c r="BG173" s="297"/>
      <c r="BH173" s="390"/>
      <c r="BI173" s="392"/>
      <c r="BJ173" s="392"/>
      <c r="BK173" s="392"/>
      <c r="BL173" s="104">
        <f t="shared" si="276"/>
        <v>-4.8042079849651968E-2</v>
      </c>
      <c r="BM173" s="103">
        <f t="shared" si="277"/>
        <v>1401.2285657319012</v>
      </c>
      <c r="BN173" s="100">
        <f t="shared" si="278"/>
        <v>8106.3363573466704</v>
      </c>
      <c r="BO173" s="104">
        <f t="shared" si="279"/>
        <v>66.254244450078787</v>
      </c>
      <c r="BP173" s="170">
        <f t="shared" si="234"/>
        <v>76.1923811175906</v>
      </c>
      <c r="BQ173" s="104">
        <f t="shared" si="235"/>
        <v>353.7988401931359</v>
      </c>
      <c r="BR173" s="104">
        <f t="shared" si="280"/>
        <v>3.3785641821039549</v>
      </c>
      <c r="BS173" s="104">
        <f t="shared" si="281"/>
        <v>845.81026921046396</v>
      </c>
      <c r="BT173" s="104">
        <f t="shared" si="282"/>
        <v>863.07170327598362</v>
      </c>
      <c r="BU173" s="100">
        <f t="shared" si="283"/>
        <v>1036.1004841248302</v>
      </c>
      <c r="BV173" s="100">
        <f t="shared" si="236"/>
        <v>518.05024206241512</v>
      </c>
      <c r="BW173" s="100">
        <f t="shared" si="237"/>
        <v>518.05024206241512</v>
      </c>
      <c r="BX173" s="104">
        <f t="shared" si="284"/>
        <v>49.338118291658581</v>
      </c>
      <c r="BY173" s="104">
        <f t="shared" si="285"/>
        <v>4.226211218796707E-3</v>
      </c>
      <c r="BZ173" s="104">
        <f t="shared" si="286"/>
        <v>4.226211218796707E-3</v>
      </c>
      <c r="CA173" s="108">
        <f t="shared" si="287"/>
        <v>8.452422437593414E-3</v>
      </c>
      <c r="CB173" s="402"/>
      <c r="CC173" s="277"/>
      <c r="CD173" s="277"/>
      <c r="CE173" s="277"/>
      <c r="CF173" s="117"/>
    </row>
    <row r="174" spans="3:84" s="109" customFormat="1" ht="15.75" x14ac:dyDescent="0.25">
      <c r="C174" s="100">
        <v>35</v>
      </c>
      <c r="D174" s="379"/>
      <c r="E174" s="379"/>
      <c r="F174" s="163" t="s">
        <v>128</v>
      </c>
      <c r="G174" s="342"/>
      <c r="H174" s="101">
        <v>0.16111111111111101</v>
      </c>
      <c r="I174" s="100">
        <v>-8.6432850000000006</v>
      </c>
      <c r="J174" s="100">
        <v>115.71326500000001</v>
      </c>
      <c r="K174" s="100">
        <f t="shared" si="225"/>
        <v>-0.1508537814382381</v>
      </c>
      <c r="L174" s="100">
        <f t="shared" si="225"/>
        <v>2.0195774624827165</v>
      </c>
      <c r="M174" s="100">
        <v>3443</v>
      </c>
      <c r="N174" s="234">
        <f t="shared" si="288"/>
        <v>0.41391951979395908</v>
      </c>
      <c r="O174" s="331"/>
      <c r="P174" s="102">
        <f t="shared" si="289"/>
        <v>4.9999999999992495E-2</v>
      </c>
      <c r="Q174" s="331"/>
      <c r="R174" s="103">
        <f t="shared" si="290"/>
        <v>8.2783903958804235</v>
      </c>
      <c r="S174" s="347"/>
      <c r="T174" s="100">
        <f t="shared" si="200"/>
        <v>4.2584040196408894</v>
      </c>
      <c r="U174" s="165">
        <f t="shared" si="291"/>
        <v>-3.8807613958854225E-5</v>
      </c>
      <c r="V174" s="100">
        <f t="shared" si="292"/>
        <v>1.1524409050966966E-4</v>
      </c>
      <c r="W174" s="100">
        <f t="shared" si="293"/>
        <v>1.8956122268666973</v>
      </c>
      <c r="X174" s="100">
        <f t="shared" si="238"/>
        <v>108.61058019285727</v>
      </c>
      <c r="Y174" s="165">
        <f t="shared" si="239"/>
        <v>-3.8362336958835952E-5</v>
      </c>
      <c r="Z174" s="166">
        <f t="shared" si="240"/>
        <v>6.603000000012571E-3</v>
      </c>
      <c r="AA174" s="167">
        <f t="shared" si="241"/>
        <v>108.61058019285727</v>
      </c>
      <c r="AB174" s="100">
        <v>200</v>
      </c>
      <c r="AC174" s="100">
        <v>13</v>
      </c>
      <c r="AD174" s="100">
        <v>4</v>
      </c>
      <c r="AE174" s="169">
        <f t="shared" si="232"/>
        <v>91.38941980714273</v>
      </c>
      <c r="AF174" s="104">
        <f t="shared" si="268"/>
        <v>0.16282971779951116</v>
      </c>
      <c r="AG174" s="382"/>
      <c r="AH174" s="385"/>
      <c r="AI174" s="388"/>
      <c r="AJ174" s="100">
        <f t="shared" si="269"/>
        <v>1.5357445906141383</v>
      </c>
      <c r="AK174" s="100">
        <f t="shared" si="242"/>
        <v>0.33</v>
      </c>
      <c r="AL174" s="104">
        <f t="shared" si="270"/>
        <v>17.587905559497941</v>
      </c>
      <c r="AM174" s="104">
        <f t="shared" si="204"/>
        <v>8.9134751716663256</v>
      </c>
      <c r="AN174" s="104">
        <f t="shared" si="271"/>
        <v>9.0884907635704639</v>
      </c>
      <c r="AO174" s="104">
        <f t="shared" si="206"/>
        <v>4.6751196487806466</v>
      </c>
      <c r="AP174" s="104">
        <f t="shared" si="207"/>
        <v>0.17876378323400569</v>
      </c>
      <c r="AQ174" s="103">
        <f t="shared" si="272"/>
        <v>4.5543262414160006E-2</v>
      </c>
      <c r="AR174" s="100">
        <f t="shared" si="273"/>
        <v>274368132.92338955</v>
      </c>
      <c r="AS174" s="100">
        <f t="shared" si="210"/>
        <v>1.8093154959325044E-3</v>
      </c>
      <c r="AT174" s="104">
        <f t="shared" si="274"/>
        <v>653.29407949908693</v>
      </c>
      <c r="AU174" s="100">
        <f t="shared" si="275"/>
        <v>25228.940811902539</v>
      </c>
      <c r="AV174" s="297"/>
      <c r="AW174" s="297"/>
      <c r="AX174" s="297"/>
      <c r="AY174" s="297"/>
      <c r="AZ174" s="297"/>
      <c r="BA174" s="392"/>
      <c r="BB174" s="392"/>
      <c r="BC174" s="392"/>
      <c r="BD174" s="297"/>
      <c r="BE174" s="297"/>
      <c r="BF174" s="297"/>
      <c r="BG174" s="297"/>
      <c r="BH174" s="390"/>
      <c r="BI174" s="392"/>
      <c r="BJ174" s="392"/>
      <c r="BK174" s="392"/>
      <c r="BL174" s="104">
        <f t="shared" si="276"/>
        <v>-5.0141448838069778E-2</v>
      </c>
      <c r="BM174" s="103">
        <f t="shared" si="277"/>
        <v>1512.6114617102626</v>
      </c>
      <c r="BN174" s="100">
        <f t="shared" si="278"/>
        <v>8217.1338748639391</v>
      </c>
      <c r="BO174" s="104">
        <f t="shared" si="279"/>
        <v>67.199376725330509</v>
      </c>
      <c r="BP174" s="170">
        <f t="shared" si="234"/>
        <v>77.279283234130091</v>
      </c>
      <c r="BQ174" s="104">
        <f t="shared" si="235"/>
        <v>361.28989549156637</v>
      </c>
      <c r="BR174" s="104">
        <f t="shared" si="280"/>
        <v>3.4015749520733078</v>
      </c>
      <c r="BS174" s="104">
        <f t="shared" si="281"/>
        <v>863.71878325527314</v>
      </c>
      <c r="BT174" s="104">
        <f t="shared" si="282"/>
        <v>881.34569719925832</v>
      </c>
      <c r="BU174" s="100">
        <f t="shared" si="283"/>
        <v>1058.038051859854</v>
      </c>
      <c r="BV174" s="100">
        <f t="shared" si="236"/>
        <v>529.01902592992701</v>
      </c>
      <c r="BW174" s="100">
        <f t="shared" si="237"/>
        <v>529.01902592992701</v>
      </c>
      <c r="BX174" s="104">
        <f t="shared" si="284"/>
        <v>50.382764374278764</v>
      </c>
      <c r="BY174" s="104">
        <f t="shared" si="285"/>
        <v>4.3175108157457879E-3</v>
      </c>
      <c r="BZ174" s="104">
        <f t="shared" si="286"/>
        <v>4.3175108157457879E-3</v>
      </c>
      <c r="CA174" s="108">
        <f t="shared" si="287"/>
        <v>8.6350216314915757E-3</v>
      </c>
      <c r="CB174" s="402"/>
      <c r="CC174" s="277"/>
      <c r="CD174" s="277"/>
      <c r="CE174" s="277"/>
      <c r="CF174" s="117"/>
    </row>
    <row r="175" spans="3:84" s="183" customFormat="1" ht="15.75" x14ac:dyDescent="0.25">
      <c r="C175" s="171">
        <v>36</v>
      </c>
      <c r="D175" s="379"/>
      <c r="E175" s="379"/>
      <c r="F175" s="172" t="s">
        <v>128</v>
      </c>
      <c r="G175" s="394">
        <v>0.163194444444444</v>
      </c>
      <c r="H175" s="173">
        <v>0.163194444444445</v>
      </c>
      <c r="I175" s="171">
        <v>-8.645562</v>
      </c>
      <c r="J175" s="171">
        <v>115.719595</v>
      </c>
      <c r="K175" s="171">
        <f t="shared" si="225"/>
        <v>-0.150893522585306</v>
      </c>
      <c r="L175" s="171">
        <f t="shared" si="225"/>
        <v>2.0196879418243676</v>
      </c>
      <c r="M175" s="171">
        <v>3443</v>
      </c>
      <c r="N175" s="235">
        <f t="shared" si="288"/>
        <v>0.40017835326091628</v>
      </c>
      <c r="O175" s="358"/>
      <c r="P175" s="174">
        <f t="shared" si="289"/>
        <v>5.000000000001581E-2</v>
      </c>
      <c r="Q175" s="358"/>
      <c r="R175" s="175">
        <f t="shared" si="290"/>
        <v>8.003567065215794</v>
      </c>
      <c r="S175" s="348"/>
      <c r="T175" s="171">
        <f t="shared" si="200"/>
        <v>4.1170348983470042</v>
      </c>
      <c r="U175" s="176">
        <f t="shared" si="291"/>
        <v>-4.0202668040134542E-5</v>
      </c>
      <c r="V175" s="171">
        <f t="shared" si="292"/>
        <v>1.1047934165109297E-4</v>
      </c>
      <c r="W175" s="171">
        <f t="shared" si="293"/>
        <v>1.9197940476147559</v>
      </c>
      <c r="X175" s="171">
        <f t="shared" si="238"/>
        <v>109.99609646266292</v>
      </c>
      <c r="Y175" s="176">
        <f t="shared" si="239"/>
        <v>-3.9741147067895444E-5</v>
      </c>
      <c r="Z175" s="177">
        <f t="shared" si="240"/>
        <v>6.329999999991287E-3</v>
      </c>
      <c r="AA175" s="178">
        <f t="shared" si="241"/>
        <v>109.99609646266292</v>
      </c>
      <c r="AB175" s="100">
        <v>200</v>
      </c>
      <c r="AC175" s="171">
        <v>13</v>
      </c>
      <c r="AD175" s="171">
        <v>4</v>
      </c>
      <c r="AE175" s="179">
        <f t="shared" si="232"/>
        <v>90.003903537337081</v>
      </c>
      <c r="AF175" s="180">
        <f t="shared" si="268"/>
        <v>0.15742414941762961</v>
      </c>
      <c r="AG175" s="382"/>
      <c r="AH175" s="385"/>
      <c r="AI175" s="388"/>
      <c r="AJ175" s="171">
        <f t="shared" si="269"/>
        <v>1.5660507071032437</v>
      </c>
      <c r="AK175" s="171">
        <f t="shared" si="242"/>
        <v>0.33</v>
      </c>
      <c r="AL175" s="180">
        <f t="shared" si="270"/>
        <v>17.587905559497941</v>
      </c>
      <c r="AM175" s="180">
        <f t="shared" si="204"/>
        <v>9.08937213951255</v>
      </c>
      <c r="AN175" s="180">
        <f t="shared" si="271"/>
        <v>8.8037749310214473</v>
      </c>
      <c r="AO175" s="180">
        <f t="shared" si="206"/>
        <v>4.5286618245174326</v>
      </c>
      <c r="AP175" s="180">
        <f t="shared" si="207"/>
        <v>0.1731636367743655</v>
      </c>
      <c r="AQ175" s="175">
        <f t="shared" si="272"/>
        <v>4.5455313930258104E-2</v>
      </c>
      <c r="AR175" s="171">
        <f t="shared" si="273"/>
        <v>265772981.8226898</v>
      </c>
      <c r="AS175" s="171">
        <f t="shared" si="210"/>
        <v>1.8171096401688068E-3</v>
      </c>
      <c r="AT175" s="180">
        <f t="shared" si="274"/>
        <v>615.64431609983262</v>
      </c>
      <c r="AU175" s="171">
        <f t="shared" si="275"/>
        <v>23774.980517160191</v>
      </c>
      <c r="AV175" s="297"/>
      <c r="AW175" s="297"/>
      <c r="AX175" s="297"/>
      <c r="AY175" s="297"/>
      <c r="AZ175" s="297"/>
      <c r="BA175" s="392"/>
      <c r="BB175" s="392"/>
      <c r="BC175" s="392"/>
      <c r="BD175" s="297"/>
      <c r="BE175" s="297"/>
      <c r="BF175" s="297"/>
      <c r="BG175" s="297"/>
      <c r="BH175" s="390"/>
      <c r="BI175" s="392"/>
      <c r="BJ175" s="392"/>
      <c r="BK175" s="392"/>
      <c r="BL175" s="180">
        <f t="shared" si="276"/>
        <v>-4.0820062640134568E-2</v>
      </c>
      <c r="BM175" s="175">
        <f t="shared" si="277"/>
        <v>1053.9758330008001</v>
      </c>
      <c r="BN175" s="171">
        <f t="shared" si="278"/>
        <v>7710.3605122522968</v>
      </c>
      <c r="BO175" s="180">
        <f t="shared" si="279"/>
        <v>62.921955437666448</v>
      </c>
      <c r="BP175" s="181">
        <f t="shared" si="234"/>
        <v>72.360248753316412</v>
      </c>
      <c r="BQ175" s="180">
        <f t="shared" si="235"/>
        <v>327.69509614172921</v>
      </c>
      <c r="BR175" s="180">
        <f t="shared" si="280"/>
        <v>3.2950135581464508</v>
      </c>
      <c r="BS175" s="180">
        <f t="shared" si="281"/>
        <v>783.40527440757342</v>
      </c>
      <c r="BT175" s="180">
        <f t="shared" si="282"/>
        <v>799.39313715058518</v>
      </c>
      <c r="BU175" s="171">
        <f t="shared" si="283"/>
        <v>959.6556268314348</v>
      </c>
      <c r="BV175" s="171">
        <f t="shared" si="236"/>
        <v>479.8278134157174</v>
      </c>
      <c r="BW175" s="171">
        <f t="shared" si="237"/>
        <v>479.8278134157174</v>
      </c>
      <c r="BX175" s="180">
        <f t="shared" si="284"/>
        <v>45.697886991973085</v>
      </c>
      <c r="BY175" s="180">
        <f t="shared" si="285"/>
        <v>3.9084817213175093E-3</v>
      </c>
      <c r="BZ175" s="180">
        <f t="shared" si="286"/>
        <v>3.9084817213175093E-3</v>
      </c>
      <c r="CA175" s="182">
        <f t="shared" si="287"/>
        <v>7.8169634426350186E-3</v>
      </c>
      <c r="CB175" s="402"/>
      <c r="CC175" s="276">
        <f t="shared" ref="CC175" si="294">SUM(CA175:CA179)*1000</f>
        <v>90.302462128527409</v>
      </c>
      <c r="CD175" s="407">
        <v>70</v>
      </c>
      <c r="CE175" s="276">
        <f t="shared" ref="CE175" si="295">AVERAGE(AN175:AN179)</f>
        <v>10.847297153313651</v>
      </c>
      <c r="CF175" s="184"/>
    </row>
    <row r="176" spans="3:84" s="183" customFormat="1" ht="15.75" x14ac:dyDescent="0.25">
      <c r="C176" s="171">
        <v>37</v>
      </c>
      <c r="D176" s="379"/>
      <c r="E176" s="379"/>
      <c r="F176" s="172" t="s">
        <v>128</v>
      </c>
      <c r="G176" s="395"/>
      <c r="H176" s="173">
        <v>0.165277777777778</v>
      </c>
      <c r="I176" s="171">
        <v>-8.6484880000000004</v>
      </c>
      <c r="J176" s="171">
        <v>115.729561</v>
      </c>
      <c r="K176" s="171">
        <f t="shared" si="225"/>
        <v>-0.15094459091921936</v>
      </c>
      <c r="L176" s="171">
        <f t="shared" si="225"/>
        <v>2.0198618813376212</v>
      </c>
      <c r="M176" s="171">
        <v>3443</v>
      </c>
      <c r="N176" s="235">
        <f t="shared" si="288"/>
        <v>0.61762315840448545</v>
      </c>
      <c r="O176" s="357">
        <f t="shared" ref="O176" si="296">SUM(N176:N180)</f>
        <v>2.5485040890602706</v>
      </c>
      <c r="P176" s="174">
        <f t="shared" si="289"/>
        <v>4.9999999999991829E-2</v>
      </c>
      <c r="Q176" s="357">
        <f t="shared" ref="Q176" si="297">SUM(P176:P180)</f>
        <v>0.24999999999998379</v>
      </c>
      <c r="R176" s="175">
        <f t="shared" si="290"/>
        <v>12.352463168091727</v>
      </c>
      <c r="S176" s="346">
        <f t="shared" ref="S176" si="298">AVERAGE(R176:R180)</f>
        <v>10.194016356241898</v>
      </c>
      <c r="T176" s="171">
        <f t="shared" si="200"/>
        <v>6.3541070536663842</v>
      </c>
      <c r="U176" s="176">
        <f t="shared" si="291"/>
        <v>-5.1661758089662102E-5</v>
      </c>
      <c r="V176" s="171">
        <f t="shared" si="292"/>
        <v>1.7393951325361812E-4</v>
      </c>
      <c r="W176" s="171">
        <f t="shared" si="293"/>
        <v>1.8595076611856314</v>
      </c>
      <c r="X176" s="171">
        <f t="shared" si="238"/>
        <v>106.54194095817932</v>
      </c>
      <c r="Y176" s="176">
        <f t="shared" si="239"/>
        <v>-5.1068333913356634E-5</v>
      </c>
      <c r="Z176" s="177">
        <f t="shared" si="240"/>
        <v>9.9660000000056925E-3</v>
      </c>
      <c r="AA176" s="178">
        <f t="shared" si="241"/>
        <v>106.54194095817932</v>
      </c>
      <c r="AB176" s="100">
        <v>200</v>
      </c>
      <c r="AC176" s="171">
        <v>13</v>
      </c>
      <c r="AD176" s="171">
        <v>4</v>
      </c>
      <c r="AE176" s="179">
        <f t="shared" si="232"/>
        <v>93.458059041820675</v>
      </c>
      <c r="AF176" s="180">
        <f t="shared" si="268"/>
        <v>0.24296366752528839</v>
      </c>
      <c r="AG176" s="382"/>
      <c r="AH176" s="385"/>
      <c r="AI176" s="388"/>
      <c r="AJ176" s="171">
        <f t="shared" si="269"/>
        <v>1.0199867969345924</v>
      </c>
      <c r="AK176" s="171">
        <f t="shared" si="242"/>
        <v>0.33</v>
      </c>
      <c r="AL176" s="180">
        <f t="shared" si="270"/>
        <v>17.587905559497941</v>
      </c>
      <c r="AM176" s="180">
        <f t="shared" si="204"/>
        <v>5.9200123806187364</v>
      </c>
      <c r="AN176" s="180">
        <f t="shared" si="271"/>
        <v>13.12974574153432</v>
      </c>
      <c r="AO176" s="180">
        <f t="shared" si="206"/>
        <v>6.7539412094452533</v>
      </c>
      <c r="AP176" s="180">
        <f t="shared" si="207"/>
        <v>0.25825223160981353</v>
      </c>
      <c r="AQ176" s="175">
        <f t="shared" si="272"/>
        <v>4.7039993809682948E-2</v>
      </c>
      <c r="AR176" s="171">
        <f t="shared" si="273"/>
        <v>396367660.87754476</v>
      </c>
      <c r="AS176" s="171">
        <f t="shared" si="210"/>
        <v>1.7227557645555429E-3</v>
      </c>
      <c r="AT176" s="180">
        <f t="shared" si="274"/>
        <v>1298.2167945382782</v>
      </c>
      <c r="AU176" s="171">
        <f t="shared" si="275"/>
        <v>50134.595886032119</v>
      </c>
      <c r="AV176" s="297"/>
      <c r="AW176" s="297"/>
      <c r="AX176" s="297"/>
      <c r="AY176" s="297"/>
      <c r="AZ176" s="297"/>
      <c r="BA176" s="392"/>
      <c r="BB176" s="392"/>
      <c r="BC176" s="392"/>
      <c r="BD176" s="297"/>
      <c r="BE176" s="297"/>
      <c r="BF176" s="297"/>
      <c r="BG176" s="297"/>
      <c r="BH176" s="390"/>
      <c r="BI176" s="392"/>
      <c r="BJ176" s="392"/>
      <c r="BK176" s="392"/>
      <c r="BL176" s="180">
        <f t="shared" si="276"/>
        <v>-0.25588352539921877</v>
      </c>
      <c r="BM176" s="175">
        <f t="shared" si="277"/>
        <v>47492.594379491107</v>
      </c>
      <c r="BN176" s="171">
        <f t="shared" si="278"/>
        <v>17149.420698283709</v>
      </c>
      <c r="BO176" s="180">
        <f t="shared" si="279"/>
        <v>178.84485723733235</v>
      </c>
      <c r="BP176" s="181">
        <f t="shared" si="234"/>
        <v>205.6715858229322</v>
      </c>
      <c r="BQ176" s="180">
        <f t="shared" si="235"/>
        <v>1389.093799101458</v>
      </c>
      <c r="BR176" s="180">
        <f t="shared" si="280"/>
        <v>4.9141067976338766</v>
      </c>
      <c r="BS176" s="180">
        <f t="shared" si="281"/>
        <v>3320.8412993530919</v>
      </c>
      <c r="BT176" s="180">
        <f t="shared" si="282"/>
        <v>3388.6135707684612</v>
      </c>
      <c r="BU176" s="171">
        <f t="shared" si="283"/>
        <v>4067.9634703102779</v>
      </c>
      <c r="BV176" s="171">
        <f t="shared" si="236"/>
        <v>2033.9817351551389</v>
      </c>
      <c r="BW176" s="171">
        <f t="shared" si="237"/>
        <v>2033.9817351551389</v>
      </c>
      <c r="BX176" s="180">
        <f t="shared" si="284"/>
        <v>193.71254620525133</v>
      </c>
      <c r="BY176" s="180">
        <f t="shared" si="285"/>
        <v>1.7145585090942498E-2</v>
      </c>
      <c r="BZ176" s="180">
        <f t="shared" si="286"/>
        <v>1.7145585090942498E-2</v>
      </c>
      <c r="CA176" s="182">
        <f t="shared" si="287"/>
        <v>3.4291170181884996E-2</v>
      </c>
      <c r="CB176" s="402"/>
      <c r="CC176" s="277"/>
      <c r="CD176" s="408"/>
      <c r="CE176" s="277"/>
      <c r="CF176" s="184"/>
    </row>
    <row r="177" spans="3:84" s="183" customFormat="1" ht="15.75" x14ac:dyDescent="0.25">
      <c r="C177" s="171">
        <v>38</v>
      </c>
      <c r="D177" s="379"/>
      <c r="E177" s="379"/>
      <c r="F177" s="172" t="s">
        <v>128</v>
      </c>
      <c r="G177" s="395"/>
      <c r="H177" s="173">
        <v>0.16736111111111099</v>
      </c>
      <c r="I177" s="171">
        <v>-8.6503619999999994</v>
      </c>
      <c r="J177" s="171">
        <v>115.73837</v>
      </c>
      <c r="K177" s="171">
        <f t="shared" si="225"/>
        <v>-0.15097729838940172</v>
      </c>
      <c r="L177" s="171">
        <f t="shared" si="225"/>
        <v>2.0200156273914294</v>
      </c>
      <c r="M177" s="171">
        <v>3443</v>
      </c>
      <c r="N177" s="235">
        <f t="shared" si="288"/>
        <v>0.53530644713087894</v>
      </c>
      <c r="O177" s="331"/>
      <c r="P177" s="174">
        <f t="shared" si="289"/>
        <v>4.9999999999991829E-2</v>
      </c>
      <c r="Q177" s="331"/>
      <c r="R177" s="175">
        <f t="shared" si="290"/>
        <v>10.706128942619328</v>
      </c>
      <c r="S177" s="347"/>
      <c r="T177" s="171">
        <f t="shared" si="200"/>
        <v>5.5072327280833822</v>
      </c>
      <c r="U177" s="176">
        <f t="shared" si="291"/>
        <v>-3.3087749407102804E-5</v>
      </c>
      <c r="V177" s="171">
        <f t="shared" si="292"/>
        <v>1.5374605380813477E-4</v>
      </c>
      <c r="W177" s="171">
        <f t="shared" si="293"/>
        <v>1.7827735800265074</v>
      </c>
      <c r="X177" s="171">
        <f t="shared" si="238"/>
        <v>102.14540196294719</v>
      </c>
      <c r="Y177" s="176">
        <f t="shared" si="239"/>
        <v>-3.27074701823582E-5</v>
      </c>
      <c r="Z177" s="177">
        <f t="shared" si="240"/>
        <v>8.8089999999994006E-3</v>
      </c>
      <c r="AA177" s="178">
        <f t="shared" si="241"/>
        <v>102.14540196294719</v>
      </c>
      <c r="AB177" s="100">
        <v>200</v>
      </c>
      <c r="AC177" s="171">
        <v>13</v>
      </c>
      <c r="AD177" s="171">
        <v>4</v>
      </c>
      <c r="AE177" s="179">
        <f t="shared" si="232"/>
        <v>97.85459803705281</v>
      </c>
      <c r="AF177" s="180">
        <f t="shared" si="268"/>
        <v>0.21058151054574462</v>
      </c>
      <c r="AG177" s="382"/>
      <c r="AH177" s="385"/>
      <c r="AI177" s="388"/>
      <c r="AJ177" s="171">
        <f t="shared" si="269"/>
        <v>1.2434038695734815</v>
      </c>
      <c r="AK177" s="171">
        <f t="shared" si="242"/>
        <v>0.33</v>
      </c>
      <c r="AL177" s="180">
        <f t="shared" si="270"/>
        <v>17.587905559497941</v>
      </c>
      <c r="AM177" s="180">
        <f t="shared" si="204"/>
        <v>7.2167270440229876</v>
      </c>
      <c r="AN177" s="180">
        <f t="shared" si="271"/>
        <v>11.538856737355102</v>
      </c>
      <c r="AO177" s="180">
        <f t="shared" si="206"/>
        <v>5.9355879056954644</v>
      </c>
      <c r="AP177" s="180">
        <f t="shared" si="207"/>
        <v>0.2269606404655066</v>
      </c>
      <c r="AQ177" s="175">
        <f t="shared" si="272"/>
        <v>4.6391636477980926E-2</v>
      </c>
      <c r="AR177" s="171">
        <f t="shared" si="273"/>
        <v>348341068.00091577</v>
      </c>
      <c r="AS177" s="171">
        <f t="shared" si="210"/>
        <v>1.7524254939010962E-3</v>
      </c>
      <c r="AT177" s="180">
        <f t="shared" si="274"/>
        <v>1019.9432414967908</v>
      </c>
      <c r="AU177" s="171">
        <f t="shared" si="275"/>
        <v>39388.215014825517</v>
      </c>
      <c r="AV177" s="297"/>
      <c r="AW177" s="297"/>
      <c r="AX177" s="297"/>
      <c r="AY177" s="297"/>
      <c r="AZ177" s="297"/>
      <c r="BA177" s="392"/>
      <c r="BB177" s="392"/>
      <c r="BC177" s="392"/>
      <c r="BD177" s="297"/>
      <c r="BE177" s="297"/>
      <c r="BF177" s="297"/>
      <c r="BG177" s="297"/>
      <c r="BH177" s="390"/>
      <c r="BI177" s="392"/>
      <c r="BJ177" s="392"/>
      <c r="BK177" s="392"/>
      <c r="BL177" s="180">
        <f t="shared" si="276"/>
        <v>-0.16447767476364009</v>
      </c>
      <c r="BM177" s="175">
        <f t="shared" si="277"/>
        <v>17055.305709046297</v>
      </c>
      <c r="BN177" s="171">
        <f t="shared" si="278"/>
        <v>13245.317859552812</v>
      </c>
      <c r="BO177" s="180">
        <f t="shared" si="279"/>
        <v>120.0240176198929</v>
      </c>
      <c r="BP177" s="181">
        <f t="shared" si="234"/>
        <v>138.02762026287684</v>
      </c>
      <c r="BQ177" s="180">
        <f t="shared" si="235"/>
        <v>819.27507348425797</v>
      </c>
      <c r="BR177" s="180">
        <f t="shared" si="280"/>
        <v>4.318680303959483</v>
      </c>
      <c r="BS177" s="180">
        <f t="shared" si="281"/>
        <v>1958.6024365791206</v>
      </c>
      <c r="BT177" s="180">
        <f t="shared" si="282"/>
        <v>1998.5739148766538</v>
      </c>
      <c r="BU177" s="171">
        <f t="shared" si="283"/>
        <v>2399.2483972108689</v>
      </c>
      <c r="BV177" s="171">
        <f t="shared" si="236"/>
        <v>1199.6241986054345</v>
      </c>
      <c r="BW177" s="171">
        <f t="shared" si="237"/>
        <v>1199.6241986054345</v>
      </c>
      <c r="BX177" s="180">
        <f t="shared" si="284"/>
        <v>114.24992367670805</v>
      </c>
      <c r="BY177" s="180">
        <f t="shared" si="285"/>
        <v>9.9729333279551368E-3</v>
      </c>
      <c r="BZ177" s="180">
        <f t="shared" si="286"/>
        <v>9.9729333279551368E-3</v>
      </c>
      <c r="CA177" s="182">
        <f t="shared" si="287"/>
        <v>1.9945866655910274E-2</v>
      </c>
      <c r="CB177" s="402"/>
      <c r="CC177" s="277"/>
      <c r="CD177" s="408"/>
      <c r="CE177" s="277"/>
      <c r="CF177" s="184"/>
    </row>
    <row r="178" spans="3:84" s="183" customFormat="1" ht="15.75" x14ac:dyDescent="0.25">
      <c r="C178" s="171">
        <v>39</v>
      </c>
      <c r="D178" s="379"/>
      <c r="E178" s="379"/>
      <c r="F178" s="172" t="s">
        <v>128</v>
      </c>
      <c r="G178" s="395"/>
      <c r="H178" s="173">
        <v>0.16944444444444501</v>
      </c>
      <c r="I178" s="171">
        <v>-8.6518069999999998</v>
      </c>
      <c r="J178" s="171">
        <v>115.745484</v>
      </c>
      <c r="K178" s="171">
        <f t="shared" si="225"/>
        <v>-0.15100251839709303</v>
      </c>
      <c r="L178" s="171">
        <f t="shared" si="225"/>
        <v>2.0201397901144165</v>
      </c>
      <c r="M178" s="171">
        <v>3443</v>
      </c>
      <c r="N178" s="235">
        <f t="shared" si="288"/>
        <v>0.4314565525484822</v>
      </c>
      <c r="O178" s="331"/>
      <c r="P178" s="174">
        <f t="shared" si="289"/>
        <v>5.0000000000016476E-2</v>
      </c>
      <c r="Q178" s="331"/>
      <c r="R178" s="175">
        <f t="shared" si="290"/>
        <v>8.6291310509667998</v>
      </c>
      <c r="S178" s="347"/>
      <c r="T178" s="171">
        <f t="shared" si="200"/>
        <v>4.4388250126173219</v>
      </c>
      <c r="U178" s="176">
        <f t="shared" si="291"/>
        <v>-2.5513345622263286E-5</v>
      </c>
      <c r="V178" s="171">
        <f t="shared" si="292"/>
        <v>1.2416272298709785E-4</v>
      </c>
      <c r="W178" s="171">
        <f t="shared" si="293"/>
        <v>1.7734585300914953</v>
      </c>
      <c r="X178" s="171">
        <f t="shared" si="238"/>
        <v>101.61168891571739</v>
      </c>
      <c r="Y178" s="176">
        <f t="shared" si="239"/>
        <v>-2.5220007691312274E-5</v>
      </c>
      <c r="Z178" s="177">
        <f t="shared" si="240"/>
        <v>7.114000000001397E-3</v>
      </c>
      <c r="AA178" s="178">
        <f t="shared" si="241"/>
        <v>101.61168891571739</v>
      </c>
      <c r="AB178" s="100">
        <v>200</v>
      </c>
      <c r="AC178" s="171">
        <v>13</v>
      </c>
      <c r="AD178" s="171">
        <v>4</v>
      </c>
      <c r="AE178" s="179">
        <f t="shared" si="232"/>
        <v>98.388311084282606</v>
      </c>
      <c r="AF178" s="180">
        <f t="shared" si="268"/>
        <v>0.16972852290019241</v>
      </c>
      <c r="AG178" s="382"/>
      <c r="AH178" s="385"/>
      <c r="AI178" s="388"/>
      <c r="AJ178" s="171">
        <f t="shared" si="269"/>
        <v>1.4962433093364722</v>
      </c>
      <c r="AK178" s="171">
        <f t="shared" si="242"/>
        <v>0.33</v>
      </c>
      <c r="AL178" s="180">
        <f t="shared" si="270"/>
        <v>17.587905559497941</v>
      </c>
      <c r="AM178" s="180">
        <f t="shared" si="204"/>
        <v>8.6842093861513767</v>
      </c>
      <c r="AN178" s="180">
        <f t="shared" si="271"/>
        <v>9.4497687562682469</v>
      </c>
      <c r="AO178" s="180">
        <f t="shared" si="206"/>
        <v>4.8609610482243859</v>
      </c>
      <c r="AP178" s="180">
        <f t="shared" si="207"/>
        <v>0.18586984984659596</v>
      </c>
      <c r="AQ178" s="175">
        <f t="shared" si="272"/>
        <v>4.565789530693936E-2</v>
      </c>
      <c r="AR178" s="171">
        <f t="shared" si="273"/>
        <v>285274582.72912818</v>
      </c>
      <c r="AS178" s="171">
        <f t="shared" si="210"/>
        <v>1.799837809422242E-3</v>
      </c>
      <c r="AT178" s="180">
        <f t="shared" si="274"/>
        <v>702.56516464263439</v>
      </c>
      <c r="AU178" s="171">
        <f t="shared" si="275"/>
        <v>27131.693844316185</v>
      </c>
      <c r="AV178" s="297"/>
      <c r="AW178" s="297"/>
      <c r="AX178" s="297"/>
      <c r="AY178" s="297"/>
      <c r="AZ178" s="297"/>
      <c r="BA178" s="392"/>
      <c r="BB178" s="392"/>
      <c r="BC178" s="392"/>
      <c r="BD178" s="297"/>
      <c r="BE178" s="297"/>
      <c r="BF178" s="297"/>
      <c r="BG178" s="297"/>
      <c r="BH178" s="390"/>
      <c r="BI178" s="392"/>
      <c r="BJ178" s="392"/>
      <c r="BK178" s="392"/>
      <c r="BL178" s="180">
        <f t="shared" si="276"/>
        <v>-6.340519469795021E-2</v>
      </c>
      <c r="BM178" s="175">
        <f t="shared" si="277"/>
        <v>2332.2227443517877</v>
      </c>
      <c r="BN178" s="171">
        <f t="shared" si="278"/>
        <v>8883.3993158765152</v>
      </c>
      <c r="BO178" s="180">
        <f t="shared" si="279"/>
        <v>73.01958187806639</v>
      </c>
      <c r="BP178" s="181">
        <f t="shared" si="234"/>
        <v>83.972519159776354</v>
      </c>
      <c r="BQ178" s="180">
        <f t="shared" si="235"/>
        <v>408.18714475694878</v>
      </c>
      <c r="BR178" s="180">
        <f t="shared" si="280"/>
        <v>3.5367914806109146</v>
      </c>
      <c r="BS178" s="180">
        <f t="shared" si="281"/>
        <v>975.83383429594323</v>
      </c>
      <c r="BT178" s="180">
        <f t="shared" si="282"/>
        <v>995.7488105060645</v>
      </c>
      <c r="BU178" s="171">
        <f t="shared" si="283"/>
        <v>1195.3767232965961</v>
      </c>
      <c r="BV178" s="171">
        <f t="shared" si="236"/>
        <v>597.68836164829804</v>
      </c>
      <c r="BW178" s="171">
        <f t="shared" si="237"/>
        <v>597.68836164829804</v>
      </c>
      <c r="BX178" s="180">
        <f t="shared" si="284"/>
        <v>56.922701109361718</v>
      </c>
      <c r="BY178" s="180">
        <f t="shared" si="285"/>
        <v>4.8902233215026873E-3</v>
      </c>
      <c r="BZ178" s="180">
        <f t="shared" si="286"/>
        <v>4.8902233215026873E-3</v>
      </c>
      <c r="CA178" s="182">
        <f t="shared" si="287"/>
        <v>9.7804466430053746E-3</v>
      </c>
      <c r="CB178" s="402"/>
      <c r="CC178" s="277"/>
      <c r="CD178" s="408"/>
      <c r="CE178" s="277"/>
      <c r="CF178" s="184"/>
    </row>
    <row r="179" spans="3:84" s="183" customFormat="1" ht="15.75" x14ac:dyDescent="0.25">
      <c r="C179" s="171">
        <v>40</v>
      </c>
      <c r="D179" s="379"/>
      <c r="E179" s="379"/>
      <c r="F179" s="172" t="s">
        <v>128</v>
      </c>
      <c r="G179" s="396"/>
      <c r="H179" s="173">
        <v>0.171527777777778</v>
      </c>
      <c r="I179" s="171">
        <v>-8.6538029999999999</v>
      </c>
      <c r="J179" s="171">
        <v>115.754069</v>
      </c>
      <c r="K179" s="171">
        <f t="shared" si="225"/>
        <v>-0.15103735516896286</v>
      </c>
      <c r="L179" s="171">
        <f t="shared" si="225"/>
        <v>2.0202896266307002</v>
      </c>
      <c r="M179" s="171">
        <v>3443</v>
      </c>
      <c r="N179" s="235">
        <f t="shared" si="288"/>
        <v>0.5239293902676686</v>
      </c>
      <c r="O179" s="331"/>
      <c r="P179" s="174">
        <f t="shared" si="289"/>
        <v>4.9999999999991829E-2</v>
      </c>
      <c r="Q179" s="331"/>
      <c r="R179" s="175">
        <f t="shared" si="290"/>
        <v>10.478587805355085</v>
      </c>
      <c r="S179" s="347"/>
      <c r="T179" s="171">
        <f t="shared" si="200"/>
        <v>5.3901855670746555</v>
      </c>
      <c r="U179" s="176">
        <f t="shared" si="291"/>
        <v>-3.5242125810019709E-5</v>
      </c>
      <c r="V179" s="171">
        <f t="shared" si="292"/>
        <v>1.4983651628375227E-4</v>
      </c>
      <c r="W179" s="171">
        <f t="shared" si="293"/>
        <v>1.8018014619317906</v>
      </c>
      <c r="X179" s="171">
        <f t="shared" si="238"/>
        <v>103.23561928919327</v>
      </c>
      <c r="Y179" s="176">
        <f t="shared" si="239"/>
        <v>-3.4836771869828365E-5</v>
      </c>
      <c r="Z179" s="177">
        <f t="shared" si="240"/>
        <v>8.5849999999965121E-3</v>
      </c>
      <c r="AA179" s="178">
        <f t="shared" si="241"/>
        <v>103.23561928919327</v>
      </c>
      <c r="AB179" s="100">
        <v>200</v>
      </c>
      <c r="AC179" s="171">
        <v>13</v>
      </c>
      <c r="AD179" s="171">
        <v>4</v>
      </c>
      <c r="AE179" s="179">
        <f t="shared" si="232"/>
        <v>96.764380710806734</v>
      </c>
      <c r="AF179" s="180">
        <f t="shared" si="268"/>
        <v>0.20610594737504007</v>
      </c>
      <c r="AG179" s="382"/>
      <c r="AH179" s="385"/>
      <c r="AI179" s="388"/>
      <c r="AJ179" s="171">
        <f t="shared" si="269"/>
        <v>1.272682414591781</v>
      </c>
      <c r="AK179" s="171">
        <f t="shared" si="242"/>
        <v>0.33</v>
      </c>
      <c r="AL179" s="180">
        <f t="shared" si="270"/>
        <v>17.587905559497941</v>
      </c>
      <c r="AM179" s="180">
        <f t="shared" si="204"/>
        <v>7.3866599779744355</v>
      </c>
      <c r="AN179" s="180">
        <f t="shared" si="271"/>
        <v>11.314339600389141</v>
      </c>
      <c r="AO179" s="180">
        <f t="shared" si="206"/>
        <v>5.8200962904401736</v>
      </c>
      <c r="AP179" s="180">
        <f t="shared" si="207"/>
        <v>0.22254455710810489</v>
      </c>
      <c r="AQ179" s="175">
        <f t="shared" si="272"/>
        <v>4.6306670011005219E-2</v>
      </c>
      <c r="AR179" s="171">
        <f t="shared" si="273"/>
        <v>341563226.74199414</v>
      </c>
      <c r="AS179" s="171">
        <f t="shared" si="210"/>
        <v>1.7570062792129318E-3</v>
      </c>
      <c r="AT179" s="180">
        <f t="shared" si="274"/>
        <v>983.20168192126209</v>
      </c>
      <c r="AU179" s="171">
        <f t="shared" si="275"/>
        <v>37969.327777122795</v>
      </c>
      <c r="AV179" s="297"/>
      <c r="AW179" s="297"/>
      <c r="AX179" s="297"/>
      <c r="AY179" s="297"/>
      <c r="AZ179" s="297"/>
      <c r="BA179" s="392"/>
      <c r="BB179" s="392"/>
      <c r="BC179" s="392"/>
      <c r="BD179" s="297"/>
      <c r="BE179" s="297"/>
      <c r="BF179" s="297"/>
      <c r="BG179" s="297"/>
      <c r="BH179" s="390"/>
      <c r="BI179" s="392"/>
      <c r="BJ179" s="392"/>
      <c r="BK179" s="392"/>
      <c r="BL179" s="180">
        <f t="shared" si="276"/>
        <v>-0.15216486541807342</v>
      </c>
      <c r="BM179" s="175">
        <f t="shared" si="277"/>
        <v>14318.093324543377</v>
      </c>
      <c r="BN179" s="171">
        <f t="shared" si="278"/>
        <v>12734.891295162824</v>
      </c>
      <c r="BO179" s="180">
        <f t="shared" si="279"/>
        <v>113.54426016309516</v>
      </c>
      <c r="BP179" s="181">
        <f t="shared" si="234"/>
        <v>130.57589918755943</v>
      </c>
      <c r="BQ179" s="180">
        <f t="shared" si="235"/>
        <v>759.96430648240471</v>
      </c>
      <c r="BR179" s="180">
        <f t="shared" si="280"/>
        <v>4.2346496448234445</v>
      </c>
      <c r="BS179" s="180">
        <f t="shared" si="281"/>
        <v>1816.8109717525779</v>
      </c>
      <c r="BT179" s="180">
        <f t="shared" si="282"/>
        <v>1853.8887466863039</v>
      </c>
      <c r="BU179" s="171">
        <f t="shared" si="283"/>
        <v>2225.5567187110491</v>
      </c>
      <c r="BV179" s="171">
        <f t="shared" si="236"/>
        <v>1112.7783593555246</v>
      </c>
      <c r="BW179" s="171">
        <f t="shared" si="237"/>
        <v>1112.7783593555246</v>
      </c>
      <c r="BX179" s="180">
        <f t="shared" si="284"/>
        <v>105.9788913671928</v>
      </c>
      <c r="BY179" s="180">
        <f t="shared" si="285"/>
        <v>9.2340076025458784E-3</v>
      </c>
      <c r="BZ179" s="180">
        <f t="shared" si="286"/>
        <v>9.2340076025458784E-3</v>
      </c>
      <c r="CA179" s="182">
        <f t="shared" si="287"/>
        <v>1.8468015205091757E-2</v>
      </c>
      <c r="CB179" s="402"/>
      <c r="CC179" s="277"/>
      <c r="CD179" s="408"/>
      <c r="CE179" s="277"/>
      <c r="CF179" s="184"/>
    </row>
    <row r="180" spans="3:84" s="109" customFormat="1" ht="15.75" x14ac:dyDescent="0.25">
      <c r="C180" s="100">
        <v>41</v>
      </c>
      <c r="D180" s="379"/>
      <c r="E180" s="379"/>
      <c r="F180" s="163" t="s">
        <v>128</v>
      </c>
      <c r="G180" s="340">
        <v>0.17361111111111099</v>
      </c>
      <c r="H180" s="101">
        <v>0.17361111111111099</v>
      </c>
      <c r="I180" s="100">
        <v>-8.6546579999999995</v>
      </c>
      <c r="J180" s="100">
        <v>115.761428</v>
      </c>
      <c r="K180" s="100">
        <f t="shared" si="225"/>
        <v>-0.1510522777340674</v>
      </c>
      <c r="L180" s="100">
        <f t="shared" si="225"/>
        <v>2.0204180654103543</v>
      </c>
      <c r="M180" s="100">
        <v>3443</v>
      </c>
      <c r="N180" s="234">
        <f t="shared" si="288"/>
        <v>0.44018854070875563</v>
      </c>
      <c r="O180" s="358"/>
      <c r="P180" s="102">
        <f t="shared" si="289"/>
        <v>4.9999999999991829E-2</v>
      </c>
      <c r="Q180" s="358"/>
      <c r="R180" s="103">
        <f t="shared" si="290"/>
        <v>8.8037708141765521</v>
      </c>
      <c r="S180" s="348"/>
      <c r="T180" s="100">
        <f t="shared" si="200"/>
        <v>4.5286597068124177</v>
      </c>
      <c r="U180" s="165">
        <f t="shared" si="291"/>
        <v>-1.5096258653345813E-5</v>
      </c>
      <c r="V180" s="100">
        <f t="shared" si="292"/>
        <v>1.2843877965407202E-4</v>
      </c>
      <c r="W180" s="100">
        <f t="shared" si="293"/>
        <v>1.6877961282102569</v>
      </c>
      <c r="X180" s="100">
        <f t="shared" si="238"/>
        <v>96.703594824968903</v>
      </c>
      <c r="Y180" s="165">
        <f t="shared" si="239"/>
        <v>-1.4922565104547036E-5</v>
      </c>
      <c r="Z180" s="166">
        <f t="shared" si="240"/>
        <v>7.3589999999938982E-3</v>
      </c>
      <c r="AA180" s="167">
        <f t="shared" si="241"/>
        <v>96.703594824968903</v>
      </c>
      <c r="AB180" s="100">
        <v>200</v>
      </c>
      <c r="AC180" s="100">
        <v>13</v>
      </c>
      <c r="AD180" s="100">
        <v>4</v>
      </c>
      <c r="AE180" s="169">
        <f t="shared" si="232"/>
        <v>103.2964051750311</v>
      </c>
      <c r="AF180" s="104">
        <f t="shared" si="268"/>
        <v>0.17316355579912021</v>
      </c>
      <c r="AG180" s="382"/>
      <c r="AH180" s="385"/>
      <c r="AI180" s="388"/>
      <c r="AJ180" s="100">
        <f t="shared" si="269"/>
        <v>1.476230625049348</v>
      </c>
      <c r="AK180" s="100">
        <f t="shared" si="242"/>
        <v>0.33</v>
      </c>
      <c r="AL180" s="104">
        <f t="shared" si="270"/>
        <v>17.587905559497941</v>
      </c>
      <c r="AM180" s="104">
        <f t="shared" si="204"/>
        <v>8.5680555897441604</v>
      </c>
      <c r="AN180" s="104">
        <f t="shared" si="271"/>
        <v>9.6287691035793408</v>
      </c>
      <c r="AO180" s="104">
        <f t="shared" si="206"/>
        <v>4.9530388268812127</v>
      </c>
      <c r="AP180" s="104">
        <f t="shared" si="207"/>
        <v>0.18939065215777762</v>
      </c>
      <c r="AQ180" s="103">
        <f t="shared" si="272"/>
        <v>4.5715972205120442E-2</v>
      </c>
      <c r="AR180" s="100">
        <f t="shared" si="273"/>
        <v>290678339.23413992</v>
      </c>
      <c r="AS180" s="100">
        <f t="shared" si="210"/>
        <v>1.7953019098092603E-3</v>
      </c>
      <c r="AT180" s="104">
        <f t="shared" si="274"/>
        <v>727.59535391412464</v>
      </c>
      <c r="AU180" s="100">
        <f t="shared" si="275"/>
        <v>28098.310844925374</v>
      </c>
      <c r="AV180" s="297"/>
      <c r="AW180" s="297"/>
      <c r="AX180" s="297"/>
      <c r="AY180" s="297"/>
      <c r="AZ180" s="297"/>
      <c r="BA180" s="392"/>
      <c r="BB180" s="392"/>
      <c r="BC180" s="392"/>
      <c r="BD180" s="297"/>
      <c r="BE180" s="297"/>
      <c r="BF180" s="297"/>
      <c r="BG180" s="297"/>
      <c r="BH180" s="390"/>
      <c r="BI180" s="392"/>
      <c r="BJ180" s="392"/>
      <c r="BK180" s="392"/>
      <c r="BL180" s="104">
        <f t="shared" si="276"/>
        <v>-7.0539017765110984E-2</v>
      </c>
      <c r="BM180" s="103">
        <f t="shared" si="277"/>
        <v>2860.844393786228</v>
      </c>
      <c r="BN180" s="100">
        <f t="shared" si="278"/>
        <v>9223.1307904078967</v>
      </c>
      <c r="BO180" s="104">
        <f t="shared" si="279"/>
        <v>76.089815894824497</v>
      </c>
      <c r="BP180" s="170">
        <f t="shared" si="234"/>
        <v>87.503288279048178</v>
      </c>
      <c r="BQ180" s="104">
        <f t="shared" si="235"/>
        <v>433.40718432590535</v>
      </c>
      <c r="BR180" s="104">
        <f t="shared" si="280"/>
        <v>3.6037864431041853</v>
      </c>
      <c r="BS180" s="104">
        <f t="shared" si="281"/>
        <v>1036.1261983005088</v>
      </c>
      <c r="BT180" s="104">
        <f t="shared" si="282"/>
        <v>1057.2716309188866</v>
      </c>
      <c r="BU180" s="100">
        <f t="shared" si="283"/>
        <v>1269.2336505628891</v>
      </c>
      <c r="BV180" s="100">
        <f t="shared" si="236"/>
        <v>634.61682528144456</v>
      </c>
      <c r="BW180" s="100">
        <f t="shared" si="237"/>
        <v>634.61682528144456</v>
      </c>
      <c r="BX180" s="104">
        <f t="shared" si="284"/>
        <v>60.439697645851865</v>
      </c>
      <c r="BY180" s="104">
        <f t="shared" si="285"/>
        <v>5.1989728260679186E-3</v>
      </c>
      <c r="BZ180" s="104">
        <f t="shared" si="286"/>
        <v>5.1989728260679186E-3</v>
      </c>
      <c r="CA180" s="108">
        <f t="shared" si="287"/>
        <v>1.0397945652135837E-2</v>
      </c>
      <c r="CB180" s="402"/>
      <c r="CC180" s="276">
        <f t="shared" ref="CC180" si="299">SUM(CA180:CA184)*1000</f>
        <v>54.831514375596832</v>
      </c>
      <c r="CD180" s="276">
        <v>42</v>
      </c>
      <c r="CE180" s="276">
        <f t="shared" ref="CE180" si="300">AVERAGE(AN180:AN184)</f>
        <v>9.7335447329013274</v>
      </c>
      <c r="CF180" s="117"/>
    </row>
    <row r="181" spans="3:84" s="109" customFormat="1" ht="15.75" x14ac:dyDescent="0.25">
      <c r="C181" s="100">
        <v>42</v>
      </c>
      <c r="D181" s="379"/>
      <c r="E181" s="379"/>
      <c r="F181" s="163" t="s">
        <v>128</v>
      </c>
      <c r="G181" s="341"/>
      <c r="H181" s="101">
        <v>0.17569444444444501</v>
      </c>
      <c r="I181" s="100">
        <v>-8.6555409999999995</v>
      </c>
      <c r="J181" s="100">
        <v>115.768382</v>
      </c>
      <c r="K181" s="100">
        <f t="shared" si="225"/>
        <v>-0.1510676889913625</v>
      </c>
      <c r="L181" s="100">
        <f t="shared" si="225"/>
        <v>2.0205394356065383</v>
      </c>
      <c r="M181" s="100">
        <v>3443</v>
      </c>
      <c r="N181" s="234">
        <f t="shared" si="288"/>
        <v>0.41651248022395748</v>
      </c>
      <c r="O181" s="357">
        <f t="shared" ref="O181" si="301">SUM(N181:N185)</f>
        <v>2.1860942048934722</v>
      </c>
      <c r="P181" s="102">
        <f t="shared" si="289"/>
        <v>5.0000000000016476E-2</v>
      </c>
      <c r="Q181" s="357">
        <f t="shared" ref="Q181" si="302">SUM(P181:P185)</f>
        <v>0.25000000000000844</v>
      </c>
      <c r="R181" s="103">
        <f t="shared" si="290"/>
        <v>8.3302496044764052</v>
      </c>
      <c r="S181" s="346">
        <f t="shared" ref="S181" si="303">AVERAGE(R181:R185)</f>
        <v>8.7443768195736205</v>
      </c>
      <c r="T181" s="100">
        <f t="shared" si="200"/>
        <v>4.2850803965426625</v>
      </c>
      <c r="U181" s="165">
        <f t="shared" si="291"/>
        <v>-1.5590675238315496E-5</v>
      </c>
      <c r="V181" s="100">
        <f t="shared" si="292"/>
        <v>1.2137019618396749E-4</v>
      </c>
      <c r="W181" s="100">
        <f t="shared" si="293"/>
        <v>1.6985522489709401</v>
      </c>
      <c r="X181" s="100">
        <f t="shared" si="238"/>
        <v>97.319875148489103</v>
      </c>
      <c r="Y181" s="165">
        <f t="shared" si="239"/>
        <v>-1.5411257295094849E-5</v>
      </c>
      <c r="Z181" s="166">
        <f t="shared" si="240"/>
        <v>6.9540000000074542E-3</v>
      </c>
      <c r="AA181" s="167">
        <f t="shared" si="241"/>
        <v>97.319875148489103</v>
      </c>
      <c r="AB181" s="100">
        <v>200</v>
      </c>
      <c r="AC181" s="100">
        <v>13</v>
      </c>
      <c r="AD181" s="100">
        <v>4</v>
      </c>
      <c r="AE181" s="169">
        <f t="shared" si="232"/>
        <v>102.6801248515109</v>
      </c>
      <c r="AF181" s="104">
        <f t="shared" si="268"/>
        <v>0.16384974945991607</v>
      </c>
      <c r="AG181" s="382"/>
      <c r="AH181" s="385"/>
      <c r="AI181" s="388"/>
      <c r="AJ181" s="100">
        <f t="shared" si="269"/>
        <v>1.5299622444888605</v>
      </c>
      <c r="AK181" s="100">
        <f t="shared" si="242"/>
        <v>0.33</v>
      </c>
      <c r="AL181" s="104">
        <f t="shared" si="270"/>
        <v>17.587905559497941</v>
      </c>
      <c r="AM181" s="104">
        <f t="shared" si="204"/>
        <v>8.8799143836703021</v>
      </c>
      <c r="AN181" s="104">
        <f t="shared" si="271"/>
        <v>9.1420563843099991</v>
      </c>
      <c r="AO181" s="104">
        <f t="shared" si="206"/>
        <v>4.7026738040890637</v>
      </c>
      <c r="AP181" s="104">
        <f t="shared" si="207"/>
        <v>0.17981737873888967</v>
      </c>
      <c r="AQ181" s="103">
        <f t="shared" si="272"/>
        <v>4.5560042808179851E-2</v>
      </c>
      <c r="AR181" s="100">
        <f t="shared" si="273"/>
        <v>275985200.01775223</v>
      </c>
      <c r="AS181" s="100">
        <f t="shared" si="210"/>
        <v>1.8078819399913887E-3</v>
      </c>
      <c r="AT181" s="104">
        <f t="shared" si="274"/>
        <v>660.4937868778095</v>
      </c>
      <c r="AU181" s="100">
        <f t="shared" si="275"/>
        <v>25506.979442621621</v>
      </c>
      <c r="AV181" s="297"/>
      <c r="AW181" s="297"/>
      <c r="AX181" s="297"/>
      <c r="AY181" s="297"/>
      <c r="AZ181" s="297"/>
      <c r="BA181" s="392"/>
      <c r="BB181" s="392"/>
      <c r="BC181" s="392"/>
      <c r="BD181" s="297"/>
      <c r="BE181" s="297"/>
      <c r="BF181" s="297"/>
      <c r="BG181" s="297"/>
      <c r="BH181" s="390"/>
      <c r="BI181" s="392"/>
      <c r="BJ181" s="392"/>
      <c r="BK181" s="392"/>
      <c r="BL181" s="104">
        <f t="shared" si="276"/>
        <v>-5.200868629934239E-2</v>
      </c>
      <c r="BM181" s="103">
        <f t="shared" si="277"/>
        <v>1615.7598226408409</v>
      </c>
      <c r="BN181" s="100">
        <f t="shared" si="278"/>
        <v>8314.279370302067</v>
      </c>
      <c r="BO181" s="104">
        <f t="shared" si="279"/>
        <v>68.033021689793372</v>
      </c>
      <c r="BP181" s="170">
        <f t="shared" si="234"/>
        <v>78.237974943262373</v>
      </c>
      <c r="BQ181" s="104">
        <f t="shared" si="235"/>
        <v>367.92767525065653</v>
      </c>
      <c r="BR181" s="104">
        <f t="shared" si="280"/>
        <v>3.4216231073215044</v>
      </c>
      <c r="BS181" s="104">
        <f t="shared" si="281"/>
        <v>879.58741154679331</v>
      </c>
      <c r="BT181" s="104">
        <f t="shared" si="282"/>
        <v>897.53817504774827</v>
      </c>
      <c r="BU181" s="100">
        <f t="shared" si="283"/>
        <v>1077.476800777609</v>
      </c>
      <c r="BV181" s="100">
        <f t="shared" si="236"/>
        <v>538.73840038880451</v>
      </c>
      <c r="BW181" s="100">
        <f t="shared" si="237"/>
        <v>538.73840038880451</v>
      </c>
      <c r="BX181" s="104">
        <f t="shared" si="284"/>
        <v>51.308419084648051</v>
      </c>
      <c r="BY181" s="104">
        <f t="shared" si="285"/>
        <v>4.3984540694750694E-3</v>
      </c>
      <c r="BZ181" s="104">
        <f t="shared" si="286"/>
        <v>4.3984540694750694E-3</v>
      </c>
      <c r="CA181" s="108">
        <f t="shared" si="287"/>
        <v>8.7969081389501387E-3</v>
      </c>
      <c r="CB181" s="402"/>
      <c r="CC181" s="277"/>
      <c r="CD181" s="277"/>
      <c r="CE181" s="277"/>
      <c r="CF181" s="117"/>
    </row>
    <row r="182" spans="3:84" s="109" customFormat="1" ht="15.75" x14ac:dyDescent="0.25">
      <c r="C182" s="100">
        <v>43</v>
      </c>
      <c r="D182" s="379"/>
      <c r="E182" s="379"/>
      <c r="F182" s="163" t="s">
        <v>128</v>
      </c>
      <c r="G182" s="341"/>
      <c r="H182" s="101">
        <v>0.17777777777777801</v>
      </c>
      <c r="I182" s="100">
        <v>-8.6560590000000008</v>
      </c>
      <c r="J182" s="100">
        <v>115.77561</v>
      </c>
      <c r="K182" s="100">
        <f t="shared" si="225"/>
        <v>-0.15107672979688785</v>
      </c>
      <c r="L182" s="100">
        <f t="shared" si="225"/>
        <v>2.0206655880048721</v>
      </c>
      <c r="M182" s="100">
        <v>3443</v>
      </c>
      <c r="N182" s="234">
        <f t="shared" si="288"/>
        <v>0.4305224253723019</v>
      </c>
      <c r="O182" s="331"/>
      <c r="P182" s="102">
        <f t="shared" si="289"/>
        <v>4.9999999999991829E-2</v>
      </c>
      <c r="Q182" s="331"/>
      <c r="R182" s="103">
        <f t="shared" si="290"/>
        <v>8.6104485074474457</v>
      </c>
      <c r="S182" s="347"/>
      <c r="T182" s="100">
        <f t="shared" si="200"/>
        <v>4.4292147122309657</v>
      </c>
      <c r="U182" s="165">
        <f t="shared" si="291"/>
        <v>-9.146075746659916E-6</v>
      </c>
      <c r="V182" s="100">
        <f t="shared" si="292"/>
        <v>1.2615239833380087E-4</v>
      </c>
      <c r="W182" s="100">
        <f t="shared" si="293"/>
        <v>1.6431699117262628</v>
      </c>
      <c r="X182" s="100">
        <f t="shared" si="238"/>
        <v>94.146700964798896</v>
      </c>
      <c r="Y182" s="165">
        <f t="shared" si="239"/>
        <v>-9.0408055253565767E-6</v>
      </c>
      <c r="Z182" s="166">
        <f t="shared" si="240"/>
        <v>7.2279999999977917E-3</v>
      </c>
      <c r="AA182" s="167">
        <f t="shared" si="241"/>
        <v>94.146700964798896</v>
      </c>
      <c r="AB182" s="100">
        <v>200</v>
      </c>
      <c r="AC182" s="100">
        <v>13</v>
      </c>
      <c r="AD182" s="100">
        <v>4</v>
      </c>
      <c r="AE182" s="169">
        <f t="shared" si="232"/>
        <v>105.8532990352011</v>
      </c>
      <c r="AF182" s="104">
        <f t="shared" si="268"/>
        <v>0.16936105130927209</v>
      </c>
      <c r="AG182" s="382"/>
      <c r="AH182" s="385"/>
      <c r="AI182" s="388"/>
      <c r="AJ182" s="100">
        <f t="shared" si="269"/>
        <v>1.4983706644311756</v>
      </c>
      <c r="AK182" s="100">
        <f t="shared" si="242"/>
        <v>0.33</v>
      </c>
      <c r="AL182" s="104">
        <f t="shared" si="270"/>
        <v>17.587905559497941</v>
      </c>
      <c r="AM182" s="104">
        <f t="shared" si="204"/>
        <v>8.6965565739154407</v>
      </c>
      <c r="AN182" s="104">
        <f t="shared" si="271"/>
        <v>9.4305846355270315</v>
      </c>
      <c r="AO182" s="104">
        <f t="shared" si="206"/>
        <v>4.8510927365151044</v>
      </c>
      <c r="AP182" s="104">
        <f t="shared" si="207"/>
        <v>0.18549251260866159</v>
      </c>
      <c r="AQ182" s="103">
        <f t="shared" si="272"/>
        <v>4.5651721713034818E-2</v>
      </c>
      <c r="AR182" s="100">
        <f t="shared" si="273"/>
        <v>284695442.41568446</v>
      </c>
      <c r="AS182" s="100">
        <f t="shared" si="210"/>
        <v>1.8003300582937207E-3</v>
      </c>
      <c r="AT182" s="104">
        <f t="shared" si="274"/>
        <v>699.90685305519355</v>
      </c>
      <c r="AU182" s="100">
        <f t="shared" si="275"/>
        <v>27029.035045157063</v>
      </c>
      <c r="AV182" s="297"/>
      <c r="AW182" s="297"/>
      <c r="AX182" s="297"/>
      <c r="AY182" s="297"/>
      <c r="AZ182" s="297"/>
      <c r="BA182" s="392"/>
      <c r="BB182" s="392"/>
      <c r="BC182" s="392"/>
      <c r="BD182" s="297"/>
      <c r="BE182" s="297"/>
      <c r="BF182" s="297"/>
      <c r="BG182" s="297"/>
      <c r="BH182" s="390"/>
      <c r="BI182" s="392"/>
      <c r="BJ182" s="392"/>
      <c r="BK182" s="392"/>
      <c r="BL182" s="104">
        <f t="shared" si="276"/>
        <v>-6.2662133792405664E-2</v>
      </c>
      <c r="BM182" s="103">
        <f t="shared" si="277"/>
        <v>2280.8046351256899</v>
      </c>
      <c r="BN182" s="100">
        <f t="shared" si="278"/>
        <v>8847.3672767608623</v>
      </c>
      <c r="BO182" s="104">
        <f t="shared" si="279"/>
        <v>72.698282699340311</v>
      </c>
      <c r="BP182" s="170">
        <f t="shared" si="234"/>
        <v>83.603025104241354</v>
      </c>
      <c r="BQ182" s="104">
        <f t="shared" si="235"/>
        <v>405.56602783387518</v>
      </c>
      <c r="BR182" s="104">
        <f t="shared" si="280"/>
        <v>3.5296113858857883</v>
      </c>
      <c r="BS182" s="104">
        <f t="shared" si="281"/>
        <v>969.56765318261125</v>
      </c>
      <c r="BT182" s="104">
        <f t="shared" si="282"/>
        <v>989.35474814552174</v>
      </c>
      <c r="BU182" s="100">
        <f t="shared" si="283"/>
        <v>1187.7007780858605</v>
      </c>
      <c r="BV182" s="100">
        <f t="shared" si="236"/>
        <v>593.85038904293026</v>
      </c>
      <c r="BW182" s="100">
        <f t="shared" si="237"/>
        <v>593.85038904293026</v>
      </c>
      <c r="BX182" s="104">
        <f t="shared" si="284"/>
        <v>56.5571799088505</v>
      </c>
      <c r="BY182" s="104">
        <f t="shared" si="285"/>
        <v>4.8581644517979436E-3</v>
      </c>
      <c r="BZ182" s="104">
        <f t="shared" si="286"/>
        <v>4.8581644517979436E-3</v>
      </c>
      <c r="CA182" s="108">
        <f t="shared" si="287"/>
        <v>9.7163289035958871E-3</v>
      </c>
      <c r="CB182" s="402"/>
      <c r="CC182" s="277"/>
      <c r="CD182" s="277"/>
      <c r="CE182" s="277"/>
      <c r="CF182" s="117"/>
    </row>
    <row r="183" spans="3:84" s="109" customFormat="1" ht="15.75" x14ac:dyDescent="0.25">
      <c r="C183" s="100">
        <v>44</v>
      </c>
      <c r="D183" s="379"/>
      <c r="E183" s="379"/>
      <c r="F183" s="163" t="s">
        <v>128</v>
      </c>
      <c r="G183" s="341"/>
      <c r="H183" s="101">
        <v>0.179861111111111</v>
      </c>
      <c r="I183" s="100">
        <v>-8.6569380000000002</v>
      </c>
      <c r="J183" s="100">
        <v>115.78389300000001</v>
      </c>
      <c r="K183" s="100">
        <f t="shared" si="225"/>
        <v>-0.15109207124101287</v>
      </c>
      <c r="L183" s="100">
        <f t="shared" si="225"/>
        <v>2.0208101536268148</v>
      </c>
      <c r="M183" s="100">
        <v>3443</v>
      </c>
      <c r="N183" s="234">
        <f t="shared" si="288"/>
        <v>0.49489627173562589</v>
      </c>
      <c r="O183" s="331"/>
      <c r="P183" s="102">
        <f t="shared" si="289"/>
        <v>4.9999999999991829E-2</v>
      </c>
      <c r="Q183" s="331"/>
      <c r="R183" s="103">
        <f t="shared" si="290"/>
        <v>9.8979254347141357</v>
      </c>
      <c r="S183" s="347"/>
      <c r="T183" s="100">
        <f t="shared" si="200"/>
        <v>5.0914928436169511</v>
      </c>
      <c r="U183" s="165">
        <f t="shared" si="291"/>
        <v>-1.5520107301129239E-5</v>
      </c>
      <c r="V183" s="100">
        <f t="shared" si="292"/>
        <v>1.4456562194276046E-4</v>
      </c>
      <c r="W183" s="100">
        <f t="shared" si="293"/>
        <v>1.6777435418114817</v>
      </c>
      <c r="X183" s="100">
        <f t="shared" si="238"/>
        <v>96.127624051128464</v>
      </c>
      <c r="Y183" s="165">
        <f t="shared" si="239"/>
        <v>-1.534144412501659E-5</v>
      </c>
      <c r="Z183" s="166">
        <f t="shared" si="240"/>
        <v>8.2830000000058135E-3</v>
      </c>
      <c r="AA183" s="167">
        <f t="shared" si="241"/>
        <v>96.127624051128464</v>
      </c>
      <c r="AB183" s="100">
        <v>200</v>
      </c>
      <c r="AC183" s="100">
        <v>13</v>
      </c>
      <c r="AD183" s="100">
        <v>4</v>
      </c>
      <c r="AE183" s="169">
        <f t="shared" si="232"/>
        <v>103.87237594887154</v>
      </c>
      <c r="AF183" s="104">
        <f t="shared" si="268"/>
        <v>0.19468475491771028</v>
      </c>
      <c r="AG183" s="382"/>
      <c r="AH183" s="385"/>
      <c r="AI183" s="388"/>
      <c r="AJ183" s="100">
        <f t="shared" si="269"/>
        <v>1.3456372208712459</v>
      </c>
      <c r="AK183" s="100">
        <f t="shared" si="242"/>
        <v>0.33</v>
      </c>
      <c r="AL183" s="104">
        <f t="shared" si="270"/>
        <v>17.587905559497941</v>
      </c>
      <c r="AM183" s="104">
        <f t="shared" si="204"/>
        <v>7.8100903181494861</v>
      </c>
      <c r="AN183" s="104">
        <f t="shared" si="271"/>
        <v>10.736452035664318</v>
      </c>
      <c r="AO183" s="104">
        <f t="shared" si="206"/>
        <v>5.5228309271457245</v>
      </c>
      <c r="AP183" s="104">
        <f t="shared" si="207"/>
        <v>0.21117794299785281</v>
      </c>
      <c r="AQ183" s="103">
        <f t="shared" si="272"/>
        <v>4.6094954840917725E-2</v>
      </c>
      <c r="AR183" s="100">
        <f t="shared" si="273"/>
        <v>324117653.40117848</v>
      </c>
      <c r="AS183" s="100">
        <f t="shared" si="210"/>
        <v>1.7693165353567474E-3</v>
      </c>
      <c r="AT183" s="104">
        <f t="shared" si="274"/>
        <v>891.53416789577125</v>
      </c>
      <c r="AU183" s="100">
        <f t="shared" si="275"/>
        <v>34429.30750402221</v>
      </c>
      <c r="AV183" s="297"/>
      <c r="AW183" s="297"/>
      <c r="AX183" s="297"/>
      <c r="AY183" s="297"/>
      <c r="AZ183" s="297"/>
      <c r="BA183" s="392"/>
      <c r="BB183" s="392"/>
      <c r="BC183" s="392"/>
      <c r="BD183" s="297"/>
      <c r="BE183" s="297"/>
      <c r="BF183" s="297"/>
      <c r="BG183" s="297"/>
      <c r="BH183" s="390"/>
      <c r="BI183" s="392"/>
      <c r="BJ183" s="392"/>
      <c r="BK183" s="392"/>
      <c r="BL183" s="104">
        <f t="shared" si="276"/>
        <v>-0.12172390648171667</v>
      </c>
      <c r="BM183" s="103">
        <f t="shared" si="277"/>
        <v>8763.8389159871258</v>
      </c>
      <c r="BN183" s="100">
        <f t="shared" si="278"/>
        <v>11467.226711832438</v>
      </c>
      <c r="BO183" s="104">
        <f t="shared" si="279"/>
        <v>98.658440997173685</v>
      </c>
      <c r="BP183" s="170">
        <f t="shared" si="234"/>
        <v>113.45720714674974</v>
      </c>
      <c r="BQ183" s="104">
        <f t="shared" si="235"/>
        <v>626.60497253764834</v>
      </c>
      <c r="BR183" s="104">
        <f t="shared" si="280"/>
        <v>4.0183620436782839</v>
      </c>
      <c r="BS183" s="104">
        <f t="shared" si="281"/>
        <v>1497.9950760193763</v>
      </c>
      <c r="BT183" s="104">
        <f t="shared" si="282"/>
        <v>1528.5664041014043</v>
      </c>
      <c r="BU183" s="100">
        <f t="shared" si="283"/>
        <v>1835.0136903978441</v>
      </c>
      <c r="BV183" s="100">
        <f t="shared" si="236"/>
        <v>917.50684519892206</v>
      </c>
      <c r="BW183" s="100">
        <f t="shared" si="237"/>
        <v>917.50684519892206</v>
      </c>
      <c r="BX183" s="104">
        <f t="shared" si="284"/>
        <v>87.381604304659248</v>
      </c>
      <c r="BY183" s="104">
        <f t="shared" si="285"/>
        <v>7.5788046379453534E-3</v>
      </c>
      <c r="BZ183" s="104">
        <f t="shared" si="286"/>
        <v>7.5788046379453534E-3</v>
      </c>
      <c r="CA183" s="108">
        <f t="shared" si="287"/>
        <v>1.5157609275890707E-2</v>
      </c>
      <c r="CB183" s="402"/>
      <c r="CC183" s="277"/>
      <c r="CD183" s="277"/>
      <c r="CE183" s="277"/>
      <c r="CF183" s="117"/>
    </row>
    <row r="184" spans="3:84" s="109" customFormat="1" ht="15.75" x14ac:dyDescent="0.25">
      <c r="C184" s="100">
        <v>45</v>
      </c>
      <c r="D184" s="379"/>
      <c r="E184" s="379"/>
      <c r="F184" s="163" t="s">
        <v>128</v>
      </c>
      <c r="G184" s="342"/>
      <c r="H184" s="101">
        <v>0.18194444444444499</v>
      </c>
      <c r="I184" s="100">
        <v>-8.6577389999999994</v>
      </c>
      <c r="J184" s="100">
        <v>115.791342</v>
      </c>
      <c r="K184" s="100">
        <f t="shared" si="225"/>
        <v>-0.15110605132832133</v>
      </c>
      <c r="L184" s="100">
        <f t="shared" si="225"/>
        <v>2.0209401632027961</v>
      </c>
      <c r="M184" s="100">
        <v>3443</v>
      </c>
      <c r="N184" s="234">
        <f t="shared" si="288"/>
        <v>0.44513291342814509</v>
      </c>
      <c r="O184" s="331"/>
      <c r="P184" s="102">
        <f t="shared" si="289"/>
        <v>5.000000000001581E-2</v>
      </c>
      <c r="Q184" s="331"/>
      <c r="R184" s="103">
        <f t="shared" si="290"/>
        <v>8.9026582685600868</v>
      </c>
      <c r="S184" s="347"/>
      <c r="T184" s="100">
        <f t="shared" si="200"/>
        <v>4.5795274133473081</v>
      </c>
      <c r="U184" s="165">
        <f t="shared" si="291"/>
        <v>-1.4142928152120444E-5</v>
      </c>
      <c r="V184" s="100">
        <f t="shared" si="292"/>
        <v>1.3000957598130469E-4</v>
      </c>
      <c r="W184" s="100">
        <f t="shared" si="293"/>
        <v>1.6791539779071316</v>
      </c>
      <c r="X184" s="100">
        <f t="shared" si="238"/>
        <v>96.208436086682113</v>
      </c>
      <c r="Y184" s="165">
        <f t="shared" si="239"/>
        <v>-1.3980087308462785E-5</v>
      </c>
      <c r="Z184" s="166">
        <f t="shared" si="240"/>
        <v>7.4489999999940437E-3</v>
      </c>
      <c r="AA184" s="167">
        <f t="shared" si="241"/>
        <v>96.208436086682113</v>
      </c>
      <c r="AB184" s="100">
        <v>200</v>
      </c>
      <c r="AC184" s="100">
        <v>13</v>
      </c>
      <c r="AD184" s="100">
        <v>4</v>
      </c>
      <c r="AE184" s="169">
        <f t="shared" si="232"/>
        <v>103.79156391331789</v>
      </c>
      <c r="AF184" s="104">
        <f t="shared" si="268"/>
        <v>0.17510859771200171</v>
      </c>
      <c r="AG184" s="382"/>
      <c r="AH184" s="385"/>
      <c r="AI184" s="388"/>
      <c r="AJ184" s="100">
        <f t="shared" si="269"/>
        <v>1.4647972020911586</v>
      </c>
      <c r="AK184" s="100">
        <f t="shared" si="242"/>
        <v>0.33</v>
      </c>
      <c r="AL184" s="104">
        <f t="shared" si="270"/>
        <v>17.587905559497941</v>
      </c>
      <c r="AM184" s="104">
        <f t="shared" si="204"/>
        <v>8.5016959018847178</v>
      </c>
      <c r="AN184" s="104">
        <f t="shared" si="271"/>
        <v>9.7298615054259425</v>
      </c>
      <c r="AO184" s="104">
        <f t="shared" si="206"/>
        <v>5.0050407583911047</v>
      </c>
      <c r="AP184" s="104">
        <f t="shared" si="207"/>
        <v>0.1913790637302191</v>
      </c>
      <c r="AQ184" s="103">
        <f t="shared" si="272"/>
        <v>4.5749152049072109E-2</v>
      </c>
      <c r="AR184" s="100">
        <f t="shared" si="273"/>
        <v>293730169.7601245</v>
      </c>
      <c r="AS184" s="100">
        <f t="shared" si="210"/>
        <v>1.7927847501718868E-3</v>
      </c>
      <c r="AT184" s="104">
        <f t="shared" si="274"/>
        <v>741.91191488613151</v>
      </c>
      <c r="AU184" s="100">
        <f t="shared" si="275"/>
        <v>28651.188455066429</v>
      </c>
      <c r="AV184" s="297"/>
      <c r="AW184" s="297"/>
      <c r="AX184" s="297"/>
      <c r="AY184" s="297"/>
      <c r="AZ184" s="297"/>
      <c r="BA184" s="392"/>
      <c r="BB184" s="392"/>
      <c r="BC184" s="392"/>
      <c r="BD184" s="297"/>
      <c r="BE184" s="297"/>
      <c r="BF184" s="297"/>
      <c r="BG184" s="297"/>
      <c r="BH184" s="390"/>
      <c r="BI184" s="392"/>
      <c r="BJ184" s="392"/>
      <c r="BK184" s="392"/>
      <c r="BL184" s="104">
        <f t="shared" si="276"/>
        <v>-7.4723742192679382E-2</v>
      </c>
      <c r="BM184" s="103">
        <f t="shared" si="277"/>
        <v>3201.2727991658976</v>
      </c>
      <c r="BN184" s="100">
        <f t="shared" si="278"/>
        <v>9417.8146601788376</v>
      </c>
      <c r="BO184" s="104">
        <f t="shared" si="279"/>
        <v>77.884341820940278</v>
      </c>
      <c r="BP184" s="170">
        <f t="shared" si="234"/>
        <v>89.566993094081326</v>
      </c>
      <c r="BQ184" s="104">
        <f t="shared" si="235"/>
        <v>448.28645104241161</v>
      </c>
      <c r="BR184" s="104">
        <f t="shared" si="280"/>
        <v>3.6416225801385851</v>
      </c>
      <c r="BS184" s="104">
        <f t="shared" si="281"/>
        <v>1071.6973623559716</v>
      </c>
      <c r="BT184" s="104">
        <f t="shared" si="282"/>
        <v>1093.5687370979301</v>
      </c>
      <c r="BU184" s="100">
        <f t="shared" si="283"/>
        <v>1312.8076075605404</v>
      </c>
      <c r="BV184" s="100">
        <f t="shared" si="236"/>
        <v>656.40380378027021</v>
      </c>
      <c r="BW184" s="100">
        <f t="shared" si="237"/>
        <v>656.40380378027021</v>
      </c>
      <c r="BX184" s="104">
        <f t="shared" si="284"/>
        <v>62.514647979073359</v>
      </c>
      <c r="BY184" s="104">
        <f t="shared" si="285"/>
        <v>5.3813612025121306E-3</v>
      </c>
      <c r="BZ184" s="104">
        <f t="shared" si="286"/>
        <v>5.3813612025121306E-3</v>
      </c>
      <c r="CA184" s="108">
        <f t="shared" si="287"/>
        <v>1.0762722405024261E-2</v>
      </c>
      <c r="CB184" s="402"/>
      <c r="CC184" s="277"/>
      <c r="CD184" s="277"/>
      <c r="CE184" s="277"/>
      <c r="CF184" s="117"/>
    </row>
    <row r="185" spans="3:84" s="183" customFormat="1" ht="15.75" x14ac:dyDescent="0.25">
      <c r="C185" s="171">
        <v>46</v>
      </c>
      <c r="D185" s="379"/>
      <c r="E185" s="379"/>
      <c r="F185" s="172" t="s">
        <v>128</v>
      </c>
      <c r="G185" s="394">
        <v>0.18402777777777801</v>
      </c>
      <c r="H185" s="173">
        <v>0.18402777777777801</v>
      </c>
      <c r="I185" s="171">
        <v>-8.6581810000000008</v>
      </c>
      <c r="J185" s="171">
        <v>115.798044</v>
      </c>
      <c r="K185" s="171">
        <f t="shared" si="225"/>
        <v>-0.15111376568361518</v>
      </c>
      <c r="L185" s="171">
        <f t="shared" si="225"/>
        <v>2.0210571351692646</v>
      </c>
      <c r="M185" s="171">
        <v>3443</v>
      </c>
      <c r="N185" s="235">
        <f t="shared" si="288"/>
        <v>0.39903011413344175</v>
      </c>
      <c r="O185" s="358"/>
      <c r="P185" s="174">
        <f t="shared" si="289"/>
        <v>4.9999999999992495E-2</v>
      </c>
      <c r="Q185" s="358"/>
      <c r="R185" s="175">
        <f t="shared" si="290"/>
        <v>7.9806022826700325</v>
      </c>
      <c r="S185" s="348"/>
      <c r="T185" s="171">
        <f t="shared" si="200"/>
        <v>4.1052218142054642</v>
      </c>
      <c r="U185" s="176">
        <f t="shared" si="291"/>
        <v>-7.8042254972027621E-6</v>
      </c>
      <c r="V185" s="171">
        <f t="shared" si="292"/>
        <v>1.1697196646842656E-4</v>
      </c>
      <c r="W185" s="171">
        <f t="shared" si="293"/>
        <v>1.6374163612208883</v>
      </c>
      <c r="X185" s="171">
        <f t="shared" si="238"/>
        <v>93.817046803625573</v>
      </c>
      <c r="Y185" s="176">
        <f t="shared" si="239"/>
        <v>-7.7143552938419013E-6</v>
      </c>
      <c r="Z185" s="177">
        <f t="shared" si="240"/>
        <v>6.7020000000042046E-3</v>
      </c>
      <c r="AA185" s="178">
        <f t="shared" si="241"/>
        <v>93.817046803625573</v>
      </c>
      <c r="AB185" s="100">
        <v>200</v>
      </c>
      <c r="AC185" s="171">
        <v>13</v>
      </c>
      <c r="AD185" s="171">
        <v>4</v>
      </c>
      <c r="AE185" s="179">
        <f t="shared" si="232"/>
        <v>106.18295319637443</v>
      </c>
      <c r="AF185" s="180">
        <f t="shared" si="268"/>
        <v>0.15697244940320235</v>
      </c>
      <c r="AG185" s="382"/>
      <c r="AH185" s="385"/>
      <c r="AI185" s="388"/>
      <c r="AJ185" s="171">
        <f t="shared" si="269"/>
        <v>1.5685574827370774</v>
      </c>
      <c r="AK185" s="171">
        <f t="shared" si="242"/>
        <v>0.33</v>
      </c>
      <c r="AL185" s="180">
        <f t="shared" si="270"/>
        <v>17.587905559497941</v>
      </c>
      <c r="AM185" s="180">
        <f t="shared" si="204"/>
        <v>9.1039214874377699</v>
      </c>
      <c r="AN185" s="180">
        <f t="shared" si="271"/>
        <v>8.7799192366336012</v>
      </c>
      <c r="AO185" s="180">
        <f t="shared" si="206"/>
        <v>4.5163904553243244</v>
      </c>
      <c r="AP185" s="180">
        <f t="shared" si="207"/>
        <v>0.17269441319353299</v>
      </c>
      <c r="AQ185" s="175">
        <f t="shared" si="272"/>
        <v>4.5448039256274296E-2</v>
      </c>
      <c r="AR185" s="171">
        <f t="shared" si="273"/>
        <v>265052813.59024578</v>
      </c>
      <c r="AS185" s="171">
        <f t="shared" si="210"/>
        <v>1.8177764271010645E-3</v>
      </c>
      <c r="AT185" s="180">
        <f t="shared" si="274"/>
        <v>612.53708648251654</v>
      </c>
      <c r="AU185" s="171">
        <f t="shared" si="275"/>
        <v>23654.98538087431</v>
      </c>
      <c r="AV185" s="297"/>
      <c r="AW185" s="297"/>
      <c r="AX185" s="297"/>
      <c r="AY185" s="297"/>
      <c r="AZ185" s="297"/>
      <c r="BA185" s="392"/>
      <c r="BB185" s="392"/>
      <c r="BC185" s="392"/>
      <c r="BD185" s="297"/>
      <c r="BE185" s="297"/>
      <c r="BF185" s="297"/>
      <c r="BG185" s="297"/>
      <c r="BH185" s="390"/>
      <c r="BI185" s="392"/>
      <c r="BJ185" s="392"/>
      <c r="BK185" s="392"/>
      <c r="BL185" s="180">
        <f t="shared" si="276"/>
        <v>-4.0085976923286998E-2</v>
      </c>
      <c r="BM185" s="175">
        <f t="shared" si="277"/>
        <v>1021.7028044266982</v>
      </c>
      <c r="BN185" s="171">
        <f t="shared" si="278"/>
        <v>7668.6314133957385</v>
      </c>
      <c r="BO185" s="180">
        <f t="shared" si="279"/>
        <v>62.574613406582763</v>
      </c>
      <c r="BP185" s="181">
        <f t="shared" si="234"/>
        <v>71.960805417570185</v>
      </c>
      <c r="BQ185" s="180">
        <f t="shared" si="235"/>
        <v>325.00309474536493</v>
      </c>
      <c r="BR185" s="180">
        <f t="shared" si="280"/>
        <v>3.2860850204381578</v>
      </c>
      <c r="BS185" s="180">
        <f t="shared" si="281"/>
        <v>776.96963311341074</v>
      </c>
      <c r="BT185" s="180">
        <f t="shared" si="282"/>
        <v>792.82615623817424</v>
      </c>
      <c r="BU185" s="171">
        <f t="shared" si="283"/>
        <v>951.77209632433892</v>
      </c>
      <c r="BV185" s="171">
        <f t="shared" si="236"/>
        <v>475.88604816216946</v>
      </c>
      <c r="BW185" s="171">
        <f t="shared" si="237"/>
        <v>475.88604816216946</v>
      </c>
      <c r="BX185" s="180">
        <f t="shared" si="284"/>
        <v>45.322480777349469</v>
      </c>
      <c r="BY185" s="180">
        <f t="shared" si="285"/>
        <v>3.8757533334710429E-3</v>
      </c>
      <c r="BZ185" s="180">
        <f t="shared" si="286"/>
        <v>3.8757533334710429E-3</v>
      </c>
      <c r="CA185" s="182">
        <f t="shared" si="287"/>
        <v>7.7515066669420858E-3</v>
      </c>
      <c r="CB185" s="402"/>
      <c r="CC185" s="276">
        <f t="shared" ref="CC185" si="304">SUM(CA185:CA189)*1000</f>
        <v>70.228956725010818</v>
      </c>
      <c r="CD185" s="276">
        <v>45</v>
      </c>
      <c r="CE185" s="276">
        <f t="shared" ref="CE185" si="305">AVERAGE(AN185:AN189)</f>
        <v>10.186487929718885</v>
      </c>
      <c r="CF185" s="184"/>
    </row>
    <row r="186" spans="3:84" s="183" customFormat="1" ht="15.75" x14ac:dyDescent="0.25">
      <c r="C186" s="171">
        <v>47</v>
      </c>
      <c r="D186" s="379"/>
      <c r="E186" s="379"/>
      <c r="F186" s="172" t="s">
        <v>128</v>
      </c>
      <c r="G186" s="395"/>
      <c r="H186" s="173">
        <v>0.18611111111111101</v>
      </c>
      <c r="I186" s="171">
        <v>-8.6584500000000002</v>
      </c>
      <c r="J186" s="171">
        <v>115.80793</v>
      </c>
      <c r="K186" s="171">
        <f t="shared" si="225"/>
        <v>-0.15111846061930304</v>
      </c>
      <c r="L186" s="171">
        <f t="shared" si="225"/>
        <v>2.0212296784191168</v>
      </c>
      <c r="M186" s="171">
        <v>3443</v>
      </c>
      <c r="N186" s="235">
        <f t="shared" si="288"/>
        <v>0.58751864862841241</v>
      </c>
      <c r="O186" s="357">
        <f t="shared" ref="O186" si="306">SUM(N186:N190)</f>
        <v>2.397455526619487</v>
      </c>
      <c r="P186" s="174">
        <f t="shared" si="289"/>
        <v>4.9999999999991829E-2</v>
      </c>
      <c r="Q186" s="357">
        <f t="shared" ref="Q186" si="307">SUM(P186:P190)</f>
        <v>0.25000000000000777</v>
      </c>
      <c r="R186" s="175">
        <f t="shared" si="290"/>
        <v>11.750372972570169</v>
      </c>
      <c r="S186" s="346">
        <f t="shared" ref="S186" si="308">AVERAGE(R186:R190)</f>
        <v>9.5898221064777598</v>
      </c>
      <c r="T186" s="171">
        <f t="shared" si="200"/>
        <v>6.0443918570900941</v>
      </c>
      <c r="U186" s="176">
        <f t="shared" si="291"/>
        <v>-4.749634961075216E-6</v>
      </c>
      <c r="V186" s="171">
        <f t="shared" si="292"/>
        <v>1.7254324985227498E-4</v>
      </c>
      <c r="W186" s="171">
        <f t="shared" si="293"/>
        <v>1.5983165910508874</v>
      </c>
      <c r="X186" s="171">
        <f t="shared" si="238"/>
        <v>91.576794992953012</v>
      </c>
      <c r="Y186" s="176">
        <f t="shared" si="239"/>
        <v>-4.6949356878600579E-6</v>
      </c>
      <c r="Z186" s="177">
        <f t="shared" si="240"/>
        <v>9.8859999999945103E-3</v>
      </c>
      <c r="AA186" s="178">
        <f t="shared" si="241"/>
        <v>91.576794992953012</v>
      </c>
      <c r="AB186" s="100">
        <v>200</v>
      </c>
      <c r="AC186" s="171">
        <v>13</v>
      </c>
      <c r="AD186" s="171">
        <v>4</v>
      </c>
      <c r="AE186" s="179">
        <f t="shared" si="232"/>
        <v>108.42320500704699</v>
      </c>
      <c r="AF186" s="180">
        <f t="shared" si="268"/>
        <v>0.23112100585576689</v>
      </c>
      <c r="AG186" s="382"/>
      <c r="AH186" s="385"/>
      <c r="AI186" s="388"/>
      <c r="AJ186" s="171">
        <f t="shared" si="269"/>
        <v>1.1040533676871029</v>
      </c>
      <c r="AK186" s="171">
        <f t="shared" si="242"/>
        <v>0.33</v>
      </c>
      <c r="AL186" s="180">
        <f t="shared" si="270"/>
        <v>17.587905559497941</v>
      </c>
      <c r="AM186" s="180">
        <f t="shared" si="204"/>
        <v>6.4079354999637195</v>
      </c>
      <c r="AN186" s="180">
        <f t="shared" si="271"/>
        <v>12.554881693592318</v>
      </c>
      <c r="AO186" s="180">
        <f t="shared" si="206"/>
        <v>6.4582311431838875</v>
      </c>
      <c r="AP186" s="180">
        <f t="shared" si="207"/>
        <v>0.24694508780247851</v>
      </c>
      <c r="AQ186" s="175">
        <f t="shared" si="272"/>
        <v>4.6796032250010486E-2</v>
      </c>
      <c r="AR186" s="171">
        <f t="shared" si="273"/>
        <v>379013363.04947877</v>
      </c>
      <c r="AS186" s="171">
        <f t="shared" si="210"/>
        <v>1.7329542731718483E-3</v>
      </c>
      <c r="AT186" s="180">
        <f t="shared" si="274"/>
        <v>1194.0519766451439</v>
      </c>
      <c r="AU186" s="171">
        <f t="shared" si="275"/>
        <v>46111.954157327818</v>
      </c>
      <c r="AV186" s="297"/>
      <c r="AW186" s="297"/>
      <c r="AX186" s="297"/>
      <c r="AY186" s="297"/>
      <c r="AZ186" s="297"/>
      <c r="BA186" s="392"/>
      <c r="BB186" s="392"/>
      <c r="BC186" s="392"/>
      <c r="BD186" s="297"/>
      <c r="BE186" s="297"/>
      <c r="BF186" s="297"/>
      <c r="BG186" s="297"/>
      <c r="BH186" s="390"/>
      <c r="BI186" s="392"/>
      <c r="BJ186" s="392"/>
      <c r="BK186" s="392"/>
      <c r="BL186" s="180">
        <f t="shared" si="276"/>
        <v>-0.22235413368272533</v>
      </c>
      <c r="BM186" s="175">
        <f t="shared" si="277"/>
        <v>34124.413759469331</v>
      </c>
      <c r="BN186" s="171">
        <f t="shared" si="278"/>
        <v>15680.578159856492</v>
      </c>
      <c r="BO186" s="180">
        <f t="shared" si="279"/>
        <v>154.84455849465434</v>
      </c>
      <c r="BP186" s="181">
        <f t="shared" si="234"/>
        <v>178.07124226885247</v>
      </c>
      <c r="BQ186" s="180">
        <f t="shared" si="235"/>
        <v>1150.025242526146</v>
      </c>
      <c r="BR186" s="180">
        <f t="shared" si="280"/>
        <v>4.698950816602899</v>
      </c>
      <c r="BS186" s="180">
        <f t="shared" si="281"/>
        <v>2749.3113302713996</v>
      </c>
      <c r="BT186" s="180">
        <f t="shared" si="282"/>
        <v>2805.4197247667344</v>
      </c>
      <c r="BU186" s="171">
        <f t="shared" si="283"/>
        <v>3367.850810044099</v>
      </c>
      <c r="BV186" s="171">
        <f t="shared" si="236"/>
        <v>1683.9254050220495</v>
      </c>
      <c r="BW186" s="171">
        <f t="shared" si="237"/>
        <v>1683.9254050220495</v>
      </c>
      <c r="BX186" s="180">
        <f t="shared" si="284"/>
        <v>160.37384809733805</v>
      </c>
      <c r="BY186" s="180">
        <f t="shared" si="285"/>
        <v>1.4121144138756262E-2</v>
      </c>
      <c r="BZ186" s="180">
        <f t="shared" si="286"/>
        <v>1.4121144138756262E-2</v>
      </c>
      <c r="CA186" s="182">
        <f t="shared" si="287"/>
        <v>2.8242288277512524E-2</v>
      </c>
      <c r="CB186" s="402"/>
      <c r="CC186" s="277"/>
      <c r="CD186" s="277"/>
      <c r="CE186" s="277"/>
      <c r="CF186" s="184"/>
    </row>
    <row r="187" spans="3:84" s="183" customFormat="1" ht="15.75" x14ac:dyDescent="0.25">
      <c r="C187" s="171">
        <v>48</v>
      </c>
      <c r="D187" s="379"/>
      <c r="E187" s="379"/>
      <c r="F187" s="172" t="s">
        <v>128</v>
      </c>
      <c r="G187" s="395"/>
      <c r="H187" s="173">
        <v>0.188194444444445</v>
      </c>
      <c r="I187" s="171">
        <v>-8.6585520000000002</v>
      </c>
      <c r="J187" s="171">
        <v>115.815037</v>
      </c>
      <c r="K187" s="171">
        <f t="shared" si="225"/>
        <v>-0.15112024085514006</v>
      </c>
      <c r="L187" s="171">
        <f t="shared" si="225"/>
        <v>2.0213537189690562</v>
      </c>
      <c r="M187" s="171">
        <v>3443</v>
      </c>
      <c r="N187" s="235">
        <f t="shared" si="288"/>
        <v>0.42224884629196829</v>
      </c>
      <c r="O187" s="331"/>
      <c r="P187" s="174">
        <f t="shared" si="289"/>
        <v>5.000000000001581E-2</v>
      </c>
      <c r="Q187" s="331"/>
      <c r="R187" s="175">
        <f t="shared" si="290"/>
        <v>8.4449769258366949</v>
      </c>
      <c r="S187" s="347"/>
      <c r="T187" s="171">
        <f t="shared" si="200"/>
        <v>4.3440961306503958</v>
      </c>
      <c r="U187" s="176">
        <f t="shared" si="291"/>
        <v>-1.8009777179039986E-6</v>
      </c>
      <c r="V187" s="171">
        <f t="shared" si="292"/>
        <v>1.2404054993941926E-4</v>
      </c>
      <c r="W187" s="171">
        <f t="shared" si="293"/>
        <v>1.5853145724866187</v>
      </c>
      <c r="X187" s="171">
        <f t="shared" si="238"/>
        <v>90.831834204069665</v>
      </c>
      <c r="Y187" s="176">
        <f t="shared" si="239"/>
        <v>-1.7802358370233584E-6</v>
      </c>
      <c r="Z187" s="177">
        <f t="shared" si="240"/>
        <v>7.1070000000048594E-3</v>
      </c>
      <c r="AA187" s="178">
        <f t="shared" si="241"/>
        <v>90.831834204069665</v>
      </c>
      <c r="AB187" s="100">
        <v>200</v>
      </c>
      <c r="AC187" s="171">
        <v>13</v>
      </c>
      <c r="AD187" s="171">
        <v>4</v>
      </c>
      <c r="AE187" s="179">
        <f t="shared" si="232"/>
        <v>109.16816579593034</v>
      </c>
      <c r="AF187" s="180">
        <f t="shared" si="268"/>
        <v>0.16610634965242282</v>
      </c>
      <c r="AG187" s="382"/>
      <c r="AH187" s="385"/>
      <c r="AI187" s="388"/>
      <c r="AJ187" s="171">
        <f t="shared" si="269"/>
        <v>1.5170983277388694</v>
      </c>
      <c r="AK187" s="171">
        <f t="shared" si="242"/>
        <v>0.33</v>
      </c>
      <c r="AL187" s="180">
        <f t="shared" si="270"/>
        <v>17.587905559497941</v>
      </c>
      <c r="AM187" s="180">
        <f t="shared" si="204"/>
        <v>8.8052520972053525</v>
      </c>
      <c r="AN187" s="180">
        <f t="shared" si="271"/>
        <v>9.2603764142626677</v>
      </c>
      <c r="AO187" s="180">
        <f t="shared" si="206"/>
        <v>4.7635376274967163</v>
      </c>
      <c r="AP187" s="180">
        <f t="shared" si="207"/>
        <v>0.18214464480945455</v>
      </c>
      <c r="AQ187" s="175">
        <f t="shared" si="272"/>
        <v>4.5597373951411752E-2</v>
      </c>
      <c r="AR187" s="171">
        <f t="shared" si="273"/>
        <v>279557107.22985786</v>
      </c>
      <c r="AS187" s="171">
        <f t="shared" si="210"/>
        <v>1.8047508667917067E-3</v>
      </c>
      <c r="AT187" s="180">
        <f t="shared" si="274"/>
        <v>676.52744373123369</v>
      </c>
      <c r="AU187" s="171">
        <f t="shared" si="275"/>
        <v>26126.167940493138</v>
      </c>
      <c r="AV187" s="297"/>
      <c r="AW187" s="297"/>
      <c r="AX187" s="297"/>
      <c r="AY187" s="297"/>
      <c r="AZ187" s="297"/>
      <c r="BA187" s="392"/>
      <c r="BB187" s="392"/>
      <c r="BC187" s="392"/>
      <c r="BD187" s="297"/>
      <c r="BE187" s="297"/>
      <c r="BF187" s="297"/>
      <c r="BG187" s="297"/>
      <c r="BH187" s="390"/>
      <c r="BI187" s="392"/>
      <c r="BJ187" s="392"/>
      <c r="BK187" s="392"/>
      <c r="BL187" s="180">
        <f t="shared" si="276"/>
        <v>-5.6257346997666345E-2</v>
      </c>
      <c r="BM187" s="175">
        <f t="shared" si="277"/>
        <v>1865.1122494291126</v>
      </c>
      <c r="BN187" s="171">
        <f t="shared" si="278"/>
        <v>8530.8852960887598</v>
      </c>
      <c r="BO187" s="180">
        <f t="shared" si="279"/>
        <v>69.909444912778028</v>
      </c>
      <c r="BP187" s="181">
        <f t="shared" si="234"/>
        <v>80.395861649694737</v>
      </c>
      <c r="BQ187" s="180">
        <f t="shared" si="235"/>
        <v>382.96871206334112</v>
      </c>
      <c r="BR187" s="180">
        <f t="shared" si="280"/>
        <v>3.4659070770900393</v>
      </c>
      <c r="BS187" s="180">
        <f t="shared" si="281"/>
        <v>915.54531177279875</v>
      </c>
      <c r="BT187" s="180">
        <f t="shared" si="282"/>
        <v>934.2299099722436</v>
      </c>
      <c r="BU187" s="171">
        <f t="shared" si="283"/>
        <v>1121.5245017673992</v>
      </c>
      <c r="BV187" s="171">
        <f t="shared" si="236"/>
        <v>560.76225088369961</v>
      </c>
      <c r="BW187" s="171">
        <f t="shared" si="237"/>
        <v>560.76225088369961</v>
      </c>
      <c r="BX187" s="180">
        <f t="shared" si="284"/>
        <v>53.405928655590444</v>
      </c>
      <c r="BY187" s="180">
        <f t="shared" si="285"/>
        <v>4.5820160604071927E-3</v>
      </c>
      <c r="BZ187" s="180">
        <f t="shared" si="286"/>
        <v>4.5820160604071927E-3</v>
      </c>
      <c r="CA187" s="182">
        <f t="shared" si="287"/>
        <v>9.1640321208143853E-3</v>
      </c>
      <c r="CB187" s="402"/>
      <c r="CC187" s="277"/>
      <c r="CD187" s="277"/>
      <c r="CE187" s="277"/>
      <c r="CF187" s="184"/>
    </row>
    <row r="188" spans="3:84" s="183" customFormat="1" ht="15.75" x14ac:dyDescent="0.25">
      <c r="C188" s="171">
        <v>49</v>
      </c>
      <c r="D188" s="379"/>
      <c r="E188" s="379"/>
      <c r="F188" s="172" t="s">
        <v>128</v>
      </c>
      <c r="G188" s="395"/>
      <c r="H188" s="173">
        <v>0.19027777777777799</v>
      </c>
      <c r="I188" s="171">
        <v>-8.6581580000000002</v>
      </c>
      <c r="J188" s="171">
        <v>115.822686</v>
      </c>
      <c r="K188" s="171">
        <f t="shared" si="225"/>
        <v>-0.15111336425788721</v>
      </c>
      <c r="L188" s="171">
        <f t="shared" si="225"/>
        <v>2.0214872192035411</v>
      </c>
      <c r="M188" s="171">
        <v>3443</v>
      </c>
      <c r="N188" s="235">
        <f t="shared" si="288"/>
        <v>0.45501942657831385</v>
      </c>
      <c r="O188" s="331"/>
      <c r="P188" s="174">
        <f t="shared" si="289"/>
        <v>4.9999999999991829E-2</v>
      </c>
      <c r="Q188" s="331"/>
      <c r="R188" s="175">
        <f t="shared" si="290"/>
        <v>9.1003885315677646</v>
      </c>
      <c r="S188" s="347"/>
      <c r="T188" s="171">
        <f t="shared" si="200"/>
        <v>4.681239860638458</v>
      </c>
      <c r="U188" s="176">
        <f t="shared" si="291"/>
        <v>6.9567151381513947E-6</v>
      </c>
      <c r="V188" s="171">
        <f t="shared" si="292"/>
        <v>1.3350023448488457E-4</v>
      </c>
      <c r="W188" s="171">
        <f t="shared" si="293"/>
        <v>1.5187332836360559</v>
      </c>
      <c r="X188" s="171">
        <f t="shared" si="238"/>
        <v>87.01700735839097</v>
      </c>
      <c r="Y188" s="176">
        <f t="shared" si="239"/>
        <v>6.876597252847283E-6</v>
      </c>
      <c r="Z188" s="177">
        <f t="shared" si="240"/>
        <v>7.649000000000683E-3</v>
      </c>
      <c r="AA188" s="178">
        <f t="shared" si="241"/>
        <v>87.01700735839097</v>
      </c>
      <c r="AB188" s="100">
        <v>200</v>
      </c>
      <c r="AC188" s="171">
        <v>13</v>
      </c>
      <c r="AD188" s="171">
        <v>4</v>
      </c>
      <c r="AE188" s="179">
        <f t="shared" si="232"/>
        <v>112.98299264160903</v>
      </c>
      <c r="AF188" s="180">
        <f t="shared" si="268"/>
        <v>0.17899780338922919</v>
      </c>
      <c r="AG188" s="382"/>
      <c r="AH188" s="385"/>
      <c r="AI188" s="388"/>
      <c r="AJ188" s="171">
        <f t="shared" si="269"/>
        <v>1.4417154194306865</v>
      </c>
      <c r="AK188" s="171">
        <f t="shared" si="242"/>
        <v>0.33</v>
      </c>
      <c r="AL188" s="180">
        <f t="shared" si="270"/>
        <v>17.587905559497941</v>
      </c>
      <c r="AM188" s="180">
        <f t="shared" si="204"/>
        <v>8.3677290314042292</v>
      </c>
      <c r="AN188" s="180">
        <f t="shared" si="271"/>
        <v>9.931423106043777</v>
      </c>
      <c r="AO188" s="180">
        <f t="shared" si="206"/>
        <v>5.1087240457489189</v>
      </c>
      <c r="AP188" s="180">
        <f t="shared" si="207"/>
        <v>0.19534362893895246</v>
      </c>
      <c r="AQ188" s="175">
        <f t="shared" si="272"/>
        <v>4.58161354842904E-2</v>
      </c>
      <c r="AR188" s="171">
        <f t="shared" si="273"/>
        <v>299815017.23031545</v>
      </c>
      <c r="AS188" s="171">
        <f t="shared" si="210"/>
        <v>1.7878584501481957E-3</v>
      </c>
      <c r="AT188" s="180">
        <f t="shared" si="274"/>
        <v>770.8448578029205</v>
      </c>
      <c r="AU188" s="171">
        <f t="shared" si="275"/>
        <v>29768.522175466143</v>
      </c>
      <c r="AV188" s="297"/>
      <c r="AW188" s="297"/>
      <c r="AX188" s="297"/>
      <c r="AY188" s="297"/>
      <c r="AZ188" s="297"/>
      <c r="BA188" s="392"/>
      <c r="BB188" s="392"/>
      <c r="BC188" s="392"/>
      <c r="BD188" s="297"/>
      <c r="BE188" s="297"/>
      <c r="BF188" s="297"/>
      <c r="BG188" s="297"/>
      <c r="BH188" s="390"/>
      <c r="BI188" s="392"/>
      <c r="BJ188" s="392"/>
      <c r="BK188" s="392"/>
      <c r="BL188" s="180">
        <f t="shared" si="276"/>
        <v>-8.3387480898982777E-2</v>
      </c>
      <c r="BM188" s="175">
        <f t="shared" si="277"/>
        <v>3980.6331435236866</v>
      </c>
      <c r="BN188" s="171">
        <f t="shared" si="278"/>
        <v>9812.0508698316298</v>
      </c>
      <c r="BO188" s="180">
        <f t="shared" si="279"/>
        <v>81.603140630104804</v>
      </c>
      <c r="BP188" s="181">
        <f t="shared" si="234"/>
        <v>93.84361172462053</v>
      </c>
      <c r="BQ188" s="180">
        <f t="shared" si="235"/>
        <v>479.42111575749408</v>
      </c>
      <c r="BR188" s="180">
        <f t="shared" si="280"/>
        <v>3.7170616062428574</v>
      </c>
      <c r="BS188" s="180">
        <f t="shared" si="281"/>
        <v>1146.1295428856361</v>
      </c>
      <c r="BT188" s="180">
        <f t="shared" si="282"/>
        <v>1169.5199417200367</v>
      </c>
      <c r="BU188" s="171">
        <f t="shared" si="283"/>
        <v>1403.9855242737538</v>
      </c>
      <c r="BV188" s="171">
        <f t="shared" si="236"/>
        <v>701.99276213687688</v>
      </c>
      <c r="BW188" s="171">
        <f t="shared" si="237"/>
        <v>701.99276213687688</v>
      </c>
      <c r="BX188" s="180">
        <f t="shared" si="284"/>
        <v>66.856453536845422</v>
      </c>
      <c r="BY188" s="180">
        <f t="shared" si="285"/>
        <v>5.7635371134305479E-3</v>
      </c>
      <c r="BZ188" s="180">
        <f t="shared" si="286"/>
        <v>5.7635371134305479E-3</v>
      </c>
      <c r="CA188" s="182">
        <f t="shared" si="287"/>
        <v>1.1527074226861096E-2</v>
      </c>
      <c r="CB188" s="402"/>
      <c r="CC188" s="277"/>
      <c r="CD188" s="277"/>
      <c r="CE188" s="277"/>
      <c r="CF188" s="184"/>
    </row>
    <row r="189" spans="3:84" s="183" customFormat="1" ht="15.75" x14ac:dyDescent="0.25">
      <c r="C189" s="171">
        <v>50</v>
      </c>
      <c r="D189" s="379"/>
      <c r="E189" s="379"/>
      <c r="F189" s="172" t="s">
        <v>128</v>
      </c>
      <c r="G189" s="396"/>
      <c r="H189" s="173">
        <v>0.19236111111111201</v>
      </c>
      <c r="I189" s="171">
        <v>-8.6579540000000001</v>
      </c>
      <c r="J189" s="171">
        <v>115.830737</v>
      </c>
      <c r="K189" s="171">
        <f t="shared" si="225"/>
        <v>-0.15110980378621314</v>
      </c>
      <c r="L189" s="171">
        <f t="shared" si="225"/>
        <v>2.0216277356616192</v>
      </c>
      <c r="M189" s="171">
        <v>3443</v>
      </c>
      <c r="N189" s="235">
        <f t="shared" si="288"/>
        <v>0.47844204538905999</v>
      </c>
      <c r="O189" s="331"/>
      <c r="P189" s="174">
        <f t="shared" si="289"/>
        <v>5.0000000000016476E-2</v>
      </c>
      <c r="Q189" s="331"/>
      <c r="R189" s="175">
        <f t="shared" si="290"/>
        <v>9.5688409077780463</v>
      </c>
      <c r="S189" s="347"/>
      <c r="T189" s="171">
        <f t="shared" si="200"/>
        <v>4.9222117629610267</v>
      </c>
      <c r="U189" s="176">
        <f t="shared" si="291"/>
        <v>3.601951153341786E-6</v>
      </c>
      <c r="V189" s="171">
        <f t="shared" si="292"/>
        <v>1.4051645807811042E-4</v>
      </c>
      <c r="W189" s="171">
        <f t="shared" si="293"/>
        <v>1.5451682787734782</v>
      </c>
      <c r="X189" s="171">
        <f t="shared" si="238"/>
        <v>88.531621011214128</v>
      </c>
      <c r="Y189" s="176">
        <f t="shared" si="239"/>
        <v>3.5604716740744724E-6</v>
      </c>
      <c r="Z189" s="177">
        <f t="shared" si="240"/>
        <v>8.0509999999947013E-3</v>
      </c>
      <c r="AA189" s="178">
        <f t="shared" si="241"/>
        <v>88.531621011214128</v>
      </c>
      <c r="AB189" s="100">
        <v>200</v>
      </c>
      <c r="AC189" s="171">
        <v>13</v>
      </c>
      <c r="AD189" s="171">
        <v>4</v>
      </c>
      <c r="AE189" s="179">
        <f t="shared" si="232"/>
        <v>111.46837898878587</v>
      </c>
      <c r="AF189" s="180">
        <f t="shared" si="268"/>
        <v>0.18821190958296324</v>
      </c>
      <c r="AG189" s="382"/>
      <c r="AH189" s="385"/>
      <c r="AI189" s="388"/>
      <c r="AJ189" s="171">
        <f t="shared" si="269"/>
        <v>1.3858601138265965</v>
      </c>
      <c r="AK189" s="171">
        <f t="shared" si="242"/>
        <v>0.33</v>
      </c>
      <c r="AL189" s="180">
        <f t="shared" si="270"/>
        <v>17.587905559497941</v>
      </c>
      <c r="AM189" s="180">
        <f t="shared" si="204"/>
        <v>8.0435443442168904</v>
      </c>
      <c r="AN189" s="180">
        <f t="shared" si="271"/>
        <v>10.405839198062072</v>
      </c>
      <c r="AO189" s="180">
        <f t="shared" si="206"/>
        <v>5.3527636834831291</v>
      </c>
      <c r="AP189" s="180">
        <f t="shared" si="207"/>
        <v>0.20467503694084219</v>
      </c>
      <c r="AQ189" s="175">
        <f t="shared" si="272"/>
        <v>4.5978227827906712E-2</v>
      </c>
      <c r="AR189" s="171">
        <f t="shared" si="273"/>
        <v>314136939.404414</v>
      </c>
      <c r="AS189" s="171">
        <f t="shared" si="210"/>
        <v>1.7767225717231128E-3</v>
      </c>
      <c r="AT189" s="180">
        <f t="shared" si="274"/>
        <v>840.97816475904358</v>
      </c>
      <c r="AU189" s="171">
        <f t="shared" si="275"/>
        <v>32476.933449445089</v>
      </c>
      <c r="AV189" s="297"/>
      <c r="AW189" s="297"/>
      <c r="AX189" s="297"/>
      <c r="AY189" s="297"/>
      <c r="AZ189" s="297"/>
      <c r="BA189" s="392"/>
      <c r="BB189" s="392"/>
      <c r="BC189" s="392"/>
      <c r="BD189" s="297"/>
      <c r="BE189" s="297"/>
      <c r="BF189" s="297"/>
      <c r="BG189" s="297"/>
      <c r="BH189" s="390"/>
      <c r="BI189" s="392"/>
      <c r="BJ189" s="392"/>
      <c r="BK189" s="392"/>
      <c r="BL189" s="180">
        <f t="shared" si="276"/>
        <v>-0.10532015417650271</v>
      </c>
      <c r="BM189" s="175">
        <f t="shared" si="277"/>
        <v>6435.994962574433</v>
      </c>
      <c r="BN189" s="171">
        <f t="shared" si="278"/>
        <v>10771.868502507095</v>
      </c>
      <c r="BO189" s="180">
        <f t="shared" si="279"/>
        <v>91.187877445542782</v>
      </c>
      <c r="BP189" s="181">
        <f t="shared" si="234"/>
        <v>104.86605906237421</v>
      </c>
      <c r="BQ189" s="180">
        <f t="shared" si="235"/>
        <v>561.32323257907353</v>
      </c>
      <c r="BR189" s="180">
        <f t="shared" si="280"/>
        <v>3.8946226488241407</v>
      </c>
      <c r="BS189" s="180">
        <f t="shared" si="281"/>
        <v>1341.9290866036174</v>
      </c>
      <c r="BT189" s="180">
        <f t="shared" si="282"/>
        <v>1369.3153944934872</v>
      </c>
      <c r="BU189" s="171">
        <f t="shared" si="283"/>
        <v>1643.836007795303</v>
      </c>
      <c r="BV189" s="171">
        <f t="shared" si="236"/>
        <v>821.91800389765149</v>
      </c>
      <c r="BW189" s="171">
        <f t="shared" si="237"/>
        <v>821.91800389765149</v>
      </c>
      <c r="BX189" s="180">
        <f t="shared" si="284"/>
        <v>78.27790513310967</v>
      </c>
      <c r="BY189" s="180">
        <f t="shared" si="285"/>
        <v>6.7720277164403653E-3</v>
      </c>
      <c r="BZ189" s="180">
        <f t="shared" si="286"/>
        <v>6.7720277164403653E-3</v>
      </c>
      <c r="CA189" s="182">
        <f t="shared" si="287"/>
        <v>1.3544055432880731E-2</v>
      </c>
      <c r="CB189" s="402"/>
      <c r="CC189" s="277"/>
      <c r="CD189" s="277"/>
      <c r="CE189" s="277"/>
      <c r="CF189" s="184"/>
    </row>
    <row r="190" spans="3:84" s="109" customFormat="1" ht="15.75" x14ac:dyDescent="0.25">
      <c r="C190" s="100">
        <v>51</v>
      </c>
      <c r="D190" s="379"/>
      <c r="E190" s="379"/>
      <c r="F190" s="163" t="s">
        <v>128</v>
      </c>
      <c r="G190" s="340">
        <v>0.194444444444445</v>
      </c>
      <c r="H190" s="101">
        <v>0.194444444444445</v>
      </c>
      <c r="I190" s="100">
        <v>-8.6582539999999995</v>
      </c>
      <c r="J190" s="100">
        <v>115.83837699999999</v>
      </c>
      <c r="K190" s="100">
        <f t="shared" si="225"/>
        <v>-0.15111503977396912</v>
      </c>
      <c r="L190" s="100">
        <f t="shared" si="225"/>
        <v>2.0217610788164713</v>
      </c>
      <c r="M190" s="100">
        <v>3443</v>
      </c>
      <c r="N190" s="234">
        <f t="shared" si="288"/>
        <v>0.45422655973173226</v>
      </c>
      <c r="O190" s="358"/>
      <c r="P190" s="102">
        <f t="shared" si="289"/>
        <v>4.9999999999991829E-2</v>
      </c>
      <c r="Q190" s="358"/>
      <c r="R190" s="103">
        <f t="shared" si="290"/>
        <v>9.0845311946361296</v>
      </c>
      <c r="S190" s="348"/>
      <c r="T190" s="100">
        <f t="shared" si="200"/>
        <v>4.673082846520825</v>
      </c>
      <c r="U190" s="165">
        <f t="shared" si="291"/>
        <v>-5.2969876696149708E-6</v>
      </c>
      <c r="V190" s="100">
        <f t="shared" si="292"/>
        <v>1.3334315485202808E-4</v>
      </c>
      <c r="W190" s="100">
        <f t="shared" si="293"/>
        <v>1.6104999323855744</v>
      </c>
      <c r="X190" s="100">
        <f t="shared" si="238"/>
        <v>92.274849031797856</v>
      </c>
      <c r="Y190" s="165">
        <f t="shared" si="239"/>
        <v>-5.2359877559804424E-6</v>
      </c>
      <c r="Z190" s="166">
        <f t="shared" si="240"/>
        <v>7.6399999999949841E-3</v>
      </c>
      <c r="AA190" s="167">
        <f t="shared" si="241"/>
        <v>92.274849031797856</v>
      </c>
      <c r="AB190" s="100">
        <v>200</v>
      </c>
      <c r="AC190" s="100">
        <v>13</v>
      </c>
      <c r="AD190" s="100">
        <v>4</v>
      </c>
      <c r="AE190" s="169">
        <f t="shared" si="232"/>
        <v>107.72515096820214</v>
      </c>
      <c r="AF190" s="104">
        <f t="shared" si="268"/>
        <v>0.17868590148872027</v>
      </c>
      <c r="AG190" s="382"/>
      <c r="AH190" s="385"/>
      <c r="AI190" s="388"/>
      <c r="AJ190" s="100">
        <f t="shared" si="269"/>
        <v>1.4435773277870843</v>
      </c>
      <c r="AK190" s="100">
        <f t="shared" si="242"/>
        <v>0.33</v>
      </c>
      <c r="AL190" s="104">
        <f t="shared" si="270"/>
        <v>17.587905559497941</v>
      </c>
      <c r="AM190" s="104">
        <f t="shared" si="204"/>
        <v>8.378535563954042</v>
      </c>
      <c r="AN190" s="104">
        <f t="shared" si="271"/>
        <v>9.9152870460582481</v>
      </c>
      <c r="AO190" s="104">
        <f t="shared" si="206"/>
        <v>5.1004236564923628</v>
      </c>
      <c r="AP190" s="104">
        <f t="shared" si="207"/>
        <v>0.1950262447654364</v>
      </c>
      <c r="AQ190" s="103">
        <f t="shared" si="272"/>
        <v>4.5810732218015494E-2</v>
      </c>
      <c r="AR190" s="100">
        <f t="shared" si="273"/>
        <v>299327893.37596601</v>
      </c>
      <c r="AS190" s="100">
        <f t="shared" si="210"/>
        <v>1.7882483862715916E-3</v>
      </c>
      <c r="AT190" s="104">
        <f t="shared" si="274"/>
        <v>768.50961257841334</v>
      </c>
      <c r="AU190" s="100">
        <f t="shared" si="275"/>
        <v>29678.339567970994</v>
      </c>
      <c r="AV190" s="297"/>
      <c r="AW190" s="297"/>
      <c r="AX190" s="297"/>
      <c r="AY190" s="297"/>
      <c r="AZ190" s="297"/>
      <c r="BA190" s="392"/>
      <c r="BB190" s="392"/>
      <c r="BC190" s="392"/>
      <c r="BD190" s="297"/>
      <c r="BE190" s="297"/>
      <c r="BF190" s="297"/>
      <c r="BG190" s="297"/>
      <c r="BH190" s="390"/>
      <c r="BI190" s="392"/>
      <c r="BJ190" s="392"/>
      <c r="BK190" s="392"/>
      <c r="BL190" s="104">
        <f t="shared" si="276"/>
        <v>-8.267867805929327E-2</v>
      </c>
      <c r="BM190" s="103">
        <f t="shared" si="277"/>
        <v>3912.9961541673024</v>
      </c>
      <c r="BN190" s="100">
        <f t="shared" si="278"/>
        <v>9780.1925513803089</v>
      </c>
      <c r="BO190" s="104">
        <f t="shared" si="279"/>
        <v>81.298216119023607</v>
      </c>
      <c r="BP190" s="170">
        <f t="shared" si="234"/>
        <v>93.492948536877151</v>
      </c>
      <c r="BQ190" s="104">
        <f t="shared" si="235"/>
        <v>476.85364643271129</v>
      </c>
      <c r="BR190" s="104">
        <f t="shared" si="280"/>
        <v>3.7110223177735402</v>
      </c>
      <c r="BS190" s="104">
        <f t="shared" si="281"/>
        <v>1139.9916145656939</v>
      </c>
      <c r="BT190" s="104">
        <f t="shared" si="282"/>
        <v>1163.2567495568305</v>
      </c>
      <c r="BU190" s="100">
        <f t="shared" si="283"/>
        <v>1396.4666861426538</v>
      </c>
      <c r="BV190" s="100">
        <f t="shared" si="236"/>
        <v>698.23334307132689</v>
      </c>
      <c r="BW190" s="100">
        <f t="shared" si="237"/>
        <v>698.23334307132689</v>
      </c>
      <c r="BX190" s="104">
        <f t="shared" si="284"/>
        <v>66.498413625840655</v>
      </c>
      <c r="BY190" s="104">
        <f t="shared" si="285"/>
        <v>5.7319952623593497E-3</v>
      </c>
      <c r="BZ190" s="104">
        <f t="shared" si="286"/>
        <v>5.7319952623593497E-3</v>
      </c>
      <c r="CA190" s="108">
        <f t="shared" si="287"/>
        <v>1.1463990524718699E-2</v>
      </c>
      <c r="CB190" s="402"/>
      <c r="CC190" s="276">
        <f t="shared" ref="CC190" si="309">SUM(CA190:CA194)*1000</f>
        <v>42.280795018066236</v>
      </c>
      <c r="CD190" s="276">
        <v>45</v>
      </c>
      <c r="CE190" s="276">
        <f t="shared" ref="CE190" si="310">AVERAGE(AN190:AN194)</f>
        <v>8.9562983804844567</v>
      </c>
      <c r="CF190" s="117"/>
    </row>
    <row r="191" spans="3:84" s="109" customFormat="1" ht="15.75" x14ac:dyDescent="0.25">
      <c r="C191" s="100">
        <v>52</v>
      </c>
      <c r="D191" s="379"/>
      <c r="E191" s="379"/>
      <c r="F191" s="163" t="s">
        <v>128</v>
      </c>
      <c r="G191" s="341"/>
      <c r="H191" s="101">
        <v>0.196527777777778</v>
      </c>
      <c r="I191" s="100">
        <v>-8.6581860000000006</v>
      </c>
      <c r="J191" s="100">
        <v>115.84467100000001</v>
      </c>
      <c r="K191" s="100">
        <f t="shared" si="225"/>
        <v>-0.15111385295007776</v>
      </c>
      <c r="L191" s="100">
        <f t="shared" si="225"/>
        <v>2.0218709298395923</v>
      </c>
      <c r="M191" s="100">
        <v>3443</v>
      </c>
      <c r="N191" s="234">
        <f t="shared" si="288"/>
        <v>0.37392920928618023</v>
      </c>
      <c r="O191" s="357">
        <f t="shared" ref="O191" si="311">SUM(N191:N195)</f>
        <v>2.0647208642245989</v>
      </c>
      <c r="P191" s="102">
        <f t="shared" si="289"/>
        <v>4.9999999999991829E-2</v>
      </c>
      <c r="Q191" s="357">
        <f t="shared" ref="Q191" si="312">SUM(P191:P195)</f>
        <v>0.25000000000000777</v>
      </c>
      <c r="R191" s="103">
        <f t="shared" si="290"/>
        <v>7.4785841857248272</v>
      </c>
      <c r="S191" s="346">
        <f t="shared" ref="S191" si="313">AVERAGE(R191:R195)</f>
        <v>8.2588834568980598</v>
      </c>
      <c r="T191" s="100">
        <f t="shared" si="200"/>
        <v>3.846983705136851</v>
      </c>
      <c r="U191" s="165">
        <f t="shared" si="291"/>
        <v>1.2006509104463629E-6</v>
      </c>
      <c r="V191" s="100">
        <f t="shared" si="292"/>
        <v>1.0985102312099926E-4</v>
      </c>
      <c r="W191" s="100">
        <f t="shared" si="293"/>
        <v>1.5598669510864474</v>
      </c>
      <c r="X191" s="100">
        <f t="shared" si="238"/>
        <v>89.373792899193063</v>
      </c>
      <c r="Y191" s="165">
        <f t="shared" si="239"/>
        <v>1.1868238913581575E-6</v>
      </c>
      <c r="Z191" s="166">
        <f t="shared" si="240"/>
        <v>6.294000000011124E-3</v>
      </c>
      <c r="AA191" s="167">
        <f t="shared" si="241"/>
        <v>89.373792899193063</v>
      </c>
      <c r="AB191" s="100">
        <v>200</v>
      </c>
      <c r="AC191" s="100">
        <v>13</v>
      </c>
      <c r="AD191" s="100">
        <v>4</v>
      </c>
      <c r="AE191" s="169">
        <f t="shared" si="232"/>
        <v>110.62620710080694</v>
      </c>
      <c r="AF191" s="104">
        <f t="shared" si="268"/>
        <v>0.14709813070756397</v>
      </c>
      <c r="AG191" s="382"/>
      <c r="AH191" s="385"/>
      <c r="AI191" s="388"/>
      <c r="AJ191" s="100">
        <f t="shared" si="269"/>
        <v>1.6223674306717923</v>
      </c>
      <c r="AK191" s="100">
        <f t="shared" si="242"/>
        <v>0.33</v>
      </c>
      <c r="AL191" s="104">
        <f t="shared" si="270"/>
        <v>17.587905559497941</v>
      </c>
      <c r="AM191" s="104">
        <f t="shared" si="204"/>
        <v>9.4162349006420669</v>
      </c>
      <c r="AN191" s="104">
        <f t="shared" si="271"/>
        <v>8.255987347756907</v>
      </c>
      <c r="AO191" s="104">
        <f t="shared" si="206"/>
        <v>4.2468798916861523</v>
      </c>
      <c r="AP191" s="104">
        <f t="shared" si="207"/>
        <v>0.16238906667902084</v>
      </c>
      <c r="AQ191" s="103">
        <f t="shared" si="272"/>
        <v>4.5291882549671557E-2</v>
      </c>
      <c r="AR191" s="100">
        <f t="shared" si="273"/>
        <v>249236082.53228837</v>
      </c>
      <c r="AS191" s="100">
        <f t="shared" si="210"/>
        <v>1.8329954781346339E-3</v>
      </c>
      <c r="AT191" s="104">
        <f t="shared" si="274"/>
        <v>546.14795314075218</v>
      </c>
      <c r="AU191" s="100">
        <f t="shared" si="275"/>
        <v>21091.166775756792</v>
      </c>
      <c r="AV191" s="297"/>
      <c r="AW191" s="297"/>
      <c r="AX191" s="297"/>
      <c r="AY191" s="297"/>
      <c r="AZ191" s="297"/>
      <c r="BA191" s="392"/>
      <c r="BB191" s="392"/>
      <c r="BC191" s="392"/>
      <c r="BD191" s="297"/>
      <c r="BE191" s="297"/>
      <c r="BF191" s="297"/>
      <c r="BG191" s="297"/>
      <c r="BH191" s="390"/>
      <c r="BI191" s="392"/>
      <c r="BJ191" s="392"/>
      <c r="BK191" s="392"/>
      <c r="BL191" s="104">
        <f t="shared" si="276"/>
        <v>-2.5840544150761965E-2</v>
      </c>
      <c r="BM191" s="103">
        <f t="shared" si="277"/>
        <v>498.52748161966713</v>
      </c>
      <c r="BN191" s="100">
        <f t="shared" si="278"/>
        <v>6780.7051444404442</v>
      </c>
      <c r="BO191" s="104">
        <f t="shared" si="279"/>
        <v>55.323325685633989</v>
      </c>
      <c r="BP191" s="170">
        <f t="shared" si="234"/>
        <v>63.621824538479089</v>
      </c>
      <c r="BQ191" s="104">
        <f t="shared" si="235"/>
        <v>270.19424730485144</v>
      </c>
      <c r="BR191" s="104">
        <f t="shared" si="280"/>
        <v>3.0899915615616833</v>
      </c>
      <c r="BS191" s="104">
        <f t="shared" si="281"/>
        <v>645.94069592563039</v>
      </c>
      <c r="BT191" s="104">
        <f t="shared" si="282"/>
        <v>659.12315910778614</v>
      </c>
      <c r="BU191" s="100">
        <f t="shared" si="283"/>
        <v>791.26429664800264</v>
      </c>
      <c r="BV191" s="100">
        <f t="shared" si="236"/>
        <v>395.63214832400132</v>
      </c>
      <c r="BW191" s="100">
        <f t="shared" si="237"/>
        <v>395.63214832400132</v>
      </c>
      <c r="BX191" s="104">
        <f t="shared" si="284"/>
        <v>37.679252221333456</v>
      </c>
      <c r="BY191" s="104">
        <f t="shared" si="285"/>
        <v>3.2110713232218709E-3</v>
      </c>
      <c r="BZ191" s="104">
        <f t="shared" si="286"/>
        <v>3.2110713232218709E-3</v>
      </c>
      <c r="CA191" s="108">
        <f t="shared" si="287"/>
        <v>6.4221426464437419E-3</v>
      </c>
      <c r="CB191" s="402"/>
      <c r="CC191" s="277"/>
      <c r="CD191" s="277"/>
      <c r="CE191" s="277"/>
      <c r="CF191" s="117"/>
    </row>
    <row r="192" spans="3:84" s="109" customFormat="1" ht="15.75" x14ac:dyDescent="0.25">
      <c r="C192" s="100">
        <v>53</v>
      </c>
      <c r="D192" s="379"/>
      <c r="E192" s="379"/>
      <c r="F192" s="163" t="s">
        <v>128</v>
      </c>
      <c r="G192" s="341"/>
      <c r="H192" s="101">
        <v>0.19861111111111199</v>
      </c>
      <c r="I192" s="100">
        <v>-8.6588360000000009</v>
      </c>
      <c r="J192" s="100">
        <v>115.851139</v>
      </c>
      <c r="K192" s="100">
        <f t="shared" si="225"/>
        <v>-0.15112519759021573</v>
      </c>
      <c r="L192" s="100">
        <f t="shared" si="225"/>
        <v>2.0219838177356109</v>
      </c>
      <c r="M192" s="100">
        <v>3443</v>
      </c>
      <c r="N192" s="234">
        <f t="shared" si="288"/>
        <v>0.3862235466542992</v>
      </c>
      <c r="O192" s="331"/>
      <c r="P192" s="102">
        <f t="shared" si="289"/>
        <v>5.000000000001581E-2</v>
      </c>
      <c r="Q192" s="331"/>
      <c r="R192" s="103">
        <f t="shared" si="290"/>
        <v>7.7244709330835413</v>
      </c>
      <c r="S192" s="347"/>
      <c r="T192" s="100">
        <f t="shared" si="200"/>
        <v>3.9734678479781733</v>
      </c>
      <c r="U192" s="165">
        <f t="shared" si="291"/>
        <v>-1.1476819098305989E-5</v>
      </c>
      <c r="V192" s="100">
        <f t="shared" si="292"/>
        <v>1.1288789601859861E-4</v>
      </c>
      <c r="W192" s="100">
        <f t="shared" si="293"/>
        <v>1.6721138447494486</v>
      </c>
      <c r="X192" s="100">
        <f t="shared" si="238"/>
        <v>95.805066169536772</v>
      </c>
      <c r="Y192" s="165">
        <f t="shared" si="239"/>
        <v>-1.1344640137966877E-5</v>
      </c>
      <c r="Z192" s="166">
        <f t="shared" si="240"/>
        <v>6.4679999999981419E-3</v>
      </c>
      <c r="AA192" s="167">
        <f t="shared" si="241"/>
        <v>95.805066169536772</v>
      </c>
      <c r="AB192" s="100">
        <v>200</v>
      </c>
      <c r="AC192" s="100">
        <v>13</v>
      </c>
      <c r="AD192" s="100">
        <v>4</v>
      </c>
      <c r="AE192" s="169">
        <f t="shared" si="232"/>
        <v>104.19493383046323</v>
      </c>
      <c r="AF192" s="104">
        <f t="shared" si="268"/>
        <v>0.15193453824192996</v>
      </c>
      <c r="AG192" s="382"/>
      <c r="AH192" s="385"/>
      <c r="AI192" s="388"/>
      <c r="AJ192" s="100">
        <f t="shared" si="269"/>
        <v>1.5962478464605272</v>
      </c>
      <c r="AK192" s="100">
        <f t="shared" si="242"/>
        <v>0.33</v>
      </c>
      <c r="AL192" s="104">
        <f t="shared" si="270"/>
        <v>17.587905559497941</v>
      </c>
      <c r="AM192" s="104">
        <f t="shared" si="204"/>
        <v>9.2646366031229093</v>
      </c>
      <c r="AN192" s="104">
        <f t="shared" si="271"/>
        <v>8.5131867486953823</v>
      </c>
      <c r="AO192" s="104">
        <f t="shared" si="206"/>
        <v>4.3791832635289047</v>
      </c>
      <c r="AP192" s="104">
        <f t="shared" si="207"/>
        <v>0.16744798560773627</v>
      </c>
      <c r="AQ192" s="103">
        <f t="shared" si="272"/>
        <v>4.5367681698452893E-2</v>
      </c>
      <c r="AR192" s="100">
        <f t="shared" si="273"/>
        <v>257000553.142454</v>
      </c>
      <c r="AS192" s="100">
        <f t="shared" si="210"/>
        <v>1.8253835813002968E-3</v>
      </c>
      <c r="AT192" s="104">
        <f t="shared" si="274"/>
        <v>578.29487019393582</v>
      </c>
      <c r="AU192" s="100">
        <f t="shared" si="275"/>
        <v>22332.617897190143</v>
      </c>
      <c r="AV192" s="297"/>
      <c r="AW192" s="297"/>
      <c r="AX192" s="297"/>
      <c r="AY192" s="297"/>
      <c r="AZ192" s="297"/>
      <c r="BA192" s="392"/>
      <c r="BB192" s="392"/>
      <c r="BC192" s="392"/>
      <c r="BD192" s="297"/>
      <c r="BE192" s="297"/>
      <c r="BF192" s="297"/>
      <c r="BG192" s="297"/>
      <c r="BH192" s="390"/>
      <c r="BI192" s="392"/>
      <c r="BJ192" s="392"/>
      <c r="BK192" s="392"/>
      <c r="BL192" s="104">
        <f t="shared" si="276"/>
        <v>-3.238255604672173E-2</v>
      </c>
      <c r="BM192" s="103">
        <f t="shared" si="277"/>
        <v>715.09096007024823</v>
      </c>
      <c r="BN192" s="100">
        <f t="shared" si="278"/>
        <v>7209.7655594760299</v>
      </c>
      <c r="BO192" s="104">
        <f t="shared" si="279"/>
        <v>58.796881947262754</v>
      </c>
      <c r="BP192" s="170">
        <f t="shared" si="234"/>
        <v>67.616414239352167</v>
      </c>
      <c r="BQ192" s="104">
        <f t="shared" si="235"/>
        <v>296.10466957680853</v>
      </c>
      <c r="BR192" s="104">
        <f t="shared" si="280"/>
        <v>3.1862543033831736</v>
      </c>
      <c r="BS192" s="104">
        <f t="shared" si="281"/>
        <v>707.8835254307736</v>
      </c>
      <c r="BT192" s="104">
        <f t="shared" si="282"/>
        <v>722.33012799058531</v>
      </c>
      <c r="BU192" s="100">
        <f t="shared" si="283"/>
        <v>867.1430107930197</v>
      </c>
      <c r="BV192" s="100">
        <f t="shared" si="236"/>
        <v>433.57150539650985</v>
      </c>
      <c r="BW192" s="100">
        <f t="shared" si="237"/>
        <v>433.57150539650985</v>
      </c>
      <c r="BX192" s="104">
        <f t="shared" si="284"/>
        <v>41.292524323477132</v>
      </c>
      <c r="BY192" s="104">
        <f t="shared" si="285"/>
        <v>3.5248880218223455E-3</v>
      </c>
      <c r="BZ192" s="104">
        <f t="shared" si="286"/>
        <v>3.5248880218223455E-3</v>
      </c>
      <c r="CA192" s="108">
        <f t="shared" si="287"/>
        <v>7.0497760436446909E-3</v>
      </c>
      <c r="CB192" s="402"/>
      <c r="CC192" s="277"/>
      <c r="CD192" s="277"/>
      <c r="CE192" s="277"/>
      <c r="CF192" s="117"/>
    </row>
    <row r="193" spans="3:84" s="109" customFormat="1" ht="15.75" x14ac:dyDescent="0.25">
      <c r="C193" s="100">
        <v>54</v>
      </c>
      <c r="D193" s="379"/>
      <c r="E193" s="379"/>
      <c r="F193" s="163" t="s">
        <v>128</v>
      </c>
      <c r="G193" s="341"/>
      <c r="H193" s="101">
        <v>0.20069444444444501</v>
      </c>
      <c r="I193" s="100">
        <v>-8.6596390000000003</v>
      </c>
      <c r="J193" s="100">
        <v>115.858512</v>
      </c>
      <c r="K193" s="100">
        <f t="shared" si="225"/>
        <v>-0.15113921258410926</v>
      </c>
      <c r="L193" s="100">
        <f t="shared" si="225"/>
        <v>2.0221125008613607</v>
      </c>
      <c r="M193" s="100">
        <v>3443</v>
      </c>
      <c r="N193" s="234">
        <f t="shared" si="288"/>
        <v>0.44065567113315396</v>
      </c>
      <c r="O193" s="331"/>
      <c r="P193" s="102">
        <f t="shared" si="289"/>
        <v>4.9999999999992495E-2</v>
      </c>
      <c r="Q193" s="331"/>
      <c r="R193" s="103">
        <f t="shared" si="290"/>
        <v>8.8131134226644026</v>
      </c>
      <c r="S193" s="347"/>
      <c r="T193" s="100">
        <f t="shared" si="200"/>
        <v>4.5334655446185685</v>
      </c>
      <c r="U193" s="165">
        <f t="shared" si="291"/>
        <v>-1.4178313272093783E-5</v>
      </c>
      <c r="V193" s="100">
        <f t="shared" si="292"/>
        <v>1.2868312574987328E-4</v>
      </c>
      <c r="W193" s="100">
        <f t="shared" si="293"/>
        <v>1.6805337478555089</v>
      </c>
      <c r="X193" s="100">
        <f t="shared" si="238"/>
        <v>96.287491081423127</v>
      </c>
      <c r="Y193" s="165">
        <f t="shared" si="239"/>
        <v>-1.401499389352967E-5</v>
      </c>
      <c r="Z193" s="166">
        <f t="shared" si="240"/>
        <v>7.3730000000011842E-3</v>
      </c>
      <c r="AA193" s="167">
        <f t="shared" si="241"/>
        <v>96.287491081423127</v>
      </c>
      <c r="AB193" s="100">
        <v>200</v>
      </c>
      <c r="AC193" s="100">
        <v>13</v>
      </c>
      <c r="AD193" s="100">
        <v>4</v>
      </c>
      <c r="AE193" s="169">
        <f t="shared" si="232"/>
        <v>103.71250891857687</v>
      </c>
      <c r="AF193" s="104">
        <f t="shared" si="268"/>
        <v>0.17334731788701899</v>
      </c>
      <c r="AG193" s="382"/>
      <c r="AH193" s="385"/>
      <c r="AI193" s="388"/>
      <c r="AJ193" s="100">
        <f t="shared" si="269"/>
        <v>1.4751535668818077</v>
      </c>
      <c r="AK193" s="100">
        <f t="shared" si="242"/>
        <v>0.33</v>
      </c>
      <c r="AL193" s="104">
        <f t="shared" si="270"/>
        <v>17.587905559497941</v>
      </c>
      <c r="AM193" s="104">
        <f t="shared" si="204"/>
        <v>8.5618043346243411</v>
      </c>
      <c r="AN193" s="104">
        <f t="shared" si="271"/>
        <v>9.6383282265505272</v>
      </c>
      <c r="AO193" s="104">
        <f t="shared" si="206"/>
        <v>4.9579560397375912</v>
      </c>
      <c r="AP193" s="104">
        <f t="shared" si="207"/>
        <v>0.18957867292285097</v>
      </c>
      <c r="AQ193" s="103">
        <f t="shared" si="272"/>
        <v>4.5719097832680966E-2</v>
      </c>
      <c r="AR193" s="100">
        <f t="shared" si="273"/>
        <v>290966915.05934757</v>
      </c>
      <c r="AS193" s="100">
        <f t="shared" si="210"/>
        <v>1.7950625350961424E-3</v>
      </c>
      <c r="AT193" s="104">
        <f t="shared" si="274"/>
        <v>728.94353025878695</v>
      </c>
      <c r="AU193" s="100">
        <f t="shared" si="275"/>
        <v>28150.3747810161</v>
      </c>
      <c r="AV193" s="297"/>
      <c r="AW193" s="297"/>
      <c r="AX193" s="297"/>
      <c r="AY193" s="297"/>
      <c r="AZ193" s="297"/>
      <c r="BA193" s="392"/>
      <c r="BB193" s="392"/>
      <c r="BC193" s="392"/>
      <c r="BD193" s="297"/>
      <c r="BE193" s="297"/>
      <c r="BF193" s="297"/>
      <c r="BG193" s="297"/>
      <c r="BH193" s="390"/>
      <c r="BI193" s="392"/>
      <c r="BJ193" s="392"/>
      <c r="BK193" s="392"/>
      <c r="BL193" s="104">
        <f t="shared" si="276"/>
        <v>-7.0929988308672587E-2</v>
      </c>
      <c r="BM193" s="103">
        <f t="shared" si="277"/>
        <v>2891.6833588102281</v>
      </c>
      <c r="BN193" s="100">
        <f t="shared" si="278"/>
        <v>9241.452717981836</v>
      </c>
      <c r="BO193" s="104">
        <f t="shared" si="279"/>
        <v>76.257574521591678</v>
      </c>
      <c r="BP193" s="170">
        <f t="shared" si="234"/>
        <v>87.696210699830431</v>
      </c>
      <c r="BQ193" s="104">
        <f t="shared" si="235"/>
        <v>434.79395750132466</v>
      </c>
      <c r="BR193" s="104">
        <f t="shared" si="280"/>
        <v>3.6073641628938025</v>
      </c>
      <c r="BS193" s="104">
        <f t="shared" si="281"/>
        <v>1039.4414917938254</v>
      </c>
      <c r="BT193" s="104">
        <f t="shared" si="282"/>
        <v>1060.6545834630872</v>
      </c>
      <c r="BU193" s="100">
        <f t="shared" si="283"/>
        <v>1273.2948180829378</v>
      </c>
      <c r="BV193" s="100">
        <f t="shared" si="236"/>
        <v>636.6474090414689</v>
      </c>
      <c r="BW193" s="100">
        <f t="shared" si="237"/>
        <v>636.6474090414689</v>
      </c>
      <c r="BX193" s="104">
        <f t="shared" si="284"/>
        <v>60.633086575377995</v>
      </c>
      <c r="BY193" s="104">
        <f t="shared" si="285"/>
        <v>5.2159645760570467E-3</v>
      </c>
      <c r="BZ193" s="104">
        <f t="shared" si="286"/>
        <v>5.2159645760570467E-3</v>
      </c>
      <c r="CA193" s="108">
        <f t="shared" si="287"/>
        <v>1.0431929152114093E-2</v>
      </c>
      <c r="CB193" s="402"/>
      <c r="CC193" s="277"/>
      <c r="CD193" s="277"/>
      <c r="CE193" s="277"/>
      <c r="CF193" s="117"/>
    </row>
    <row r="194" spans="3:84" s="109" customFormat="1" ht="15.75" x14ac:dyDescent="0.25">
      <c r="C194" s="100">
        <v>55</v>
      </c>
      <c r="D194" s="379"/>
      <c r="E194" s="379"/>
      <c r="F194" s="163" t="s">
        <v>128</v>
      </c>
      <c r="G194" s="342"/>
      <c r="H194" s="101">
        <v>0.202777777777778</v>
      </c>
      <c r="I194" s="100">
        <v>-8.6601339999999993</v>
      </c>
      <c r="J194" s="100">
        <v>115.86494999999999</v>
      </c>
      <c r="K194" s="100">
        <f t="shared" si="225"/>
        <v>-0.15114785196390659</v>
      </c>
      <c r="L194" s="100">
        <f t="shared" si="225"/>
        <v>2.0222248651586039</v>
      </c>
      <c r="M194" s="100">
        <v>3443</v>
      </c>
      <c r="N194" s="234">
        <f t="shared" si="288"/>
        <v>0.38361474114825561</v>
      </c>
      <c r="O194" s="331"/>
      <c r="P194" s="102">
        <f t="shared" si="289"/>
        <v>4.9999999999991829E-2</v>
      </c>
      <c r="Q194" s="331"/>
      <c r="R194" s="103">
        <f t="shared" si="290"/>
        <v>7.6722948229663661</v>
      </c>
      <c r="S194" s="347"/>
      <c r="T194" s="100">
        <f t="shared" si="200"/>
        <v>3.9466284569338983</v>
      </c>
      <c r="U194" s="165">
        <f t="shared" si="291"/>
        <v>-8.7400712847936377E-6</v>
      </c>
      <c r="V194" s="100">
        <f t="shared" si="292"/>
        <v>1.1236429724315045E-4</v>
      </c>
      <c r="W194" s="100">
        <f t="shared" si="293"/>
        <v>1.6484233726967004</v>
      </c>
      <c r="X194" s="100">
        <f t="shared" si="238"/>
        <v>94.447702106241678</v>
      </c>
      <c r="Y194" s="165">
        <f t="shared" si="239"/>
        <v>-8.6393797973371989E-6</v>
      </c>
      <c r="Z194" s="166">
        <f t="shared" si="240"/>
        <v>6.4379999999886195E-3</v>
      </c>
      <c r="AA194" s="167">
        <f t="shared" si="241"/>
        <v>94.447702106241678</v>
      </c>
      <c r="AB194" s="100">
        <v>200</v>
      </c>
      <c r="AC194" s="100">
        <v>13</v>
      </c>
      <c r="AD194" s="100">
        <v>4</v>
      </c>
      <c r="AE194" s="169">
        <f t="shared" si="232"/>
        <v>105.55229789375832</v>
      </c>
      <c r="AF194" s="104">
        <f t="shared" si="268"/>
        <v>0.15090827336675763</v>
      </c>
      <c r="AG194" s="382"/>
      <c r="AH194" s="385"/>
      <c r="AI194" s="388"/>
      <c r="AJ194" s="100">
        <f t="shared" si="269"/>
        <v>1.6018282389689065</v>
      </c>
      <c r="AK194" s="100">
        <f t="shared" si="242"/>
        <v>0.33</v>
      </c>
      <c r="AL194" s="104">
        <f t="shared" si="270"/>
        <v>17.587905559497941</v>
      </c>
      <c r="AM194" s="104">
        <f t="shared" si="204"/>
        <v>9.2970252505422692</v>
      </c>
      <c r="AN194" s="104">
        <f t="shared" si="271"/>
        <v>8.4587025333612171</v>
      </c>
      <c r="AO194" s="104">
        <f t="shared" si="206"/>
        <v>4.3511565831610097</v>
      </c>
      <c r="AP194" s="104">
        <f t="shared" si="207"/>
        <v>0.16637632203750832</v>
      </c>
      <c r="AQ194" s="103">
        <f t="shared" si="272"/>
        <v>4.5351487374721451E-2</v>
      </c>
      <c r="AR194" s="100">
        <f t="shared" si="273"/>
        <v>255355755.03197446</v>
      </c>
      <c r="AS194" s="100">
        <f t="shared" si="210"/>
        <v>1.8269727512394644E-3</v>
      </c>
      <c r="AT194" s="104">
        <f t="shared" si="274"/>
        <v>571.41344409916849</v>
      </c>
      <c r="AU194" s="100">
        <f t="shared" si="275"/>
        <v>22066.870667734944</v>
      </c>
      <c r="AV194" s="297"/>
      <c r="AW194" s="297"/>
      <c r="AX194" s="297"/>
      <c r="AY194" s="297"/>
      <c r="AZ194" s="297"/>
      <c r="BA194" s="392"/>
      <c r="BB194" s="392"/>
      <c r="BC194" s="392"/>
      <c r="BD194" s="297"/>
      <c r="BE194" s="297"/>
      <c r="BF194" s="297"/>
      <c r="BG194" s="297"/>
      <c r="BH194" s="390"/>
      <c r="BI194" s="392"/>
      <c r="BJ194" s="392"/>
      <c r="BK194" s="392"/>
      <c r="BL194" s="104">
        <f t="shared" si="276"/>
        <v>-3.0923828558796676E-2</v>
      </c>
      <c r="BM194" s="103">
        <f t="shared" si="277"/>
        <v>663.41799392738187</v>
      </c>
      <c r="BN194" s="100">
        <f t="shared" si="278"/>
        <v>7117.7761750027548</v>
      </c>
      <c r="BO194" s="104">
        <f t="shared" si="279"/>
        <v>58.047867377017617</v>
      </c>
      <c r="BP194" s="170">
        <f t="shared" si="234"/>
        <v>66.755047483570252</v>
      </c>
      <c r="BQ194" s="104">
        <f t="shared" si="235"/>
        <v>290.46166431736248</v>
      </c>
      <c r="BR194" s="104">
        <f t="shared" si="280"/>
        <v>3.1658623431572868</v>
      </c>
      <c r="BS194" s="104">
        <f t="shared" si="281"/>
        <v>694.3930578106914</v>
      </c>
      <c r="BT194" s="104">
        <f t="shared" si="282"/>
        <v>708.56434470478712</v>
      </c>
      <c r="BU194" s="100">
        <f t="shared" si="283"/>
        <v>850.61746062999657</v>
      </c>
      <c r="BV194" s="100">
        <f t="shared" si="236"/>
        <v>425.30873031499829</v>
      </c>
      <c r="BW194" s="100">
        <f t="shared" si="237"/>
        <v>425.30873031499829</v>
      </c>
      <c r="BX194" s="104">
        <f t="shared" si="284"/>
        <v>40.505593363333169</v>
      </c>
      <c r="BY194" s="104">
        <f t="shared" si="285"/>
        <v>3.4564783255725102E-3</v>
      </c>
      <c r="BZ194" s="104">
        <f t="shared" si="286"/>
        <v>3.4564783255725102E-3</v>
      </c>
      <c r="CA194" s="108">
        <f t="shared" si="287"/>
        <v>6.9129566511450203E-3</v>
      </c>
      <c r="CB194" s="402"/>
      <c r="CC194" s="277"/>
      <c r="CD194" s="277"/>
      <c r="CE194" s="277"/>
      <c r="CF194" s="117"/>
    </row>
    <row r="195" spans="3:84" s="183" customFormat="1" ht="15.75" x14ac:dyDescent="0.25">
      <c r="C195" s="171">
        <v>56</v>
      </c>
      <c r="D195" s="379"/>
      <c r="E195" s="379"/>
      <c r="F195" s="172" t="s">
        <v>128</v>
      </c>
      <c r="G195" s="394">
        <v>0.20486111111111099</v>
      </c>
      <c r="H195" s="173">
        <v>0.20486111111111199</v>
      </c>
      <c r="I195" s="171">
        <v>-8.6609470000000002</v>
      </c>
      <c r="J195" s="171">
        <v>115.87299299999999</v>
      </c>
      <c r="K195" s="171">
        <f t="shared" si="225"/>
        <v>-0.15116204149072532</v>
      </c>
      <c r="L195" s="171">
        <f t="shared" si="225"/>
        <v>2.0223652419903417</v>
      </c>
      <c r="M195" s="171">
        <v>3443</v>
      </c>
      <c r="N195" s="235">
        <f t="shared" si="288"/>
        <v>0.48029769600270994</v>
      </c>
      <c r="O195" s="358"/>
      <c r="P195" s="174">
        <f t="shared" si="289"/>
        <v>5.000000000001581E-2</v>
      </c>
      <c r="Q195" s="358"/>
      <c r="R195" s="175">
        <f t="shared" si="290"/>
        <v>9.6059539200511619</v>
      </c>
      <c r="S195" s="348"/>
      <c r="T195" s="171">
        <f t="shared" si="200"/>
        <v>4.9413026964743176</v>
      </c>
      <c r="U195" s="176">
        <f t="shared" si="291"/>
        <v>-1.435493004913061E-5</v>
      </c>
      <c r="V195" s="171">
        <f t="shared" si="292"/>
        <v>1.4037683173784288E-4</v>
      </c>
      <c r="W195" s="171">
        <f t="shared" si="293"/>
        <v>1.6727020651436901</v>
      </c>
      <c r="X195" s="171">
        <f t="shared" si="238"/>
        <v>95.83876871555033</v>
      </c>
      <c r="Y195" s="176">
        <f t="shared" si="239"/>
        <v>-1.4189526818725318E-5</v>
      </c>
      <c r="Z195" s="177">
        <f t="shared" si="240"/>
        <v>8.0430000000006885E-3</v>
      </c>
      <c r="AA195" s="178">
        <f t="shared" si="241"/>
        <v>95.83876871555033</v>
      </c>
      <c r="AB195" s="100">
        <v>200</v>
      </c>
      <c r="AC195" s="171">
        <v>13</v>
      </c>
      <c r="AD195" s="171">
        <v>4</v>
      </c>
      <c r="AE195" s="179">
        <f t="shared" si="232"/>
        <v>104.16123128444967</v>
      </c>
      <c r="AF195" s="180">
        <f t="shared" si="268"/>
        <v>0.1889418946436012</v>
      </c>
      <c r="AG195" s="382"/>
      <c r="AH195" s="385"/>
      <c r="AI195" s="388"/>
      <c r="AJ195" s="171">
        <f t="shared" si="269"/>
        <v>1.3813645797413143</v>
      </c>
      <c r="AK195" s="171">
        <f t="shared" si="242"/>
        <v>0.33</v>
      </c>
      <c r="AL195" s="180">
        <f t="shared" si="270"/>
        <v>17.587905559497941</v>
      </c>
      <c r="AM195" s="180">
        <f t="shared" si="204"/>
        <v>8.0174522246695137</v>
      </c>
      <c r="AN195" s="180">
        <f t="shared" si="271"/>
        <v>10.44323532276354</v>
      </c>
      <c r="AO195" s="180">
        <f t="shared" si="206"/>
        <v>5.3720002500295649</v>
      </c>
      <c r="AP195" s="180">
        <f t="shared" si="207"/>
        <v>0.20541059061018421</v>
      </c>
      <c r="AQ195" s="175">
        <f t="shared" si="272"/>
        <v>4.5991273887679783E-2</v>
      </c>
      <c r="AR195" s="171">
        <f t="shared" si="273"/>
        <v>315265873.2593109</v>
      </c>
      <c r="AS195" s="171">
        <f t="shared" si="210"/>
        <v>1.7758707921995791E-3</v>
      </c>
      <c r="AT195" s="180">
        <f t="shared" si="274"/>
        <v>846.62750248422549</v>
      </c>
      <c r="AU195" s="171">
        <f t="shared" si="275"/>
        <v>32695.099833570817</v>
      </c>
      <c r="AV195" s="297"/>
      <c r="AW195" s="297"/>
      <c r="AX195" s="297"/>
      <c r="AY195" s="297"/>
      <c r="AZ195" s="297"/>
      <c r="BA195" s="392"/>
      <c r="BB195" s="392"/>
      <c r="BC195" s="392"/>
      <c r="BD195" s="297"/>
      <c r="BE195" s="297"/>
      <c r="BF195" s="297"/>
      <c r="BG195" s="297"/>
      <c r="BH195" s="390"/>
      <c r="BI195" s="392"/>
      <c r="BJ195" s="392"/>
      <c r="BK195" s="392"/>
      <c r="BL195" s="180">
        <f t="shared" si="276"/>
        <v>-0.10713289590725761</v>
      </c>
      <c r="BM195" s="175">
        <f t="shared" si="277"/>
        <v>6671.7622847532029</v>
      </c>
      <c r="BN195" s="171">
        <f t="shared" si="278"/>
        <v>10849.430717535459</v>
      </c>
      <c r="BO195" s="180">
        <f t="shared" si="279"/>
        <v>91.998173612090483</v>
      </c>
      <c r="BP195" s="181">
        <f t="shared" si="234"/>
        <v>105.79789965390405</v>
      </c>
      <c r="BQ195" s="180">
        <f t="shared" si="235"/>
        <v>568.34634339337538</v>
      </c>
      <c r="BR195" s="180">
        <f t="shared" si="280"/>
        <v>3.9086190013977724</v>
      </c>
      <c r="BS195" s="180">
        <f t="shared" si="281"/>
        <v>1358.7189077497151</v>
      </c>
      <c r="BT195" s="180">
        <f t="shared" si="282"/>
        <v>1386.4478650507297</v>
      </c>
      <c r="BU195" s="171">
        <f t="shared" si="283"/>
        <v>1664.4031993406118</v>
      </c>
      <c r="BV195" s="171">
        <f t="shared" si="236"/>
        <v>832.20159967030588</v>
      </c>
      <c r="BW195" s="171">
        <f t="shared" si="237"/>
        <v>832.20159967030588</v>
      </c>
      <c r="BX195" s="180">
        <f t="shared" si="284"/>
        <v>79.257295206695801</v>
      </c>
      <c r="BY195" s="180">
        <f t="shared" si="285"/>
        <v>6.8587028966762493E-3</v>
      </c>
      <c r="BZ195" s="180">
        <f t="shared" si="286"/>
        <v>6.8587028966762493E-3</v>
      </c>
      <c r="CA195" s="182">
        <f t="shared" si="287"/>
        <v>1.3717405793352499E-2</v>
      </c>
      <c r="CB195" s="402"/>
      <c r="CC195" s="276">
        <f t="shared" ref="CC195" si="314">SUM(CA195:CA199)*1000</f>
        <v>43.140936751635635</v>
      </c>
      <c r="CD195" s="276">
        <v>40</v>
      </c>
      <c r="CE195" s="276">
        <f t="shared" ref="CE195" si="315">AVERAGE(AN195:AN199)</f>
        <v>8.8766191512053432</v>
      </c>
      <c r="CF195" s="184"/>
    </row>
    <row r="196" spans="3:84" s="183" customFormat="1" ht="15.75" x14ac:dyDescent="0.25">
      <c r="C196" s="171">
        <v>57</v>
      </c>
      <c r="D196" s="379"/>
      <c r="E196" s="379"/>
      <c r="F196" s="172" t="s">
        <v>128</v>
      </c>
      <c r="G196" s="395"/>
      <c r="H196" s="173">
        <v>0.20694444444444501</v>
      </c>
      <c r="I196" s="171">
        <v>-8.6614590000000007</v>
      </c>
      <c r="J196" s="171">
        <v>115.880644</v>
      </c>
      <c r="K196" s="171">
        <f t="shared" si="225"/>
        <v>-0.15117097757649556</v>
      </c>
      <c r="L196" s="171">
        <f t="shared" si="225"/>
        <v>2.0224987771314118</v>
      </c>
      <c r="M196" s="171">
        <v>3443</v>
      </c>
      <c r="N196" s="235">
        <f t="shared" si="288"/>
        <v>0.45555854647819616</v>
      </c>
      <c r="O196" s="357">
        <f t="shared" ref="O196" si="316">SUM(N196:N200)</f>
        <v>1.9588637361915471</v>
      </c>
      <c r="P196" s="174">
        <f t="shared" si="289"/>
        <v>4.9999999999992495E-2</v>
      </c>
      <c r="Q196" s="357">
        <f t="shared" ref="Q196" si="317">SUM(P196:P200)</f>
        <v>0.24999999999998446</v>
      </c>
      <c r="R196" s="175">
        <f t="shared" si="290"/>
        <v>9.1111709295652901</v>
      </c>
      <c r="S196" s="346">
        <f t="shared" ref="S196" si="318">AVERAGE(R196:R200)</f>
        <v>7.8354549447667878</v>
      </c>
      <c r="T196" s="171">
        <f t="shared" si="200"/>
        <v>4.6867863261683853</v>
      </c>
      <c r="U196" s="176">
        <f t="shared" si="291"/>
        <v>-9.0402671578684153E-6</v>
      </c>
      <c r="V196" s="171">
        <f t="shared" si="292"/>
        <v>1.3353514107006248E-4</v>
      </c>
      <c r="W196" s="171">
        <f t="shared" si="293"/>
        <v>1.6383927193398573</v>
      </c>
      <c r="X196" s="171">
        <f t="shared" si="238"/>
        <v>93.872988003135831</v>
      </c>
      <c r="Y196" s="176">
        <f t="shared" si="239"/>
        <v>-8.9360857702391883E-6</v>
      </c>
      <c r="Z196" s="177">
        <f t="shared" si="240"/>
        <v>7.6510000000098444E-3</v>
      </c>
      <c r="AA196" s="178">
        <f t="shared" si="241"/>
        <v>93.872988003135831</v>
      </c>
      <c r="AB196" s="100">
        <v>200</v>
      </c>
      <c r="AC196" s="171">
        <v>13</v>
      </c>
      <c r="AD196" s="171">
        <v>4</v>
      </c>
      <c r="AE196" s="179">
        <f t="shared" si="232"/>
        <v>106.12701199686417</v>
      </c>
      <c r="AF196" s="180">
        <f t="shared" si="268"/>
        <v>0.17920988505476804</v>
      </c>
      <c r="AG196" s="382"/>
      <c r="AH196" s="385"/>
      <c r="AI196" s="388"/>
      <c r="AJ196" s="171">
        <f t="shared" si="269"/>
        <v>1.4404483132200512</v>
      </c>
      <c r="AK196" s="171">
        <f t="shared" si="242"/>
        <v>0.33</v>
      </c>
      <c r="AL196" s="180">
        <f t="shared" si="270"/>
        <v>17.587905559497941</v>
      </c>
      <c r="AM196" s="180">
        <f t="shared" si="204"/>
        <v>8.3603747357632834</v>
      </c>
      <c r="AN196" s="180">
        <f t="shared" si="271"/>
        <v>9.9423921729206555</v>
      </c>
      <c r="AO196" s="180">
        <f t="shared" si="206"/>
        <v>5.1143665337503847</v>
      </c>
      <c r="AP196" s="180">
        <f t="shared" si="207"/>
        <v>0.19555938224106476</v>
      </c>
      <c r="AQ196" s="175">
        <f t="shared" si="272"/>
        <v>4.5819812632111483E-2</v>
      </c>
      <c r="AR196" s="171">
        <f t="shared" si="273"/>
        <v>300146157.18272471</v>
      </c>
      <c r="AS196" s="171">
        <f t="shared" si="210"/>
        <v>1.7875938112795458E-3</v>
      </c>
      <c r="AT196" s="180">
        <f t="shared" si="274"/>
        <v>772.43421227997578</v>
      </c>
      <c r="AU196" s="171">
        <f t="shared" si="275"/>
        <v>29829.899939767187</v>
      </c>
      <c r="AV196" s="297"/>
      <c r="AW196" s="297"/>
      <c r="AX196" s="297"/>
      <c r="AY196" s="297"/>
      <c r="AZ196" s="297"/>
      <c r="BA196" s="392"/>
      <c r="BB196" s="392"/>
      <c r="BC196" s="392"/>
      <c r="BD196" s="297"/>
      <c r="BE196" s="297"/>
      <c r="BF196" s="297"/>
      <c r="BG196" s="297"/>
      <c r="BH196" s="390"/>
      <c r="BI196" s="392"/>
      <c r="BJ196" s="392"/>
      <c r="BK196" s="392"/>
      <c r="BL196" s="180">
        <f t="shared" si="276"/>
        <v>-8.38707923170494E-2</v>
      </c>
      <c r="BM196" s="175">
        <f t="shared" si="277"/>
        <v>4027.1562907155758</v>
      </c>
      <c r="BN196" s="171">
        <f t="shared" si="278"/>
        <v>9833.7372843867161</v>
      </c>
      <c r="BO196" s="180">
        <f t="shared" si="279"/>
        <v>81.811164126814234</v>
      </c>
      <c r="BP196" s="181">
        <f t="shared" si="234"/>
        <v>94.082838745836369</v>
      </c>
      <c r="BQ196" s="180">
        <f t="shared" si="235"/>
        <v>481.17412188193953</v>
      </c>
      <c r="BR196" s="180">
        <f t="shared" si="280"/>
        <v>3.721167029696173</v>
      </c>
      <c r="BS196" s="180">
        <f t="shared" si="281"/>
        <v>1150.3203722881165</v>
      </c>
      <c r="BT196" s="180">
        <f t="shared" si="282"/>
        <v>1173.7962982531801</v>
      </c>
      <c r="BU196" s="171">
        <f t="shared" si="283"/>
        <v>1409.1192055860506</v>
      </c>
      <c r="BV196" s="171">
        <f t="shared" si="236"/>
        <v>704.55960279302531</v>
      </c>
      <c r="BW196" s="171">
        <f t="shared" si="237"/>
        <v>704.55960279302531</v>
      </c>
      <c r="BX196" s="180">
        <f t="shared" si="284"/>
        <v>67.100914551716698</v>
      </c>
      <c r="BY196" s="180">
        <f t="shared" si="285"/>
        <v>5.78507578667313E-3</v>
      </c>
      <c r="BZ196" s="180">
        <f t="shared" si="286"/>
        <v>5.78507578667313E-3</v>
      </c>
      <c r="CA196" s="182">
        <f t="shared" si="287"/>
        <v>1.157015157334626E-2</v>
      </c>
      <c r="CB196" s="402"/>
      <c r="CC196" s="277"/>
      <c r="CD196" s="277"/>
      <c r="CE196" s="277"/>
      <c r="CF196" s="184"/>
    </row>
    <row r="197" spans="3:84" s="183" customFormat="1" ht="15.75" x14ac:dyDescent="0.25">
      <c r="C197" s="171">
        <v>58</v>
      </c>
      <c r="D197" s="379"/>
      <c r="E197" s="379"/>
      <c r="F197" s="172" t="s">
        <v>128</v>
      </c>
      <c r="G197" s="395"/>
      <c r="H197" s="173">
        <v>0.20902777777777801</v>
      </c>
      <c r="I197" s="171">
        <v>-8.6614050000000002</v>
      </c>
      <c r="J197" s="171">
        <v>115.886634</v>
      </c>
      <c r="K197" s="171">
        <f t="shared" si="225"/>
        <v>-0.15117003509869947</v>
      </c>
      <c r="L197" s="171">
        <f t="shared" si="225"/>
        <v>2.0226033223536062</v>
      </c>
      <c r="M197" s="171">
        <v>3443</v>
      </c>
      <c r="N197" s="235">
        <f t="shared" si="288"/>
        <v>0.35585894808921603</v>
      </c>
      <c r="O197" s="331"/>
      <c r="P197" s="174">
        <f t="shared" si="289"/>
        <v>4.9999999999991829E-2</v>
      </c>
      <c r="Q197" s="331"/>
      <c r="R197" s="175">
        <f t="shared" si="290"/>
        <v>7.1171789617854841</v>
      </c>
      <c r="S197" s="347"/>
      <c r="T197" s="171">
        <f t="shared" si="200"/>
        <v>3.6610768579424526</v>
      </c>
      <c r="U197" s="176">
        <f t="shared" si="291"/>
        <v>9.5346626036559759E-7</v>
      </c>
      <c r="V197" s="171">
        <f t="shared" si="292"/>
        <v>1.0454522219438545E-4</v>
      </c>
      <c r="W197" s="171">
        <f t="shared" si="293"/>
        <v>1.5616764473184002</v>
      </c>
      <c r="X197" s="171">
        <f t="shared" si="238"/>
        <v>89.477469396328772</v>
      </c>
      <c r="Y197" s="176">
        <f t="shared" si="239"/>
        <v>9.424777960842512E-7</v>
      </c>
      <c r="Z197" s="177">
        <f t="shared" si="240"/>
        <v>5.9899999999970532E-3</v>
      </c>
      <c r="AA197" s="178">
        <f t="shared" si="241"/>
        <v>89.477469396328772</v>
      </c>
      <c r="AB197" s="100">
        <v>200</v>
      </c>
      <c r="AC197" s="171">
        <v>13</v>
      </c>
      <c r="AD197" s="171">
        <v>4</v>
      </c>
      <c r="AE197" s="179">
        <f t="shared" si="232"/>
        <v>110.52253060367123</v>
      </c>
      <c r="AF197" s="180">
        <f t="shared" si="268"/>
        <v>0.13998956155206765</v>
      </c>
      <c r="AG197" s="382"/>
      <c r="AH197" s="385"/>
      <c r="AI197" s="388"/>
      <c r="AJ197" s="171">
        <f t="shared" si="269"/>
        <v>1.6599344458874916</v>
      </c>
      <c r="AK197" s="171">
        <f t="shared" si="242"/>
        <v>0.33</v>
      </c>
      <c r="AL197" s="180">
        <f t="shared" si="270"/>
        <v>17.587905559497941</v>
      </c>
      <c r="AM197" s="180">
        <f t="shared" si="204"/>
        <v>9.6342741888448273</v>
      </c>
      <c r="AN197" s="180">
        <f t="shared" si="271"/>
        <v>7.8759716672434514</v>
      </c>
      <c r="AO197" s="180">
        <f t="shared" si="206"/>
        <v>4.051399825630031</v>
      </c>
      <c r="AP197" s="180">
        <f t="shared" si="207"/>
        <v>0.15491444382864314</v>
      </c>
      <c r="AQ197" s="175">
        <f t="shared" si="272"/>
        <v>4.5182862905570199E-2</v>
      </c>
      <c r="AR197" s="171">
        <f t="shared" si="273"/>
        <v>237763969.5647524</v>
      </c>
      <c r="AS197" s="171">
        <f t="shared" si="210"/>
        <v>1.8447807226234486E-3</v>
      </c>
      <c r="AT197" s="180">
        <f t="shared" si="274"/>
        <v>500.22330503593645</v>
      </c>
      <c r="AU197" s="171">
        <f t="shared" si="275"/>
        <v>19317.646602832181</v>
      </c>
      <c r="AV197" s="297"/>
      <c r="AW197" s="297"/>
      <c r="AX197" s="297"/>
      <c r="AY197" s="297"/>
      <c r="AZ197" s="297"/>
      <c r="BA197" s="392"/>
      <c r="BB197" s="392"/>
      <c r="BC197" s="392"/>
      <c r="BD197" s="297"/>
      <c r="BE197" s="297"/>
      <c r="BF197" s="297"/>
      <c r="BG197" s="297"/>
      <c r="BH197" s="390"/>
      <c r="BI197" s="392"/>
      <c r="BJ197" s="392"/>
      <c r="BK197" s="392"/>
      <c r="BL197" s="180">
        <f t="shared" si="276"/>
        <v>-1.7763984365552783E-2</v>
      </c>
      <c r="BM197" s="175">
        <f t="shared" si="277"/>
        <v>282.85664698783864</v>
      </c>
      <c r="BN197" s="171">
        <f t="shared" si="278"/>
        <v>6170.8517444265326</v>
      </c>
      <c r="BO197" s="180">
        <f t="shared" si="279"/>
        <v>50.457855764865137</v>
      </c>
      <c r="BP197" s="181">
        <f t="shared" si="234"/>
        <v>58.026534129594907</v>
      </c>
      <c r="BQ197" s="180">
        <f t="shared" si="235"/>
        <v>235.08869025455584</v>
      </c>
      <c r="BR197" s="180">
        <f t="shared" si="280"/>
        <v>2.9477620260032582</v>
      </c>
      <c r="BS197" s="180">
        <f t="shared" si="281"/>
        <v>562.01548960419393</v>
      </c>
      <c r="BT197" s="180">
        <f t="shared" si="282"/>
        <v>573.48519347366732</v>
      </c>
      <c r="BU197" s="171">
        <f t="shared" si="283"/>
        <v>688.45761521448662</v>
      </c>
      <c r="BV197" s="171">
        <f t="shared" si="236"/>
        <v>344.22880760724331</v>
      </c>
      <c r="BW197" s="171">
        <f t="shared" si="237"/>
        <v>344.22880760724331</v>
      </c>
      <c r="BX197" s="180">
        <f t="shared" si="284"/>
        <v>32.783695962594599</v>
      </c>
      <c r="BY197" s="180">
        <f t="shared" si="285"/>
        <v>2.7871411495900625E-3</v>
      </c>
      <c r="BZ197" s="180">
        <f t="shared" si="286"/>
        <v>2.7871411495900625E-3</v>
      </c>
      <c r="CA197" s="182">
        <f t="shared" si="287"/>
        <v>5.574282299180125E-3</v>
      </c>
      <c r="CB197" s="402"/>
      <c r="CC197" s="277"/>
      <c r="CD197" s="277"/>
      <c r="CE197" s="277"/>
      <c r="CF197" s="184"/>
    </row>
    <row r="198" spans="3:84" s="183" customFormat="1" ht="15.75" x14ac:dyDescent="0.25">
      <c r="C198" s="171">
        <v>59</v>
      </c>
      <c r="D198" s="379"/>
      <c r="E198" s="379"/>
      <c r="F198" s="172" t="s">
        <v>128</v>
      </c>
      <c r="G198" s="395"/>
      <c r="H198" s="173">
        <v>0.211111111111112</v>
      </c>
      <c r="I198" s="171">
        <v>-8.6621120000000005</v>
      </c>
      <c r="J198" s="171">
        <v>115.892151</v>
      </c>
      <c r="K198" s="171">
        <f t="shared" si="225"/>
        <v>-0.15118237457651107</v>
      </c>
      <c r="L198" s="171">
        <f t="shared" si="225"/>
        <v>2.0226996121684389</v>
      </c>
      <c r="M198" s="171">
        <v>3443</v>
      </c>
      <c r="N198" s="235">
        <f t="shared" si="288"/>
        <v>0.33048679168481782</v>
      </c>
      <c r="O198" s="331"/>
      <c r="P198" s="174">
        <f t="shared" si="289"/>
        <v>5.000000000001581E-2</v>
      </c>
      <c r="Q198" s="331"/>
      <c r="R198" s="175">
        <f t="shared" si="290"/>
        <v>6.6097358336942662</v>
      </c>
      <c r="S198" s="347"/>
      <c r="T198" s="171">
        <f t="shared" si="200"/>
        <v>3.4000481128523301</v>
      </c>
      <c r="U198" s="176">
        <f t="shared" si="291"/>
        <v>-1.2483356192843123E-5</v>
      </c>
      <c r="V198" s="171">
        <f t="shared" si="292"/>
        <v>9.628981483267296E-5</v>
      </c>
      <c r="W198" s="171">
        <f t="shared" si="293"/>
        <v>1.6997208170575373</v>
      </c>
      <c r="X198" s="171">
        <f t="shared" si="238"/>
        <v>97.386829167924787</v>
      </c>
      <c r="Y198" s="176">
        <f t="shared" si="239"/>
        <v>-1.2339477811595945E-5</v>
      </c>
      <c r="Z198" s="177">
        <f t="shared" si="240"/>
        <v>5.5169999999975516E-3</v>
      </c>
      <c r="AA198" s="178">
        <f t="shared" si="241"/>
        <v>97.386829167924787</v>
      </c>
      <c r="AB198" s="100">
        <v>200</v>
      </c>
      <c r="AC198" s="171">
        <v>13</v>
      </c>
      <c r="AD198" s="171">
        <v>4</v>
      </c>
      <c r="AE198" s="179">
        <f t="shared" si="232"/>
        <v>102.61317083207521</v>
      </c>
      <c r="AF198" s="180">
        <f t="shared" si="268"/>
        <v>0.1300085365707486</v>
      </c>
      <c r="AG198" s="382"/>
      <c r="AH198" s="385"/>
      <c r="AI198" s="388"/>
      <c r="AJ198" s="171">
        <f t="shared" si="269"/>
        <v>1.7110271286348322</v>
      </c>
      <c r="AK198" s="171">
        <f t="shared" si="242"/>
        <v>0.33</v>
      </c>
      <c r="AL198" s="180">
        <f t="shared" si="270"/>
        <v>17.587905559497941</v>
      </c>
      <c r="AM198" s="180">
        <f t="shared" si="204"/>
        <v>9.9308165708955602</v>
      </c>
      <c r="AN198" s="180">
        <f t="shared" si="271"/>
        <v>7.3385097788711988</v>
      </c>
      <c r="AO198" s="180">
        <f t="shared" si="206"/>
        <v>3.7749294302513445</v>
      </c>
      <c r="AP198" s="180">
        <f t="shared" si="207"/>
        <v>0.14434297239197399</v>
      </c>
      <c r="AQ198" s="175">
        <f t="shared" si="272"/>
        <v>4.503459171456646E-2</v>
      </c>
      <c r="AR198" s="171">
        <f t="shared" si="273"/>
        <v>221538787.77535677</v>
      </c>
      <c r="AS198" s="171">
        <f t="shared" si="210"/>
        <v>1.8626722368945666E-3</v>
      </c>
      <c r="AT198" s="180">
        <f t="shared" si="274"/>
        <v>438.49341450269094</v>
      </c>
      <c r="AU198" s="171">
        <f t="shared" si="275"/>
        <v>16933.758850806938</v>
      </c>
      <c r="AV198" s="297"/>
      <c r="AW198" s="297"/>
      <c r="AX198" s="297"/>
      <c r="AY198" s="297"/>
      <c r="AZ198" s="297"/>
      <c r="BA198" s="392"/>
      <c r="BB198" s="392"/>
      <c r="BC198" s="392"/>
      <c r="BD198" s="297"/>
      <c r="BE198" s="297"/>
      <c r="BF198" s="297"/>
      <c r="BG198" s="297"/>
      <c r="BH198" s="390"/>
      <c r="BI198" s="392"/>
      <c r="BJ198" s="392"/>
      <c r="BK198" s="392"/>
      <c r="BL198" s="180">
        <f t="shared" si="276"/>
        <v>-9.4353403784196346E-3</v>
      </c>
      <c r="BM198" s="175">
        <f t="shared" si="277"/>
        <v>116.67606686503349</v>
      </c>
      <c r="BN198" s="171">
        <f t="shared" si="278"/>
        <v>5357.3815390151485</v>
      </c>
      <c r="BO198" s="180">
        <f t="shared" si="279"/>
        <v>44.04788781292708</v>
      </c>
      <c r="BP198" s="181">
        <f t="shared" si="234"/>
        <v>50.655070984866143</v>
      </c>
      <c r="BQ198" s="180">
        <f t="shared" si="235"/>
        <v>191.21931825224218</v>
      </c>
      <c r="BR198" s="180">
        <f t="shared" si="280"/>
        <v>2.7466046562330053</v>
      </c>
      <c r="BS198" s="180">
        <f t="shared" si="281"/>
        <v>457.13904251602514</v>
      </c>
      <c r="BT198" s="180">
        <f t="shared" si="282"/>
        <v>466.46841073063791</v>
      </c>
      <c r="BU198" s="171">
        <f t="shared" si="283"/>
        <v>559.9860873116902</v>
      </c>
      <c r="BV198" s="171">
        <f t="shared" si="236"/>
        <v>279.9930436558451</v>
      </c>
      <c r="BW198" s="171">
        <f t="shared" si="237"/>
        <v>279.9930436558451</v>
      </c>
      <c r="BX198" s="180">
        <f t="shared" si="284"/>
        <v>26.666004157699536</v>
      </c>
      <c r="BY198" s="180">
        <f t="shared" si="285"/>
        <v>2.2595995347895899E-3</v>
      </c>
      <c r="BZ198" s="180">
        <f t="shared" si="286"/>
        <v>2.2595995347895899E-3</v>
      </c>
      <c r="CA198" s="182">
        <f t="shared" si="287"/>
        <v>4.5191990695791799E-3</v>
      </c>
      <c r="CB198" s="402"/>
      <c r="CC198" s="277"/>
      <c r="CD198" s="277"/>
      <c r="CE198" s="277"/>
      <c r="CF198" s="184"/>
    </row>
    <row r="199" spans="3:84" s="183" customFormat="1" ht="15.75" x14ac:dyDescent="0.25">
      <c r="C199" s="171">
        <v>60</v>
      </c>
      <c r="D199" s="379"/>
      <c r="E199" s="379"/>
      <c r="F199" s="172" t="s">
        <v>128</v>
      </c>
      <c r="G199" s="396"/>
      <c r="H199" s="173">
        <v>0.21319444444444499</v>
      </c>
      <c r="I199" s="171">
        <v>-8.6630439999999993</v>
      </c>
      <c r="J199" s="171">
        <v>115.898804</v>
      </c>
      <c r="K199" s="171">
        <f t="shared" si="225"/>
        <v>-0.15119864104513964</v>
      </c>
      <c r="L199" s="171">
        <f t="shared" si="225"/>
        <v>2.022815728923574</v>
      </c>
      <c r="M199" s="171">
        <v>3443</v>
      </c>
      <c r="N199" s="235">
        <f t="shared" si="288"/>
        <v>0.39917773836774856</v>
      </c>
      <c r="O199" s="331"/>
      <c r="P199" s="174">
        <f t="shared" si="289"/>
        <v>4.9999999999991829E-2</v>
      </c>
      <c r="Q199" s="331"/>
      <c r="R199" s="175">
        <f t="shared" si="290"/>
        <v>7.9835547673562761</v>
      </c>
      <c r="S199" s="347"/>
      <c r="T199" s="171">
        <f t="shared" si="200"/>
        <v>4.1067405723280679</v>
      </c>
      <c r="U199" s="176">
        <f t="shared" si="291"/>
        <v>-1.645617179493907E-5</v>
      </c>
      <c r="V199" s="171">
        <f t="shared" si="292"/>
        <v>1.1611675513512054E-4</v>
      </c>
      <c r="W199" s="171">
        <f t="shared" si="293"/>
        <v>1.7115796930492184</v>
      </c>
      <c r="X199" s="171">
        <f t="shared" si="238"/>
        <v>98.066292712017145</v>
      </c>
      <c r="Y199" s="176">
        <f t="shared" si="239"/>
        <v>-1.6266468628567399E-5</v>
      </c>
      <c r="Z199" s="177">
        <f t="shared" si="240"/>
        <v>6.65300000000002E-3</v>
      </c>
      <c r="AA199" s="178">
        <f t="shared" si="241"/>
        <v>98.066292712017145</v>
      </c>
      <c r="AB199" s="100">
        <v>200</v>
      </c>
      <c r="AC199" s="171">
        <v>13</v>
      </c>
      <c r="AD199" s="171">
        <v>4</v>
      </c>
      <c r="AE199" s="179">
        <f t="shared" si="232"/>
        <v>101.93370728798286</v>
      </c>
      <c r="AF199" s="180">
        <f t="shared" si="268"/>
        <v>0.15703052255816102</v>
      </c>
      <c r="AG199" s="382"/>
      <c r="AH199" s="385"/>
      <c r="AI199" s="388"/>
      <c r="AJ199" s="171">
        <f t="shared" si="269"/>
        <v>1.5682354189601733</v>
      </c>
      <c r="AK199" s="171">
        <f t="shared" si="242"/>
        <v>0.33</v>
      </c>
      <c r="AL199" s="180">
        <f t="shared" si="270"/>
        <v>17.587905559497941</v>
      </c>
      <c r="AM199" s="180">
        <f t="shared" si="204"/>
        <v>9.1020522264313009</v>
      </c>
      <c r="AN199" s="180">
        <f t="shared" si="271"/>
        <v>8.782986814227872</v>
      </c>
      <c r="AO199" s="180">
        <f t="shared" si="206"/>
        <v>4.5179684172388175</v>
      </c>
      <c r="AP199" s="180">
        <f t="shared" si="207"/>
        <v>0.17275475013949917</v>
      </c>
      <c r="AQ199" s="175">
        <f t="shared" si="272"/>
        <v>4.5448973886776919E-2</v>
      </c>
      <c r="AR199" s="171">
        <f t="shared" si="273"/>
        <v>265145419.23391452</v>
      </c>
      <c r="AS199" s="171">
        <f t="shared" si="210"/>
        <v>1.8176905636837627E-3</v>
      </c>
      <c r="AT199" s="180">
        <f t="shared" si="274"/>
        <v>612.93623090145593</v>
      </c>
      <c r="AU199" s="171">
        <f t="shared" si="275"/>
        <v>23670.399558404497</v>
      </c>
      <c r="AV199" s="297"/>
      <c r="AW199" s="297"/>
      <c r="AX199" s="297"/>
      <c r="AY199" s="297"/>
      <c r="AZ199" s="297"/>
      <c r="BA199" s="392"/>
      <c r="BB199" s="392"/>
      <c r="BC199" s="392"/>
      <c r="BD199" s="297"/>
      <c r="BE199" s="297"/>
      <c r="BF199" s="297"/>
      <c r="BG199" s="297"/>
      <c r="BH199" s="390"/>
      <c r="BI199" s="392"/>
      <c r="BJ199" s="392"/>
      <c r="BK199" s="392"/>
      <c r="BL199" s="180">
        <f t="shared" si="276"/>
        <v>-4.0179960503644252E-2</v>
      </c>
      <c r="BM199" s="175">
        <f t="shared" si="277"/>
        <v>1025.8042552786389</v>
      </c>
      <c r="BN199" s="171">
        <f t="shared" si="278"/>
        <v>7673.9909687090358</v>
      </c>
      <c r="BO199" s="180">
        <f t="shared" si="279"/>
        <v>62.619186750892716</v>
      </c>
      <c r="BP199" s="181">
        <f t="shared" si="234"/>
        <v>72.012064763526624</v>
      </c>
      <c r="BQ199" s="180">
        <f t="shared" si="235"/>
        <v>325.34823426176962</v>
      </c>
      <c r="BR199" s="180">
        <f t="shared" si="280"/>
        <v>3.2872331313159329</v>
      </c>
      <c r="BS199" s="180">
        <f t="shared" si="281"/>
        <v>777.7947419439713</v>
      </c>
      <c r="BT199" s="180">
        <f t="shared" si="282"/>
        <v>793.66810402446049</v>
      </c>
      <c r="BU199" s="171">
        <f t="shared" si="283"/>
        <v>952.78283796453843</v>
      </c>
      <c r="BV199" s="171">
        <f t="shared" si="236"/>
        <v>476.39141898226922</v>
      </c>
      <c r="BW199" s="171">
        <f t="shared" si="237"/>
        <v>476.39141898226922</v>
      </c>
      <c r="BX199" s="180">
        <f t="shared" si="284"/>
        <v>45.370611331644689</v>
      </c>
      <c r="BY199" s="180">
        <f t="shared" si="285"/>
        <v>3.879949008088788E-3</v>
      </c>
      <c r="BZ199" s="180">
        <f t="shared" si="286"/>
        <v>3.879949008088788E-3</v>
      </c>
      <c r="CA199" s="182">
        <f t="shared" si="287"/>
        <v>7.7598980161775761E-3</v>
      </c>
      <c r="CB199" s="402"/>
      <c r="CC199" s="277"/>
      <c r="CD199" s="277"/>
      <c r="CE199" s="277"/>
      <c r="CF199" s="184"/>
    </row>
    <row r="200" spans="3:84" s="109" customFormat="1" ht="15.75" x14ac:dyDescent="0.25">
      <c r="C200" s="100">
        <v>61</v>
      </c>
      <c r="D200" s="379"/>
      <c r="E200" s="379"/>
      <c r="F200" s="163" t="s">
        <v>128</v>
      </c>
      <c r="G200" s="340">
        <v>0.21527777777777801</v>
      </c>
      <c r="H200" s="101">
        <v>0.21527777777777801</v>
      </c>
      <c r="I200" s="100">
        <v>-8.6641320000000004</v>
      </c>
      <c r="J200" s="100">
        <v>115.90575</v>
      </c>
      <c r="K200" s="100">
        <f t="shared" si="225"/>
        <v>-0.15121763022740134</v>
      </c>
      <c r="L200" s="100">
        <f t="shared" si="225"/>
        <v>2.0229369594934177</v>
      </c>
      <c r="M200" s="100">
        <v>3443</v>
      </c>
      <c r="N200" s="234">
        <f t="shared" si="288"/>
        <v>0.41778171157156851</v>
      </c>
      <c r="O200" s="358"/>
      <c r="P200" s="102">
        <f t="shared" si="289"/>
        <v>4.9999999999992495E-2</v>
      </c>
      <c r="Q200" s="358"/>
      <c r="R200" s="103">
        <f t="shared" si="290"/>
        <v>8.3556342314326244</v>
      </c>
      <c r="S200" s="348"/>
      <c r="T200" s="100">
        <f t="shared" si="200"/>
        <v>4.2981382486489421</v>
      </c>
      <c r="U200" s="165">
        <f t="shared" si="291"/>
        <v>-1.9210690190905148E-5</v>
      </c>
      <c r="V200" s="100">
        <f t="shared" si="292"/>
        <v>1.2123056984369995E-4</v>
      </c>
      <c r="W200" s="100">
        <f t="shared" si="293"/>
        <v>1.7279536450295059</v>
      </c>
      <c r="X200" s="100">
        <f t="shared" si="238"/>
        <v>99.004451054437482</v>
      </c>
      <c r="Y200" s="165">
        <f t="shared" si="239"/>
        <v>-1.8989182261702764E-5</v>
      </c>
      <c r="Z200" s="166">
        <f t="shared" si="240"/>
        <v>6.9459999999992306E-3</v>
      </c>
      <c r="AA200" s="167">
        <f t="shared" si="241"/>
        <v>99.004451054437482</v>
      </c>
      <c r="AB200" s="100">
        <v>200</v>
      </c>
      <c r="AC200" s="100">
        <v>13</v>
      </c>
      <c r="AD200" s="100">
        <v>4</v>
      </c>
      <c r="AE200" s="169">
        <f t="shared" si="232"/>
        <v>100.99554894556252</v>
      </c>
      <c r="AF200" s="104">
        <f t="shared" si="268"/>
        <v>0.1643490459953614</v>
      </c>
      <c r="AG200" s="382"/>
      <c r="AH200" s="385"/>
      <c r="AI200" s="388"/>
      <c r="AJ200" s="100">
        <f t="shared" si="269"/>
        <v>1.5271244784916183</v>
      </c>
      <c r="AK200" s="100">
        <f t="shared" si="242"/>
        <v>0.33</v>
      </c>
      <c r="AL200" s="104">
        <f t="shared" si="270"/>
        <v>17.587905559497941</v>
      </c>
      <c r="AM200" s="104">
        <f t="shared" si="204"/>
        <v>8.8634439647516814</v>
      </c>
      <c r="AN200" s="104">
        <f t="shared" si="271"/>
        <v>9.1682576069705419</v>
      </c>
      <c r="AO200" s="104">
        <f t="shared" si="206"/>
        <v>4.7161517130256465</v>
      </c>
      <c r="AP200" s="104">
        <f t="shared" si="207"/>
        <v>0.18033273709815975</v>
      </c>
      <c r="AQ200" s="103">
        <f t="shared" si="272"/>
        <v>4.5568278017617321E-2</v>
      </c>
      <c r="AR200" s="100">
        <f t="shared" si="273"/>
        <v>276776176.28968704</v>
      </c>
      <c r="AS200" s="100">
        <f t="shared" si="210"/>
        <v>1.8071843999593979E-3</v>
      </c>
      <c r="AT200" s="104">
        <f t="shared" si="274"/>
        <v>664.02887247169622</v>
      </c>
      <c r="AU200" s="100">
        <f t="shared" si="275"/>
        <v>25643.497540690969</v>
      </c>
      <c r="AV200" s="297"/>
      <c r="AW200" s="297"/>
      <c r="AX200" s="297"/>
      <c r="AY200" s="297"/>
      <c r="AZ200" s="297"/>
      <c r="BA200" s="392"/>
      <c r="BB200" s="392"/>
      <c r="BC200" s="392"/>
      <c r="BD200" s="297"/>
      <c r="BE200" s="297"/>
      <c r="BF200" s="297"/>
      <c r="BG200" s="297"/>
      <c r="BH200" s="390"/>
      <c r="BI200" s="392"/>
      <c r="BJ200" s="392"/>
      <c r="BK200" s="392"/>
      <c r="BL200" s="104">
        <f t="shared" si="276"/>
        <v>-5.2934865226635736E-2</v>
      </c>
      <c r="BM200" s="103">
        <f t="shared" si="277"/>
        <v>1668.3684451260847</v>
      </c>
      <c r="BN200" s="100">
        <f t="shared" si="278"/>
        <v>8362.0052752394386</v>
      </c>
      <c r="BO200" s="104">
        <f t="shared" si="279"/>
        <v>68.44433418622522</v>
      </c>
      <c r="BP200" s="170">
        <f t="shared" si="234"/>
        <v>78.710984314159006</v>
      </c>
      <c r="BQ200" s="104">
        <f t="shared" si="235"/>
        <v>371.21294350715579</v>
      </c>
      <c r="BR200" s="104">
        <f t="shared" si="280"/>
        <v>3.4314295124809879</v>
      </c>
      <c r="BS200" s="104">
        <f t="shared" si="281"/>
        <v>887.4413480575555</v>
      </c>
      <c r="BT200" s="104">
        <f t="shared" si="282"/>
        <v>905.55239597709749</v>
      </c>
      <c r="BU200" s="100">
        <f t="shared" si="283"/>
        <v>1087.0977142582203</v>
      </c>
      <c r="BV200" s="100">
        <f t="shared" si="236"/>
        <v>543.54885712911016</v>
      </c>
      <c r="BW200" s="100">
        <f t="shared" si="237"/>
        <v>543.54885712911016</v>
      </c>
      <c r="BX200" s="104">
        <f t="shared" si="284"/>
        <v>51.766557821820015</v>
      </c>
      <c r="BY200" s="104">
        <f t="shared" si="285"/>
        <v>4.4385305104568864E-3</v>
      </c>
      <c r="BZ200" s="104">
        <f t="shared" si="286"/>
        <v>4.4385305104568864E-3</v>
      </c>
      <c r="CA200" s="108">
        <f t="shared" si="287"/>
        <v>8.8770610209137728E-3</v>
      </c>
      <c r="CB200" s="402"/>
      <c r="CC200" s="276">
        <f t="shared" ref="CC200" si="319">SUM(CA200:CA204)*1000</f>
        <v>37.597269926929812</v>
      </c>
      <c r="CD200" s="276">
        <v>38</v>
      </c>
      <c r="CE200" s="276">
        <f t="shared" ref="CE200" si="320">AVERAGE(AN200:AN204)</f>
        <v>8.6095687446753342</v>
      </c>
      <c r="CF200" s="117"/>
    </row>
    <row r="201" spans="3:84" s="109" customFormat="1" ht="15.75" x14ac:dyDescent="0.25">
      <c r="C201" s="100">
        <v>62</v>
      </c>
      <c r="D201" s="379"/>
      <c r="E201" s="379"/>
      <c r="F201" s="163" t="s">
        <v>128</v>
      </c>
      <c r="G201" s="341"/>
      <c r="H201" s="101">
        <v>0.217361111111112</v>
      </c>
      <c r="I201" s="100">
        <v>-8.6644190000000005</v>
      </c>
      <c r="J201" s="100">
        <v>115.911338</v>
      </c>
      <c r="K201" s="100">
        <f t="shared" si="225"/>
        <v>-0.15122263932235458</v>
      </c>
      <c r="L201" s="100">
        <f t="shared" si="225"/>
        <v>2.0230344884920193</v>
      </c>
      <c r="M201" s="100">
        <v>3443</v>
      </c>
      <c r="N201" s="234">
        <f t="shared" si="288"/>
        <v>0.33240797892663243</v>
      </c>
      <c r="O201" s="357">
        <f t="shared" ref="O201" si="321">SUM(N201:N205)</f>
        <v>1.9264942781554981</v>
      </c>
      <c r="P201" s="102">
        <f t="shared" si="289"/>
        <v>5.000000000001581E-2</v>
      </c>
      <c r="Q201" s="357">
        <f t="shared" ref="Q201" si="322">SUM(P201:P205)</f>
        <v>0.25000000000000777</v>
      </c>
      <c r="R201" s="103">
        <f t="shared" si="290"/>
        <v>6.6481595785305467</v>
      </c>
      <c r="S201" s="346">
        <f t="shared" ref="S201" si="323">AVERAGE(R201:R205)</f>
        <v>7.7059771126217509</v>
      </c>
      <c r="T201" s="100">
        <f t="shared" si="200"/>
        <v>3.4198132871961131</v>
      </c>
      <c r="U201" s="165">
        <f t="shared" si="291"/>
        <v>-5.0675351280613503E-6</v>
      </c>
      <c r="V201" s="100">
        <f t="shared" si="292"/>
        <v>9.7528998601603689E-5</v>
      </c>
      <c r="W201" s="100">
        <f t="shared" si="293"/>
        <v>1.6227089085758302</v>
      </c>
      <c r="X201" s="100">
        <f t="shared" si="238"/>
        <v>92.974371839675229</v>
      </c>
      <c r="Y201" s="165">
        <f t="shared" si="239"/>
        <v>-5.0090949532399787E-6</v>
      </c>
      <c r="Z201" s="166">
        <f t="shared" si="240"/>
        <v>5.588000000003035E-3</v>
      </c>
      <c r="AA201" s="167">
        <f t="shared" si="241"/>
        <v>92.974371839675229</v>
      </c>
      <c r="AB201" s="100">
        <v>200</v>
      </c>
      <c r="AC201" s="100">
        <v>13</v>
      </c>
      <c r="AD201" s="100">
        <v>4</v>
      </c>
      <c r="AE201" s="169">
        <f t="shared" si="232"/>
        <v>107.02562816032477</v>
      </c>
      <c r="AF201" s="104">
        <f t="shared" si="268"/>
        <v>0.13076430275587628</v>
      </c>
      <c r="AG201" s="382"/>
      <c r="AH201" s="385"/>
      <c r="AI201" s="388"/>
      <c r="AJ201" s="100">
        <f t="shared" si="269"/>
        <v>1.7072260052205739</v>
      </c>
      <c r="AK201" s="100">
        <f t="shared" si="242"/>
        <v>0.33</v>
      </c>
      <c r="AL201" s="104">
        <f t="shared" si="270"/>
        <v>17.587905559497941</v>
      </c>
      <c r="AM201" s="104">
        <f t="shared" si="204"/>
        <v>9.9087548170176696</v>
      </c>
      <c r="AN201" s="104">
        <f t="shared" si="271"/>
        <v>7.3793625174428632</v>
      </c>
      <c r="AO201" s="104">
        <f t="shared" si="206"/>
        <v>3.7959440789726084</v>
      </c>
      <c r="AP201" s="104">
        <f t="shared" si="207"/>
        <v>0.14514651505846524</v>
      </c>
      <c r="AQ201" s="103">
        <f t="shared" si="272"/>
        <v>4.5045622591505401E-2</v>
      </c>
      <c r="AR201" s="100">
        <f t="shared" si="273"/>
        <v>222772071.70536226</v>
      </c>
      <c r="AS201" s="100">
        <f t="shared" si="210"/>
        <v>1.8612575897378066E-3</v>
      </c>
      <c r="AT201" s="104">
        <f t="shared" si="274"/>
        <v>443.05235862616087</v>
      </c>
      <c r="AU201" s="100">
        <f t="shared" si="275"/>
        <v>17109.816364666527</v>
      </c>
      <c r="AV201" s="297"/>
      <c r="AW201" s="297"/>
      <c r="AX201" s="297"/>
      <c r="AY201" s="297"/>
      <c r="AZ201" s="297"/>
      <c r="BA201" s="392"/>
      <c r="BB201" s="392"/>
      <c r="BC201" s="392"/>
      <c r="BD201" s="297"/>
      <c r="BE201" s="297"/>
      <c r="BF201" s="297"/>
      <c r="BG201" s="297"/>
      <c r="BH201" s="390"/>
      <c r="BI201" s="392"/>
      <c r="BJ201" s="392"/>
      <c r="BK201" s="392"/>
      <c r="BL201" s="104">
        <f t="shared" si="276"/>
        <v>-9.9488556888999401E-3</v>
      </c>
      <c r="BM201" s="103">
        <f t="shared" si="277"/>
        <v>125.30870940647098</v>
      </c>
      <c r="BN201" s="100">
        <f t="shared" si="278"/>
        <v>5417.1955639521166</v>
      </c>
      <c r="BO201" s="104">
        <f t="shared" si="279"/>
        <v>44.517380267470713</v>
      </c>
      <c r="BP201" s="170">
        <f t="shared" si="234"/>
        <v>51.194987307591319</v>
      </c>
      <c r="BQ201" s="104">
        <f t="shared" si="235"/>
        <v>194.33330894332911</v>
      </c>
      <c r="BR201" s="104">
        <f t="shared" si="280"/>
        <v>2.761894725383538</v>
      </c>
      <c r="BS201" s="104">
        <f t="shared" si="281"/>
        <v>464.58351379611565</v>
      </c>
      <c r="BT201" s="104">
        <f t="shared" si="282"/>
        <v>474.06480999603639</v>
      </c>
      <c r="BU201" s="100">
        <f t="shared" si="283"/>
        <v>569.10541416090803</v>
      </c>
      <c r="BV201" s="100">
        <f t="shared" si="236"/>
        <v>284.55270708045401</v>
      </c>
      <c r="BW201" s="100">
        <f t="shared" si="237"/>
        <v>284.55270708045401</v>
      </c>
      <c r="BX201" s="104">
        <f t="shared" si="284"/>
        <v>27.100257817186097</v>
      </c>
      <c r="BY201" s="104">
        <f t="shared" si="285"/>
        <v>2.2969594100162873E-3</v>
      </c>
      <c r="BZ201" s="104">
        <f t="shared" si="286"/>
        <v>2.2969594100162873E-3</v>
      </c>
      <c r="CA201" s="108">
        <f t="shared" si="287"/>
        <v>4.5939188200325746E-3</v>
      </c>
      <c r="CB201" s="402"/>
      <c r="CC201" s="277"/>
      <c r="CD201" s="277"/>
      <c r="CE201" s="277"/>
      <c r="CF201" s="117"/>
    </row>
    <row r="202" spans="3:84" s="109" customFormat="1" ht="15.75" x14ac:dyDescent="0.25">
      <c r="C202" s="100">
        <v>63</v>
      </c>
      <c r="D202" s="379"/>
      <c r="E202" s="379"/>
      <c r="F202" s="163" t="s">
        <v>128</v>
      </c>
      <c r="G202" s="341"/>
      <c r="H202" s="101">
        <v>0.219444444444445</v>
      </c>
      <c r="I202" s="100">
        <v>-8.6654280000000004</v>
      </c>
      <c r="J202" s="100">
        <v>115.91746999999999</v>
      </c>
      <c r="K202" s="100">
        <f t="shared" si="225"/>
        <v>-0.1512402496945072</v>
      </c>
      <c r="L202" s="100">
        <f t="shared" si="225"/>
        <v>2.0231415120817511</v>
      </c>
      <c r="M202" s="100">
        <v>3443</v>
      </c>
      <c r="N202" s="234">
        <f t="shared" si="288"/>
        <v>0.36928803369137103</v>
      </c>
      <c r="O202" s="331"/>
      <c r="P202" s="102">
        <f t="shared" si="289"/>
        <v>4.9999999999991829E-2</v>
      </c>
      <c r="Q202" s="331"/>
      <c r="R202" s="103">
        <f t="shared" si="290"/>
        <v>7.3857606738286279</v>
      </c>
      <c r="S202" s="347"/>
      <c r="T202" s="100">
        <f t="shared" si="200"/>
        <v>3.799235290617446</v>
      </c>
      <c r="U202" s="165">
        <f t="shared" si="291"/>
        <v>-1.7815859943864383E-5</v>
      </c>
      <c r="V202" s="100">
        <f t="shared" si="292"/>
        <v>1.0702358973180282E-4</v>
      </c>
      <c r="W202" s="100">
        <f t="shared" si="293"/>
        <v>1.7357504006376574</v>
      </c>
      <c r="X202" s="100">
        <f t="shared" si="238"/>
        <v>99.451172244679526</v>
      </c>
      <c r="Y202" s="165">
        <f t="shared" si="239"/>
        <v>-1.7610372152615517E-5</v>
      </c>
      <c r="Z202" s="166">
        <f t="shared" si="240"/>
        <v>6.1319999999938091E-3</v>
      </c>
      <c r="AA202" s="167">
        <f t="shared" si="241"/>
        <v>99.451172244679526</v>
      </c>
      <c r="AB202" s="100">
        <v>200</v>
      </c>
      <c r="AC202" s="100">
        <v>13</v>
      </c>
      <c r="AD202" s="100">
        <v>4</v>
      </c>
      <c r="AE202" s="169">
        <f t="shared" si="232"/>
        <v>100.54882775532047</v>
      </c>
      <c r="AF202" s="104">
        <f t="shared" si="268"/>
        <v>0.14527236198629914</v>
      </c>
      <c r="AG202" s="382"/>
      <c r="AH202" s="385"/>
      <c r="AI202" s="388"/>
      <c r="AJ202" s="100">
        <f t="shared" si="269"/>
        <v>1.6321097212105924</v>
      </c>
      <c r="AK202" s="100">
        <f t="shared" si="242"/>
        <v>0.33</v>
      </c>
      <c r="AL202" s="104">
        <f t="shared" si="270"/>
        <v>17.587905559497941</v>
      </c>
      <c r="AM202" s="104">
        <f t="shared" si="204"/>
        <v>9.4727792409988361</v>
      </c>
      <c r="AN202" s="104">
        <f t="shared" si="271"/>
        <v>8.158607556826226</v>
      </c>
      <c r="AO202" s="104">
        <f t="shared" si="206"/>
        <v>4.1967877272314107</v>
      </c>
      <c r="AP202" s="104">
        <f t="shared" si="207"/>
        <v>0.1604736793732339</v>
      </c>
      <c r="AQ202" s="103">
        <f t="shared" si="272"/>
        <v>4.5263610379493176E-2</v>
      </c>
      <c r="AR202" s="100">
        <f t="shared" si="273"/>
        <v>246296330.25469196</v>
      </c>
      <c r="AS202" s="100">
        <f t="shared" si="210"/>
        <v>1.8359522959035125E-3</v>
      </c>
      <c r="AT202" s="104">
        <f t="shared" si="274"/>
        <v>534.20058407150259</v>
      </c>
      <c r="AU202" s="100">
        <f t="shared" si="275"/>
        <v>20629.782727493006</v>
      </c>
      <c r="AV202" s="297"/>
      <c r="AW202" s="297"/>
      <c r="AX202" s="297"/>
      <c r="AY202" s="297"/>
      <c r="AZ202" s="297"/>
      <c r="BA202" s="392"/>
      <c r="BB202" s="392"/>
      <c r="BC202" s="392"/>
      <c r="BD202" s="297"/>
      <c r="BE202" s="297"/>
      <c r="BF202" s="297"/>
      <c r="BG202" s="297"/>
      <c r="BH202" s="390"/>
      <c r="BI202" s="392"/>
      <c r="BJ202" s="392"/>
      <c r="BK202" s="392"/>
      <c r="BL202" s="104">
        <f t="shared" si="276"/>
        <v>-2.3591331795663799E-2</v>
      </c>
      <c r="BM202" s="103">
        <f t="shared" si="277"/>
        <v>432.88411322182498</v>
      </c>
      <c r="BN202" s="100">
        <f t="shared" si="278"/>
        <v>6621.690973486674</v>
      </c>
      <c r="BO202" s="104">
        <f t="shared" si="279"/>
        <v>54.04766995416395</v>
      </c>
      <c r="BP202" s="170">
        <f t="shared" si="234"/>
        <v>62.154820447288543</v>
      </c>
      <c r="BQ202" s="104">
        <f t="shared" si="235"/>
        <v>260.85058764145248</v>
      </c>
      <c r="BR202" s="104">
        <f t="shared" si="280"/>
        <v>3.0535449538371457</v>
      </c>
      <c r="BS202" s="104">
        <f t="shared" si="281"/>
        <v>623.60324764288225</v>
      </c>
      <c r="BT202" s="104">
        <f t="shared" si="282"/>
        <v>636.32984453355334</v>
      </c>
      <c r="BU202" s="100">
        <f t="shared" si="283"/>
        <v>763.90137398985996</v>
      </c>
      <c r="BV202" s="100">
        <f t="shared" si="236"/>
        <v>381.95068699492998</v>
      </c>
      <c r="BW202" s="100">
        <f t="shared" si="237"/>
        <v>381.95068699492998</v>
      </c>
      <c r="BX202" s="104">
        <f t="shared" si="284"/>
        <v>36.376255904279049</v>
      </c>
      <c r="BY202" s="104">
        <f t="shared" si="285"/>
        <v>3.0980933007930321E-3</v>
      </c>
      <c r="BZ202" s="104">
        <f t="shared" si="286"/>
        <v>3.0980933007930321E-3</v>
      </c>
      <c r="CA202" s="108">
        <f t="shared" si="287"/>
        <v>6.1961866015860642E-3</v>
      </c>
      <c r="CB202" s="402"/>
      <c r="CC202" s="277"/>
      <c r="CD202" s="277"/>
      <c r="CE202" s="277"/>
      <c r="CF202" s="117"/>
    </row>
    <row r="203" spans="3:84" s="109" customFormat="1" ht="15.75" x14ac:dyDescent="0.25">
      <c r="C203" s="100">
        <v>64</v>
      </c>
      <c r="D203" s="379"/>
      <c r="E203" s="379"/>
      <c r="F203" s="163" t="s">
        <v>128</v>
      </c>
      <c r="G203" s="341"/>
      <c r="H203" s="101">
        <v>0.22152777777777799</v>
      </c>
      <c r="I203" s="100">
        <v>-8.6669769999999993</v>
      </c>
      <c r="J203" s="100">
        <v>115.923984</v>
      </c>
      <c r="K203" s="100">
        <f t="shared" si="225"/>
        <v>-0.15126728484462057</v>
      </c>
      <c r="L203" s="100">
        <f t="shared" si="225"/>
        <v>2.0232552028292266</v>
      </c>
      <c r="M203" s="100">
        <v>3443</v>
      </c>
      <c r="N203" s="234">
        <f t="shared" si="288"/>
        <v>0.39800582406941409</v>
      </c>
      <c r="O203" s="331"/>
      <c r="P203" s="102">
        <f t="shared" si="289"/>
        <v>4.9999999999991829E-2</v>
      </c>
      <c r="Q203" s="331"/>
      <c r="R203" s="103">
        <f t="shared" si="290"/>
        <v>7.9601164813895826</v>
      </c>
      <c r="S203" s="347"/>
      <c r="T203" s="100">
        <f t="shared" si="200"/>
        <v>4.0946839180268011</v>
      </c>
      <c r="U203" s="165">
        <f t="shared" si="291"/>
        <v>-2.7350705097943669E-5</v>
      </c>
      <c r="V203" s="100">
        <f t="shared" si="292"/>
        <v>1.1369074747547003E-4</v>
      </c>
      <c r="W203" s="100">
        <f t="shared" si="293"/>
        <v>1.8068812080811973</v>
      </c>
      <c r="X203" s="100">
        <f t="shared" si="238"/>
        <v>103.52666730455211</v>
      </c>
      <c r="Y203" s="165">
        <f t="shared" si="239"/>
        <v>-2.7035150113374762E-5</v>
      </c>
      <c r="Z203" s="166">
        <f t="shared" si="240"/>
        <v>6.5140000000099008E-3</v>
      </c>
      <c r="AA203" s="167">
        <f t="shared" si="241"/>
        <v>103.52666730455211</v>
      </c>
      <c r="AB203" s="100">
        <v>200</v>
      </c>
      <c r="AC203" s="100">
        <v>13</v>
      </c>
      <c r="AD203" s="100">
        <v>4</v>
      </c>
      <c r="AE203" s="169">
        <f t="shared" si="232"/>
        <v>96.473332695447894</v>
      </c>
      <c r="AF203" s="104">
        <f t="shared" si="268"/>
        <v>0.15656950908728631</v>
      </c>
      <c r="AG203" s="382"/>
      <c r="AH203" s="385"/>
      <c r="AI203" s="388"/>
      <c r="AJ203" s="100">
        <f t="shared" si="269"/>
        <v>1.5707903188761962</v>
      </c>
      <c r="AK203" s="100">
        <f t="shared" si="242"/>
        <v>0.33</v>
      </c>
      <c r="AL203" s="104">
        <f t="shared" si="270"/>
        <v>17.587905559497941</v>
      </c>
      <c r="AM203" s="104">
        <f t="shared" si="204"/>
        <v>9.116880888115503</v>
      </c>
      <c r="AN203" s="104">
        <f t="shared" si="271"/>
        <v>8.7586303806211063</v>
      </c>
      <c r="AO203" s="104">
        <f t="shared" si="206"/>
        <v>4.5054394677914971</v>
      </c>
      <c r="AP203" s="104">
        <f t="shared" si="207"/>
        <v>0.17227567739454072</v>
      </c>
      <c r="AQ203" s="103">
        <f t="shared" si="272"/>
        <v>4.5441559555934825E-2</v>
      </c>
      <c r="AR203" s="100">
        <f t="shared" si="273"/>
        <v>264410134.42291522</v>
      </c>
      <c r="AS203" s="100">
        <f t="shared" si="210"/>
        <v>1.8183733114226555E-3</v>
      </c>
      <c r="AT203" s="104">
        <f t="shared" si="274"/>
        <v>609.77038270623257</v>
      </c>
      <c r="AU203" s="100">
        <f t="shared" si="275"/>
        <v>23548.140687180683</v>
      </c>
      <c r="AV203" s="297"/>
      <c r="AW203" s="297"/>
      <c r="AX203" s="297"/>
      <c r="AY203" s="297"/>
      <c r="AZ203" s="297"/>
      <c r="BA203" s="392"/>
      <c r="BB203" s="392"/>
      <c r="BC203" s="392"/>
      <c r="BD203" s="297"/>
      <c r="BE203" s="297"/>
      <c r="BF203" s="297"/>
      <c r="BG203" s="297"/>
      <c r="BH203" s="390"/>
      <c r="BI203" s="392"/>
      <c r="BJ203" s="392"/>
      <c r="BK203" s="392"/>
      <c r="BL203" s="104">
        <f t="shared" si="276"/>
        <v>-3.9437087791761721E-2</v>
      </c>
      <c r="BM203" s="103">
        <f t="shared" si="277"/>
        <v>993.62779935816434</v>
      </c>
      <c r="BN203" s="100">
        <f t="shared" si="278"/>
        <v>7631.4879135603042</v>
      </c>
      <c r="BO203" s="104">
        <f t="shared" si="279"/>
        <v>62.266010718085944</v>
      </c>
      <c r="BP203" s="170">
        <f t="shared" si="234"/>
        <v>71.60591232579884</v>
      </c>
      <c r="BQ203" s="104">
        <f t="shared" si="235"/>
        <v>322.61610351987173</v>
      </c>
      <c r="BR203" s="104">
        <f t="shared" si="280"/>
        <v>3.2781171805344562</v>
      </c>
      <c r="BS203" s="104">
        <f t="shared" si="281"/>
        <v>771.26316530832889</v>
      </c>
      <c r="BT203" s="104">
        <f t="shared" si="282"/>
        <v>787.00322990645805</v>
      </c>
      <c r="BU203" s="100">
        <f t="shared" si="283"/>
        <v>944.78178860319088</v>
      </c>
      <c r="BV203" s="100">
        <f t="shared" si="236"/>
        <v>472.39089430159544</v>
      </c>
      <c r="BW203" s="100">
        <f t="shared" si="237"/>
        <v>472.39089430159544</v>
      </c>
      <c r="BX203" s="104">
        <f t="shared" si="284"/>
        <v>44.989608981104325</v>
      </c>
      <c r="BY203" s="104">
        <f t="shared" si="285"/>
        <v>3.8467392691100368E-3</v>
      </c>
      <c r="BZ203" s="104">
        <f t="shared" si="286"/>
        <v>3.8467392691100368E-3</v>
      </c>
      <c r="CA203" s="108">
        <f t="shared" si="287"/>
        <v>7.6934785382200737E-3</v>
      </c>
      <c r="CB203" s="402"/>
      <c r="CC203" s="277"/>
      <c r="CD203" s="277"/>
      <c r="CE203" s="277"/>
      <c r="CF203" s="117"/>
    </row>
    <row r="204" spans="3:84" s="109" customFormat="1" ht="15.75" x14ac:dyDescent="0.25">
      <c r="C204" s="100">
        <v>65</v>
      </c>
      <c r="D204" s="379"/>
      <c r="E204" s="379"/>
      <c r="F204" s="163" t="s">
        <v>128</v>
      </c>
      <c r="G204" s="342"/>
      <c r="H204" s="101">
        <v>0.22361111111111201</v>
      </c>
      <c r="I204" s="100">
        <v>-8.6688449999999992</v>
      </c>
      <c r="J204" s="100">
        <v>115.93111</v>
      </c>
      <c r="K204" s="100">
        <f t="shared" si="225"/>
        <v>-0.15129988759504781</v>
      </c>
      <c r="L204" s="100">
        <f t="shared" si="225"/>
        <v>2.0233795749917234</v>
      </c>
      <c r="M204" s="100">
        <v>3443</v>
      </c>
      <c r="N204" s="234">
        <f t="shared" si="288"/>
        <v>0.43795237333001158</v>
      </c>
      <c r="O204" s="331"/>
      <c r="P204" s="102">
        <f t="shared" si="289"/>
        <v>5.0000000000016476E-2</v>
      </c>
      <c r="Q204" s="331"/>
      <c r="R204" s="103">
        <f t="shared" si="290"/>
        <v>8.7590474665973446</v>
      </c>
      <c r="S204" s="347"/>
      <c r="T204" s="100">
        <f t="shared" si="200"/>
        <v>4.5056540168176742</v>
      </c>
      <c r="U204" s="165">
        <f t="shared" si="291"/>
        <v>-3.2983441313471998E-5</v>
      </c>
      <c r="V204" s="100">
        <f t="shared" si="292"/>
        <v>1.2437216249683303E-4</v>
      </c>
      <c r="W204" s="100">
        <f t="shared" si="293"/>
        <v>1.8300285025867291</v>
      </c>
      <c r="X204" s="100">
        <f t="shared" si="238"/>
        <v>104.85290958686544</v>
      </c>
      <c r="Y204" s="165">
        <f t="shared" si="239"/>
        <v>-3.2602750427240812E-5</v>
      </c>
      <c r="Z204" s="166">
        <f t="shared" si="240"/>
        <v>7.1259999999995216E-3</v>
      </c>
      <c r="AA204" s="167">
        <f t="shared" si="241"/>
        <v>104.85290958686544</v>
      </c>
      <c r="AB204" s="100">
        <v>200</v>
      </c>
      <c r="AC204" s="100">
        <v>13</v>
      </c>
      <c r="AD204" s="100">
        <v>4</v>
      </c>
      <c r="AE204" s="169">
        <f t="shared" si="232"/>
        <v>95.147090413134563</v>
      </c>
      <c r="AF204" s="104">
        <f t="shared" ref="AF204:AF240" si="324">T204/((9.81*$D$3)^0.5)</f>
        <v>0.17228388116224932</v>
      </c>
      <c r="AG204" s="382"/>
      <c r="AH204" s="385"/>
      <c r="AI204" s="388"/>
      <c r="AJ204" s="100">
        <f t="shared" ref="AJ204:AJ240" si="325">IF(AND(F204="NORMAL",AND($D$6&gt;=0.55,$D$6&lt;0.6)),1.7-1.4*AF204-7.4*AF204^2,IF(AND(F204="NORMAL",AND($D$6&gt;=0.6,$D$6&lt;0.65)),2.2-2.5*AF204-9.7*AF204^2,IF(AND(F204="NORMAL",AND($D$6&gt;=0.65,$D$6&lt;0.7)),2.6-3.7*AF204-11.6*AF204^2,IF(AND(F204="NORMAL",AND($D$6&gt;=0.7,$D$6&lt;0.75)),3.1-5.3*AF204-12.4*AF204^2,IF(AND(F204="NORMAL OR LOADED",AND($D$6&gt;=0.75,$D$6&lt;0.8)),2.4-10.6*AF204-9.5*AF204^2,IF(AND(F204="NORMAL OR LOADED",AND($D$6&gt;=0.8,$D$6&lt;0.85)),2.6-13.1*AF204-15.1*AF204^2,IF(AND(F204="NORMAL OR LOADED",AND($D$6&gt;=0.85,$D$6&lt;0.9)),3.1-18.7*AF204+28*AF204^2,IF(AND(F204="BALLAST",AND($D$6&gt;=0.75,$D$6&lt;0.8)),2.6-12.5*AF204-13.5*AF204^2,IF(AND(F204="BALLAST",AND($D$6&gt;=0.8,$D$6&lt;0.85)),IF(AND(F204="BALLAST",AND($D$6&gt;=0.85,$D$6&lt;0.9)),3.4-20.9*AF204+31.8*AF204^2))))))))))</f>
        <v>1.481377460723595</v>
      </c>
      <c r="AK204" s="100">
        <f t="shared" ref="AK204:AK240" si="326">IF(AND(AE204&gt;=0,AE204&lt;=30),2/2,IF(AND(AE204&gt;=30,AE204&lt;=60),(1.7-0.03*(AD204-4)^2)/2,IF(AND(AE204&gt;=60,AE204&lt;=150),(0.9-0.06*(AD204-6)^2)/2,IF(AND(AE204&gt;=150,AE204&lt;=180),(0.4-0.03*(AD204-8)^2)/2))))</f>
        <v>0.33</v>
      </c>
      <c r="AL204" s="104">
        <f t="shared" ref="AL204:AL235" si="327">IF($T$21="ALL SHIP TYPE LOADED",(0.5*AD204+AD204^6.5)/(2.2*$G$5^(2/3)),IF($T$22="ALL SHIP TYPE BALLAST",(0.7*AD204+AD204^6.5)/(2.7*J82^(2/3)),IF($T$23="CONTAINER NORMAL",(0.7*AD204+AD204^6.5)/(2.2*$G$5^(2/3)))))</f>
        <v>17.587905559497941</v>
      </c>
      <c r="AM204" s="104">
        <f t="shared" ref="AM204:AM240" si="328">AJ204*AK204*AL204</f>
        <v>8.5979278694679007</v>
      </c>
      <c r="AN204" s="104">
        <f t="shared" ref="AN204:AN235" si="329">R204/(1-(0.01*AM204))</f>
        <v>9.5829856615159361</v>
      </c>
      <c r="AO204" s="104">
        <f t="shared" ref="AO204:AO240" si="330">AN204*0.5144</f>
        <v>4.9294878242837976</v>
      </c>
      <c r="AP204" s="104">
        <f t="shared" ref="AP204:AP240" si="331">AO204/((9.81*$D$3)^0.5)</f>
        <v>0.18849012625907344</v>
      </c>
      <c r="AQ204" s="103">
        <f t="shared" ref="AQ204:AQ240" si="332">N204/AN204</f>
        <v>4.5701036065281114E-2</v>
      </c>
      <c r="AR204" s="100">
        <f t="shared" ref="AR204:AR240" si="333">(AO204*$D$3)/$U$3</f>
        <v>289296204.63726133</v>
      </c>
      <c r="AS204" s="100">
        <f t="shared" ref="AS204:AS240" si="334">0.075/((LOG(AR204)-2)^2)</f>
        <v>1.7964523679044918E-3</v>
      </c>
      <c r="AT204" s="104">
        <f t="shared" ref="AT204:AT235" si="335">0.5*1024*(AO204^2)*$W$5*$W$6*AS204</f>
        <v>721.154408154713</v>
      </c>
      <c r="AU204" s="100">
        <f t="shared" ref="AU204:AU240" si="336">0.5*1024*AS204*$U$10*(AO204)^2</f>
        <v>27849.57410532187</v>
      </c>
      <c r="AV204" s="297"/>
      <c r="AW204" s="297"/>
      <c r="AX204" s="297"/>
      <c r="AY204" s="297"/>
      <c r="AZ204" s="297"/>
      <c r="BA204" s="392"/>
      <c r="BB204" s="392"/>
      <c r="BC204" s="392"/>
      <c r="BD204" s="297"/>
      <c r="BE204" s="297"/>
      <c r="BF204" s="297"/>
      <c r="BG204" s="297"/>
      <c r="BH204" s="390"/>
      <c r="BI204" s="392"/>
      <c r="BJ204" s="392"/>
      <c r="BK204" s="392"/>
      <c r="BL204" s="104">
        <f t="shared" ref="BL204:BL240" si="337">$BK$140*($G$6^2)*EXP(-0.1*(AP204^-2))</f>
        <v>-6.8680355030777379E-2</v>
      </c>
      <c r="BM204" s="103">
        <f t="shared" ref="BM204:BM235" si="338">$BC$140*$BD$140*$BG$140*($D$3*$D$4*$AI$140*$AH$140)*1025*9.81*(EXP(($BK$140*(AP204^-0.9))+(BL204*COS($Y$10*(AP204^-2)))))</f>
        <v>2716.9243309337562</v>
      </c>
      <c r="BN204" s="100">
        <f t="shared" ref="BN204:BN240" si="339">0.5*1025*(AO204^2)*$AY$140*$W$3</f>
        <v>9135.6299353456561</v>
      </c>
      <c r="BO204" s="104">
        <f t="shared" ref="BO204:BO235" si="340">((AU204*$U$8)+AT204+BM204+BN204)/1000</f>
        <v>75.291791374942051</v>
      </c>
      <c r="BP204" s="170">
        <f t="shared" si="234"/>
        <v>86.58556008118336</v>
      </c>
      <c r="BQ204" s="104">
        <f t="shared" si="235"/>
        <v>426.82246417898659</v>
      </c>
      <c r="BR204" s="104">
        <f t="shared" ref="BR204:BR240" si="341">(1-$AB$4)*AO204</f>
        <v>3.5866509457159044</v>
      </c>
      <c r="BS204" s="104">
        <f t="shared" ref="BS204:BS240" si="342">BQ204/$AB$10</f>
        <v>1020.3844171315808</v>
      </c>
      <c r="BT204" s="104">
        <f t="shared" ref="BT204:BT235" si="343">BS204/$AG$4</f>
        <v>1041.2085889097764</v>
      </c>
      <c r="BU204" s="100">
        <f t="shared" ref="BU204:BU235" si="344">((BT204/$AG$5)/85%)</f>
        <v>1249.9502868064544</v>
      </c>
      <c r="BV204" s="100">
        <f t="shared" si="236"/>
        <v>624.97514340322721</v>
      </c>
      <c r="BW204" s="100">
        <f t="shared" si="237"/>
        <v>624.97514340322721</v>
      </c>
      <c r="BX204" s="104">
        <f t="shared" ref="BX204:BX240" si="345">(BU204/$AC$19)*100</f>
        <v>59.521442228878783</v>
      </c>
      <c r="BY204" s="104">
        <f t="shared" ref="BY204:BY240" si="346">((($AC$20*BV204*AQ204)/1000000))</f>
        <v>5.1183124730886619E-3</v>
      </c>
      <c r="BZ204" s="104">
        <f t="shared" ref="BZ204:BZ240" si="347">((($AC$20*BV204*AQ204)/1000000))</f>
        <v>5.1183124730886619E-3</v>
      </c>
      <c r="CA204" s="108">
        <f t="shared" ref="CA204:CA240" si="348">((($AC$20*BU204*AQ204)/1000000))</f>
        <v>1.0236624946177324E-2</v>
      </c>
      <c r="CB204" s="402"/>
      <c r="CC204" s="277"/>
      <c r="CD204" s="277"/>
      <c r="CE204" s="277"/>
      <c r="CF204" s="117"/>
    </row>
    <row r="205" spans="3:84" s="183" customFormat="1" ht="15.75" x14ac:dyDescent="0.25">
      <c r="C205" s="171">
        <v>66</v>
      </c>
      <c r="D205" s="379"/>
      <c r="E205" s="379"/>
      <c r="F205" s="172" t="s">
        <v>128</v>
      </c>
      <c r="G205" s="394">
        <v>0.225694444444445</v>
      </c>
      <c r="H205" s="173">
        <v>0.225694444444445</v>
      </c>
      <c r="I205" s="171">
        <v>-8.6699970000000004</v>
      </c>
      <c r="J205" s="171">
        <v>115.937551</v>
      </c>
      <c r="K205" s="171">
        <f t="shared" ref="K205:L240" si="349">RADIANS(I205)</f>
        <v>-0.15131999378803082</v>
      </c>
      <c r="L205" s="171">
        <f t="shared" si="349"/>
        <v>2.0234919916488443</v>
      </c>
      <c r="M205" s="171">
        <v>3443</v>
      </c>
      <c r="N205" s="235">
        <f t="shared" ref="N205:N236" si="350">2*M205*ASIN(((SIN((K205-K204)/2))^2+COS(K204)*COS(K205)*(SIN((L205-L204)/2))^2)^0.5)</f>
        <v>0.38884006813806904</v>
      </c>
      <c r="O205" s="358"/>
      <c r="P205" s="174">
        <f t="shared" ref="P205:P240" si="351">(H205-H204)*24</f>
        <v>4.9999999999991829E-2</v>
      </c>
      <c r="Q205" s="358"/>
      <c r="R205" s="175">
        <f t="shared" ref="R205:R240" si="352">N205/P205</f>
        <v>7.7768013627626518</v>
      </c>
      <c r="S205" s="348"/>
      <c r="T205" s="171">
        <f t="shared" si="200"/>
        <v>4.0003866210051076</v>
      </c>
      <c r="U205" s="176">
        <f t="shared" ref="U205:U240" si="353">LN(TAN((K205/2)+(3.14/4))/(TAN((K204/2)+(3.14/4))))</f>
        <v>-2.0341048116858023E-5</v>
      </c>
      <c r="V205" s="171">
        <f t="shared" ref="V205:V240" si="354">ABS(L204-L205)</f>
        <v>1.1241665712091731E-4</v>
      </c>
      <c r="W205" s="171">
        <f t="shared" ref="W205:W236" si="355">ATAN2(U205,V205)</f>
        <v>1.7498028728050039</v>
      </c>
      <c r="X205" s="171">
        <f t="shared" si="238"/>
        <v>100.25631959159354</v>
      </c>
      <c r="Y205" s="176">
        <f t="shared" si="239"/>
        <v>-2.0106192983010418E-5</v>
      </c>
      <c r="Z205" s="177">
        <f t="shared" si="240"/>
        <v>6.4409999999952561E-3</v>
      </c>
      <c r="AA205" s="178">
        <f t="shared" si="241"/>
        <v>100.25631959159354</v>
      </c>
      <c r="AB205" s="100">
        <v>200</v>
      </c>
      <c r="AC205" s="171">
        <v>13</v>
      </c>
      <c r="AD205" s="171">
        <v>4</v>
      </c>
      <c r="AE205" s="179">
        <f t="shared" ref="AE205:AE240" si="356">IF(AND(AA205&lt;=AB205,AB205&gt;AA205,(AB205-AA205)&lt;=180),AB205-AA205,IF(AND(AA205&lt;=AB205,AB205&gt;AA205,(AB205-AA205)&gt;180),360-AB205+AA205,IF(AND(AA205&lt;=180,AB205&lt;AA205),AA205-AB205,IF(AND(AA205&gt;180,AB205&lt;AA205,(AA205-AB205)&lt;=180),AA205-AB205,IF(AND(AA205&gt;180,AB205&lt;AA205,(AA205-AB205)&gt;180),360-AA205+AB205,IF(AND(AA205&gt;180,AB205&gt;AA205),AB205-AA205,0))))))</f>
        <v>99.743680408406462</v>
      </c>
      <c r="AF205" s="180">
        <f t="shared" si="324"/>
        <v>0.15296383846691294</v>
      </c>
      <c r="AG205" s="382"/>
      <c r="AH205" s="385"/>
      <c r="AI205" s="388"/>
      <c r="AJ205" s="171">
        <f t="shared" si="325"/>
        <v>1.5906304258109589</v>
      </c>
      <c r="AK205" s="171">
        <f t="shared" si="326"/>
        <v>0.33</v>
      </c>
      <c r="AL205" s="180">
        <f t="shared" si="327"/>
        <v>17.587905559497941</v>
      </c>
      <c r="AM205" s="180">
        <f t="shared" si="328"/>
        <v>9.2320330440449574</v>
      </c>
      <c r="AN205" s="180">
        <f t="shared" si="329"/>
        <v>8.5677818106649095</v>
      </c>
      <c r="AO205" s="180">
        <f t="shared" si="330"/>
        <v>4.4072669634060295</v>
      </c>
      <c r="AP205" s="180">
        <f t="shared" si="331"/>
        <v>0.1685218294479795</v>
      </c>
      <c r="AQ205" s="175">
        <f t="shared" si="332"/>
        <v>4.5383983477970104E-2</v>
      </c>
      <c r="AR205" s="171">
        <f t="shared" si="333"/>
        <v>258648697.54938421</v>
      </c>
      <c r="AS205" s="171">
        <f t="shared" si="334"/>
        <v>1.8238034064264931E-3</v>
      </c>
      <c r="AT205" s="180">
        <f t="shared" si="335"/>
        <v>585.22881046504358</v>
      </c>
      <c r="AU205" s="171">
        <f t="shared" si="336"/>
        <v>22600.393121522771</v>
      </c>
      <c r="AV205" s="297"/>
      <c r="AW205" s="297"/>
      <c r="AX205" s="297"/>
      <c r="AY205" s="297"/>
      <c r="AZ205" s="297"/>
      <c r="BA205" s="392"/>
      <c r="BB205" s="392"/>
      <c r="BC205" s="392"/>
      <c r="BD205" s="297"/>
      <c r="BE205" s="297"/>
      <c r="BF205" s="297"/>
      <c r="BG205" s="297"/>
      <c r="BH205" s="390"/>
      <c r="BI205" s="392"/>
      <c r="BJ205" s="392"/>
      <c r="BK205" s="392"/>
      <c r="BL205" s="180">
        <f t="shared" si="337"/>
        <v>-3.3883470207821426E-2</v>
      </c>
      <c r="BM205" s="175">
        <f t="shared" si="338"/>
        <v>770.33900478319833</v>
      </c>
      <c r="BN205" s="171">
        <f t="shared" si="339"/>
        <v>7302.5345175362472</v>
      </c>
      <c r="BO205" s="180">
        <f t="shared" si="340"/>
        <v>59.554870789605872</v>
      </c>
      <c r="BP205" s="181">
        <f t="shared" ref="BP205:BP240" si="357">BO205+(BO205*15%)</f>
        <v>68.488101408046759</v>
      </c>
      <c r="BQ205" s="180">
        <f t="shared" ref="BQ205:BQ240" si="358">BP205*AO205</f>
        <v>301.84534672208645</v>
      </c>
      <c r="BR205" s="180">
        <f t="shared" si="341"/>
        <v>3.2066877504904552</v>
      </c>
      <c r="BS205" s="180">
        <f t="shared" si="342"/>
        <v>721.60749264063577</v>
      </c>
      <c r="BT205" s="180">
        <f t="shared" si="343"/>
        <v>736.33417616391409</v>
      </c>
      <c r="BU205" s="171">
        <f t="shared" si="344"/>
        <v>883.95459323399052</v>
      </c>
      <c r="BV205" s="171">
        <f t="shared" ref="BV205:BV240" si="359">BU205/2</f>
        <v>441.97729661699526</v>
      </c>
      <c r="BW205" s="171">
        <f t="shared" ref="BW205:BW240" si="360">BU205/2</f>
        <v>441.97729661699526</v>
      </c>
      <c r="BX205" s="180">
        <f t="shared" si="345"/>
        <v>42.093075868285261</v>
      </c>
      <c r="BY205" s="180">
        <f t="shared" si="346"/>
        <v>3.5945173066528053E-3</v>
      </c>
      <c r="BZ205" s="180">
        <f t="shared" si="347"/>
        <v>3.5945173066528053E-3</v>
      </c>
      <c r="CA205" s="182">
        <f t="shared" si="348"/>
        <v>7.1890346133056107E-3</v>
      </c>
      <c r="CB205" s="402"/>
      <c r="CC205" s="276">
        <f t="shared" ref="CC205" si="361">SUM(CA205:CA209)*1000</f>
        <v>60.375401406658902</v>
      </c>
      <c r="CD205" s="276">
        <v>45</v>
      </c>
      <c r="CE205" s="276">
        <f t="shared" ref="CE205" si="362">AVERAGE(AN205:AN209)</f>
        <v>9.5857848071632059</v>
      </c>
      <c r="CF205" s="184"/>
    </row>
    <row r="206" spans="3:84" s="183" customFormat="1" ht="15.75" x14ac:dyDescent="0.25">
      <c r="C206" s="171">
        <v>67</v>
      </c>
      <c r="D206" s="379"/>
      <c r="E206" s="379"/>
      <c r="F206" s="172" t="s">
        <v>128</v>
      </c>
      <c r="G206" s="395"/>
      <c r="H206" s="173">
        <v>0.227777777777778</v>
      </c>
      <c r="I206" s="171">
        <v>-8.671875</v>
      </c>
      <c r="J206" s="171">
        <v>115.944079</v>
      </c>
      <c r="K206" s="171">
        <f t="shared" si="349"/>
        <v>-0.15135277107138326</v>
      </c>
      <c r="L206" s="171">
        <f t="shared" si="349"/>
        <v>2.0236059267424147</v>
      </c>
      <c r="M206" s="171">
        <v>3443</v>
      </c>
      <c r="N206" s="235">
        <f t="shared" si="350"/>
        <v>0.40388186246651203</v>
      </c>
      <c r="O206" s="357">
        <f t="shared" ref="O206" si="363">SUM(N206:N210)</f>
        <v>2.1737506239796804</v>
      </c>
      <c r="P206" s="174">
        <f t="shared" si="351"/>
        <v>4.9999999999991829E-2</v>
      </c>
      <c r="Q206" s="357">
        <f t="shared" ref="Q206" si="364">SUM(P206:P210)</f>
        <v>0.25000000000000777</v>
      </c>
      <c r="R206" s="175">
        <f t="shared" si="352"/>
        <v>8.0776372493315609</v>
      </c>
      <c r="S206" s="346">
        <f t="shared" ref="S206" si="365">AVERAGE(R206:R210)</f>
        <v>8.6950024959183008</v>
      </c>
      <c r="T206" s="171">
        <f t="shared" si="200"/>
        <v>4.1551366010561548</v>
      </c>
      <c r="U206" s="176">
        <f t="shared" si="353"/>
        <v>-3.3160280568807005E-5</v>
      </c>
      <c r="V206" s="171">
        <f t="shared" si="354"/>
        <v>1.1393509357038312E-4</v>
      </c>
      <c r="W206" s="171">
        <f t="shared" si="355"/>
        <v>1.854017746172328</v>
      </c>
      <c r="X206" s="171">
        <f t="shared" ref="X206:X240" si="366">DEGREES(W206)</f>
        <v>106.22739199803154</v>
      </c>
      <c r="Y206" s="176">
        <f t="shared" ref="Y206:Y240" si="367">K206-K205</f>
        <v>-3.2777283352436459E-5</v>
      </c>
      <c r="Z206" s="177">
        <f t="shared" ref="Z206:Z240" si="368">J206-J205</f>
        <v>6.5280000000029759E-3</v>
      </c>
      <c r="AA206" s="178">
        <f t="shared" ref="AA206:AA240" si="369">IF(AND(Y206&gt;0,Z206&gt;0),X206,IF(AND(Y206&lt;0,Z206&gt;0),X206,IF(AND(Y206&lt;0,Z206&lt;0),360-X206,360-X206)))</f>
        <v>106.22739199803154</v>
      </c>
      <c r="AB206" s="100">
        <v>200</v>
      </c>
      <c r="AC206" s="171">
        <v>13</v>
      </c>
      <c r="AD206" s="171">
        <v>4</v>
      </c>
      <c r="AE206" s="179">
        <f t="shared" si="356"/>
        <v>93.772608001968464</v>
      </c>
      <c r="AF206" s="180">
        <f t="shared" si="324"/>
        <v>0.15888105427475377</v>
      </c>
      <c r="AG206" s="382"/>
      <c r="AH206" s="385"/>
      <c r="AI206" s="388"/>
      <c r="AJ206" s="171">
        <f t="shared" si="325"/>
        <v>1.5579384270607803</v>
      </c>
      <c r="AK206" s="171">
        <f t="shared" si="326"/>
        <v>0.33</v>
      </c>
      <c r="AL206" s="180">
        <f t="shared" si="327"/>
        <v>17.587905559497941</v>
      </c>
      <c r="AM206" s="180">
        <f t="shared" si="328"/>
        <v>9.0422883944770671</v>
      </c>
      <c r="AN206" s="180">
        <f t="shared" si="329"/>
        <v>8.8806513562738854</v>
      </c>
      <c r="AO206" s="180">
        <f t="shared" si="330"/>
        <v>4.5682070576672862</v>
      </c>
      <c r="AP206" s="180">
        <f t="shared" si="331"/>
        <v>0.1746757382857316</v>
      </c>
      <c r="AQ206" s="175">
        <f t="shared" si="332"/>
        <v>4.5478855802754029E-2</v>
      </c>
      <c r="AR206" s="171">
        <f t="shared" si="333"/>
        <v>268093767.7277469</v>
      </c>
      <c r="AS206" s="171">
        <f t="shared" si="334"/>
        <v>1.8149755755341435E-3</v>
      </c>
      <c r="AT206" s="180">
        <f t="shared" si="335"/>
        <v>625.70742032324449</v>
      </c>
      <c r="AU206" s="171">
        <f t="shared" si="336"/>
        <v>24163.5979389362</v>
      </c>
      <c r="AV206" s="297"/>
      <c r="AW206" s="297"/>
      <c r="AX206" s="297"/>
      <c r="AY206" s="297"/>
      <c r="AZ206" s="297"/>
      <c r="BA206" s="392"/>
      <c r="BB206" s="392"/>
      <c r="BC206" s="392"/>
      <c r="BD206" s="297"/>
      <c r="BE206" s="297"/>
      <c r="BF206" s="297"/>
      <c r="BG206" s="297"/>
      <c r="BH206" s="390"/>
      <c r="BI206" s="392"/>
      <c r="BJ206" s="392"/>
      <c r="BK206" s="392"/>
      <c r="BL206" s="180">
        <f t="shared" si="337"/>
        <v>-4.3235512690951723E-2</v>
      </c>
      <c r="BM206" s="175">
        <f t="shared" si="338"/>
        <v>1164.0487335418752</v>
      </c>
      <c r="BN206" s="171">
        <f t="shared" si="339"/>
        <v>7845.6054373947236</v>
      </c>
      <c r="BO206" s="180">
        <f t="shared" si="340"/>
        <v>64.052514548238904</v>
      </c>
      <c r="BP206" s="181">
        <f t="shared" si="357"/>
        <v>73.660391730474743</v>
      </c>
      <c r="BQ206" s="180">
        <f t="shared" si="358"/>
        <v>336.49592137369171</v>
      </c>
      <c r="BR206" s="180">
        <f t="shared" si="341"/>
        <v>3.3237863136397836</v>
      </c>
      <c r="BS206" s="180">
        <f t="shared" si="342"/>
        <v>804.44499391218494</v>
      </c>
      <c r="BT206" s="180">
        <f t="shared" si="343"/>
        <v>820.86223868590298</v>
      </c>
      <c r="BU206" s="171">
        <f t="shared" si="344"/>
        <v>985.42885796627013</v>
      </c>
      <c r="BV206" s="171">
        <f t="shared" si="359"/>
        <v>492.71442898313506</v>
      </c>
      <c r="BW206" s="171">
        <f t="shared" si="360"/>
        <v>492.71442898313506</v>
      </c>
      <c r="BX206" s="180">
        <f t="shared" si="345"/>
        <v>46.925183712679527</v>
      </c>
      <c r="BY206" s="180">
        <f t="shared" si="346"/>
        <v>4.0155294534047238E-3</v>
      </c>
      <c r="BZ206" s="180">
        <f t="shared" si="347"/>
        <v>4.0155294534047238E-3</v>
      </c>
      <c r="CA206" s="182">
        <f t="shared" si="348"/>
        <v>8.0310589068094476E-3</v>
      </c>
      <c r="CB206" s="402"/>
      <c r="CC206" s="277"/>
      <c r="CD206" s="277"/>
      <c r="CE206" s="277"/>
      <c r="CF206" s="184"/>
    </row>
    <row r="207" spans="3:84" s="183" customFormat="1" ht="15.75" x14ac:dyDescent="0.25">
      <c r="C207" s="171">
        <v>68</v>
      </c>
      <c r="D207" s="379"/>
      <c r="E207" s="379"/>
      <c r="F207" s="172" t="s">
        <v>128</v>
      </c>
      <c r="G207" s="395"/>
      <c r="H207" s="173">
        <v>0.22986111111111199</v>
      </c>
      <c r="I207" s="171">
        <v>-8.6742869999999996</v>
      </c>
      <c r="J207" s="171">
        <v>115.953548</v>
      </c>
      <c r="K207" s="171">
        <f t="shared" si="349"/>
        <v>-0.15139486841294136</v>
      </c>
      <c r="L207" s="171">
        <f t="shared" si="349"/>
        <v>2.0237711919692858</v>
      </c>
      <c r="M207" s="171">
        <v>3443</v>
      </c>
      <c r="N207" s="235">
        <f t="shared" si="350"/>
        <v>0.58087507232154556</v>
      </c>
      <c r="O207" s="331"/>
      <c r="P207" s="174">
        <f t="shared" si="351"/>
        <v>5.000000000001581E-2</v>
      </c>
      <c r="Q207" s="331"/>
      <c r="R207" s="175">
        <f t="shared" si="352"/>
        <v>11.617501446427237</v>
      </c>
      <c r="S207" s="347"/>
      <c r="T207" s="171">
        <f t="shared" si="200"/>
        <v>5.9760427440421706</v>
      </c>
      <c r="U207" s="176">
        <f t="shared" si="353"/>
        <v>-4.2589486621828514E-5</v>
      </c>
      <c r="V207" s="171">
        <f t="shared" si="354"/>
        <v>1.6526522687110301E-4</v>
      </c>
      <c r="W207" s="171">
        <f t="shared" si="355"/>
        <v>1.8230124344519529</v>
      </c>
      <c r="X207" s="171">
        <f t="shared" si="366"/>
        <v>104.45091849396654</v>
      </c>
      <c r="Y207" s="176">
        <f t="shared" si="367"/>
        <v>-4.2097341558106072E-5</v>
      </c>
      <c r="Z207" s="177">
        <f t="shared" si="368"/>
        <v>9.4689999999957308E-3</v>
      </c>
      <c r="AA207" s="178">
        <f t="shared" si="369"/>
        <v>104.45091849396654</v>
      </c>
      <c r="AB207" s="100">
        <v>200</v>
      </c>
      <c r="AC207" s="171">
        <v>13</v>
      </c>
      <c r="AD207" s="171">
        <v>4</v>
      </c>
      <c r="AE207" s="179">
        <f t="shared" si="356"/>
        <v>95.54908150603346</v>
      </c>
      <c r="AF207" s="180">
        <f t="shared" si="324"/>
        <v>0.22850752279072442</v>
      </c>
      <c r="AG207" s="382"/>
      <c r="AH207" s="385"/>
      <c r="AI207" s="388"/>
      <c r="AJ207" s="171">
        <f t="shared" si="325"/>
        <v>1.122239019695241</v>
      </c>
      <c r="AK207" s="171">
        <f t="shared" si="326"/>
        <v>0.33</v>
      </c>
      <c r="AL207" s="180">
        <f t="shared" si="327"/>
        <v>17.587905559497941</v>
      </c>
      <c r="AM207" s="180">
        <f t="shared" si="328"/>
        <v>6.5134851848825379</v>
      </c>
      <c r="AN207" s="180">
        <f t="shared" si="329"/>
        <v>12.426927530031959</v>
      </c>
      <c r="AO207" s="180">
        <f t="shared" si="330"/>
        <v>6.3924115214484392</v>
      </c>
      <c r="AP207" s="180">
        <f t="shared" si="331"/>
        <v>0.24442832556399147</v>
      </c>
      <c r="AQ207" s="175">
        <f t="shared" si="332"/>
        <v>4.6743257407573513E-2</v>
      </c>
      <c r="AR207" s="171">
        <f t="shared" si="333"/>
        <v>375150615.55167115</v>
      </c>
      <c r="AS207" s="171">
        <f t="shared" si="334"/>
        <v>1.7353004966371949E-3</v>
      </c>
      <c r="AT207" s="180">
        <f t="shared" si="335"/>
        <v>1171.4212599519547</v>
      </c>
      <c r="AU207" s="171">
        <f t="shared" si="336"/>
        <v>45238.000099116871</v>
      </c>
      <c r="AV207" s="297"/>
      <c r="AW207" s="297"/>
      <c r="AX207" s="297"/>
      <c r="AY207" s="297"/>
      <c r="AZ207" s="297"/>
      <c r="BA207" s="392"/>
      <c r="BB207" s="392"/>
      <c r="BC207" s="392"/>
      <c r="BD207" s="297"/>
      <c r="BE207" s="297"/>
      <c r="BF207" s="297"/>
      <c r="BG207" s="297"/>
      <c r="BH207" s="390"/>
      <c r="BI207" s="392"/>
      <c r="BJ207" s="392"/>
      <c r="BK207" s="392"/>
      <c r="BL207" s="180">
        <f t="shared" si="337"/>
        <v>-0.21493342426095252</v>
      </c>
      <c r="BM207" s="175">
        <f t="shared" si="338"/>
        <v>31525.657399449341</v>
      </c>
      <c r="BN207" s="171">
        <f t="shared" si="339"/>
        <v>15362.58693766798</v>
      </c>
      <c r="BO207" s="180">
        <f t="shared" si="340"/>
        <v>149.93700923945624</v>
      </c>
      <c r="BP207" s="181">
        <f t="shared" si="357"/>
        <v>172.42756062537467</v>
      </c>
      <c r="BQ207" s="180">
        <f t="shared" si="358"/>
        <v>1102.2279251568943</v>
      </c>
      <c r="BR207" s="180">
        <f t="shared" si="341"/>
        <v>4.6510610526032465</v>
      </c>
      <c r="BS207" s="180">
        <f t="shared" si="342"/>
        <v>2635.0445286912818</v>
      </c>
      <c r="BT207" s="180">
        <f t="shared" si="343"/>
        <v>2688.8209476441652</v>
      </c>
      <c r="BU207" s="171">
        <f t="shared" si="344"/>
        <v>3227.8762876880737</v>
      </c>
      <c r="BV207" s="171">
        <f t="shared" si="359"/>
        <v>1613.9381438440369</v>
      </c>
      <c r="BW207" s="171">
        <f t="shared" si="360"/>
        <v>1613.9381438440369</v>
      </c>
      <c r="BX207" s="180">
        <f t="shared" si="345"/>
        <v>153.70839465181302</v>
      </c>
      <c r="BY207" s="180">
        <f t="shared" si="346"/>
        <v>1.3518978116690497E-2</v>
      </c>
      <c r="BZ207" s="180">
        <f t="shared" si="347"/>
        <v>1.3518978116690497E-2</v>
      </c>
      <c r="CA207" s="182">
        <f t="shared" si="348"/>
        <v>2.7037956233380993E-2</v>
      </c>
      <c r="CB207" s="402"/>
      <c r="CC207" s="277"/>
      <c r="CD207" s="277"/>
      <c r="CE207" s="277"/>
      <c r="CF207" s="184"/>
    </row>
    <row r="208" spans="3:84" s="183" customFormat="1" ht="15.75" x14ac:dyDescent="0.25">
      <c r="C208" s="171">
        <v>69</v>
      </c>
      <c r="D208" s="379"/>
      <c r="E208" s="379"/>
      <c r="F208" s="172" t="s">
        <v>128</v>
      </c>
      <c r="G208" s="395"/>
      <c r="H208" s="173">
        <v>0.23194444444444501</v>
      </c>
      <c r="I208" s="171">
        <v>-8.6760999999999999</v>
      </c>
      <c r="J208" s="171">
        <v>115.96119899999999</v>
      </c>
      <c r="K208" s="171">
        <f t="shared" si="349"/>
        <v>-0.15142651123228001</v>
      </c>
      <c r="L208" s="171">
        <f t="shared" si="349"/>
        <v>2.0239047271103559</v>
      </c>
      <c r="M208" s="171">
        <v>3443</v>
      </c>
      <c r="N208" s="235">
        <f t="shared" si="350"/>
        <v>0.46737659817899935</v>
      </c>
      <c r="O208" s="331"/>
      <c r="P208" s="174">
        <f t="shared" si="351"/>
        <v>4.9999999999992495E-2</v>
      </c>
      <c r="Q208" s="331"/>
      <c r="R208" s="175">
        <f t="shared" si="352"/>
        <v>9.3475319635813907</v>
      </c>
      <c r="S208" s="347"/>
      <c r="T208" s="171">
        <f t="shared" si="200"/>
        <v>4.8083704420662672</v>
      </c>
      <c r="U208" s="176">
        <f t="shared" si="353"/>
        <v>-3.2012925326951006E-5</v>
      </c>
      <c r="V208" s="171">
        <f t="shared" si="354"/>
        <v>1.3353514107006248E-4</v>
      </c>
      <c r="W208" s="171">
        <f t="shared" si="355"/>
        <v>1.8060898631674662</v>
      </c>
      <c r="X208" s="171">
        <f t="shared" si="366"/>
        <v>103.48132658085616</v>
      </c>
      <c r="Y208" s="176">
        <f t="shared" si="367"/>
        <v>-3.1642819338650874E-5</v>
      </c>
      <c r="Z208" s="177">
        <f t="shared" si="368"/>
        <v>7.6509999999956335E-3</v>
      </c>
      <c r="AA208" s="178">
        <f t="shared" si="369"/>
        <v>103.48132658085616</v>
      </c>
      <c r="AB208" s="100">
        <v>200</v>
      </c>
      <c r="AC208" s="171">
        <v>13</v>
      </c>
      <c r="AD208" s="171">
        <v>4</v>
      </c>
      <c r="AE208" s="179">
        <f t="shared" si="356"/>
        <v>96.518673419143838</v>
      </c>
      <c r="AF208" s="180">
        <f t="shared" si="324"/>
        <v>0.18385892896634706</v>
      </c>
      <c r="AG208" s="382"/>
      <c r="AH208" s="385"/>
      <c r="AI208" s="388"/>
      <c r="AJ208" s="171">
        <f t="shared" si="325"/>
        <v>1.4124528517058055</v>
      </c>
      <c r="AK208" s="171">
        <f t="shared" si="326"/>
        <v>0.33</v>
      </c>
      <c r="AL208" s="180">
        <f t="shared" si="327"/>
        <v>17.587905559497941</v>
      </c>
      <c r="AM208" s="180">
        <f t="shared" si="328"/>
        <v>8.1978888298049348</v>
      </c>
      <c r="AN208" s="180">
        <f t="shared" si="329"/>
        <v>10.182262525805841</v>
      </c>
      <c r="AO208" s="180">
        <f t="shared" si="330"/>
        <v>5.2377558432745248</v>
      </c>
      <c r="AP208" s="180">
        <f t="shared" si="331"/>
        <v>0.20027745181751291</v>
      </c>
      <c r="AQ208" s="175">
        <f t="shared" si="332"/>
        <v>4.5901055585090639E-2</v>
      </c>
      <c r="AR208" s="171">
        <f t="shared" si="333"/>
        <v>307387489.38813126</v>
      </c>
      <c r="AS208" s="171">
        <f t="shared" si="334"/>
        <v>1.7818928861022731E-3</v>
      </c>
      <c r="AT208" s="180">
        <f t="shared" si="335"/>
        <v>807.57162950627719</v>
      </c>
      <c r="AU208" s="171">
        <f t="shared" si="336"/>
        <v>31186.838334441123</v>
      </c>
      <c r="AV208" s="297"/>
      <c r="AW208" s="297"/>
      <c r="AX208" s="297"/>
      <c r="AY208" s="297"/>
      <c r="AZ208" s="297"/>
      <c r="BA208" s="392"/>
      <c r="BB208" s="392"/>
      <c r="BC208" s="392"/>
      <c r="BD208" s="297"/>
      <c r="BE208" s="297"/>
      <c r="BF208" s="297"/>
      <c r="BG208" s="297"/>
      <c r="BH208" s="390"/>
      <c r="BI208" s="392"/>
      <c r="BJ208" s="392"/>
      <c r="BK208" s="392"/>
      <c r="BL208" s="180">
        <f t="shared" si="337"/>
        <v>-9.4729424626014899E-2</v>
      </c>
      <c r="BM208" s="175">
        <f t="shared" si="338"/>
        <v>5160.7192810114311</v>
      </c>
      <c r="BN208" s="171">
        <f t="shared" si="339"/>
        <v>10313.959042870873</v>
      </c>
      <c r="BO208" s="180">
        <f t="shared" si="340"/>
        <v>86.515952574107459</v>
      </c>
      <c r="BP208" s="181">
        <f t="shared" si="357"/>
        <v>99.49334546022358</v>
      </c>
      <c r="BQ208" s="180">
        <f t="shared" si="358"/>
        <v>521.12185155121699</v>
      </c>
      <c r="BR208" s="180">
        <f t="shared" si="341"/>
        <v>3.8109439800551668</v>
      </c>
      <c r="BS208" s="180">
        <f t="shared" si="342"/>
        <v>1245.8215332514301</v>
      </c>
      <c r="BT208" s="180">
        <f t="shared" si="343"/>
        <v>1271.2464625014593</v>
      </c>
      <c r="BU208" s="171">
        <f t="shared" si="344"/>
        <v>1526.1061974807433</v>
      </c>
      <c r="BV208" s="171">
        <f t="shared" si="359"/>
        <v>763.05309874037164</v>
      </c>
      <c r="BW208" s="171">
        <f t="shared" si="360"/>
        <v>763.05309874037164</v>
      </c>
      <c r="BX208" s="180">
        <f t="shared" si="345"/>
        <v>72.671723689559215</v>
      </c>
      <c r="BY208" s="180">
        <f t="shared" si="346"/>
        <v>6.2764697317786149E-3</v>
      </c>
      <c r="BZ208" s="180">
        <f t="shared" si="347"/>
        <v>6.2764697317786149E-3</v>
      </c>
      <c r="CA208" s="182">
        <f t="shared" si="348"/>
        <v>1.255293946355723E-2</v>
      </c>
      <c r="CB208" s="402"/>
      <c r="CC208" s="277"/>
      <c r="CD208" s="277"/>
      <c r="CE208" s="277"/>
      <c r="CF208" s="184"/>
    </row>
    <row r="209" spans="3:84" s="183" customFormat="1" ht="15.75" x14ac:dyDescent="0.25">
      <c r="C209" s="171">
        <v>70</v>
      </c>
      <c r="D209" s="379"/>
      <c r="E209" s="379"/>
      <c r="F209" s="172" t="s">
        <v>128</v>
      </c>
      <c r="G209" s="396"/>
      <c r="H209" s="173">
        <v>0.234027777777778</v>
      </c>
      <c r="I209" s="171">
        <v>-8.6779220000000006</v>
      </c>
      <c r="J209" s="171">
        <v>115.96689499999999</v>
      </c>
      <c r="K209" s="171">
        <f t="shared" si="349"/>
        <v>-0.15145831113125138</v>
      </c>
      <c r="L209" s="171">
        <f t="shared" si="349"/>
        <v>2.0240041410645495</v>
      </c>
      <c r="M209" s="171">
        <v>3443</v>
      </c>
      <c r="N209" s="235">
        <f t="shared" si="350"/>
        <v>0.35563752960487871</v>
      </c>
      <c r="O209" s="331"/>
      <c r="P209" s="174">
        <f t="shared" si="351"/>
        <v>4.9999999999991829E-2</v>
      </c>
      <c r="Q209" s="331"/>
      <c r="R209" s="175">
        <f t="shared" si="352"/>
        <v>7.1127505920987364</v>
      </c>
      <c r="S209" s="347"/>
      <c r="T209" s="171">
        <f t="shared" si="200"/>
        <v>3.65879890457559</v>
      </c>
      <c r="U209" s="176">
        <f t="shared" si="353"/>
        <v>-3.2171998780309937E-5</v>
      </c>
      <c r="V209" s="171">
        <f t="shared" si="354"/>
        <v>9.9413954193661169E-5</v>
      </c>
      <c r="W209" s="171">
        <f t="shared" si="355"/>
        <v>1.8837764151592302</v>
      </c>
      <c r="X209" s="171">
        <f t="shared" si="366"/>
        <v>107.93243813490788</v>
      </c>
      <c r="Y209" s="176">
        <f t="shared" si="367"/>
        <v>-3.179989897136859E-5</v>
      </c>
      <c r="Z209" s="177">
        <f t="shared" si="368"/>
        <v>5.6960000000003674E-3</v>
      </c>
      <c r="AA209" s="178">
        <f t="shared" si="369"/>
        <v>107.93243813490788</v>
      </c>
      <c r="AB209" s="100">
        <v>200</v>
      </c>
      <c r="AC209" s="171">
        <v>13</v>
      </c>
      <c r="AD209" s="171">
        <v>4</v>
      </c>
      <c r="AE209" s="179">
        <f t="shared" si="356"/>
        <v>92.067561865092117</v>
      </c>
      <c r="AF209" s="180">
        <f t="shared" si="324"/>
        <v>0.13990245884829039</v>
      </c>
      <c r="AG209" s="382"/>
      <c r="AH209" s="385"/>
      <c r="AI209" s="388"/>
      <c r="AJ209" s="171">
        <f t="shared" si="325"/>
        <v>1.6603886823588376</v>
      </c>
      <c r="AK209" s="171">
        <f t="shared" si="326"/>
        <v>0.33</v>
      </c>
      <c r="AL209" s="180">
        <f t="shared" si="327"/>
        <v>17.587905559497941</v>
      </c>
      <c r="AM209" s="180">
        <f t="shared" si="328"/>
        <v>9.6369105813375313</v>
      </c>
      <c r="AN209" s="180">
        <f t="shared" si="329"/>
        <v>7.8713008130394417</v>
      </c>
      <c r="AO209" s="180">
        <f t="shared" si="330"/>
        <v>4.048997138227489</v>
      </c>
      <c r="AP209" s="180">
        <f t="shared" si="331"/>
        <v>0.1548225716366407</v>
      </c>
      <c r="AQ209" s="175">
        <f t="shared" si="332"/>
        <v>4.5181544709323854E-2</v>
      </c>
      <c r="AR209" s="171">
        <f t="shared" si="333"/>
        <v>237622963.36466381</v>
      </c>
      <c r="AS209" s="171">
        <f t="shared" si="334"/>
        <v>1.8449298124821878E-3</v>
      </c>
      <c r="AT209" s="180">
        <f t="shared" si="335"/>
        <v>499.67054360701803</v>
      </c>
      <c r="AU209" s="171">
        <f t="shared" si="336"/>
        <v>19296.300036544631</v>
      </c>
      <c r="AV209" s="297"/>
      <c r="AW209" s="297"/>
      <c r="AX209" s="297"/>
      <c r="AY209" s="297"/>
      <c r="AZ209" s="297"/>
      <c r="BA209" s="392"/>
      <c r="BB209" s="392"/>
      <c r="BC209" s="392"/>
      <c r="BD209" s="297"/>
      <c r="BE209" s="297"/>
      <c r="BF209" s="297"/>
      <c r="BG209" s="297"/>
      <c r="BH209" s="390"/>
      <c r="BI209" s="392"/>
      <c r="BJ209" s="392"/>
      <c r="BK209" s="392"/>
      <c r="BL209" s="180">
        <f t="shared" si="337"/>
        <v>-1.7676326387350977E-2</v>
      </c>
      <c r="BM209" s="175">
        <f t="shared" si="338"/>
        <v>280.8155817424684</v>
      </c>
      <c r="BN209" s="171">
        <f t="shared" si="339"/>
        <v>6163.5346530937722</v>
      </c>
      <c r="BO209" s="180">
        <f t="shared" si="340"/>
        <v>50.399871734331093</v>
      </c>
      <c r="BP209" s="181">
        <f t="shared" si="357"/>
        <v>57.959852494480756</v>
      </c>
      <c r="BQ209" s="180">
        <f t="shared" si="358"/>
        <v>234.67927688223998</v>
      </c>
      <c r="BR209" s="180">
        <f t="shared" si="341"/>
        <v>2.9460138522879009</v>
      </c>
      <c r="BS209" s="180">
        <f t="shared" si="342"/>
        <v>561.0367242852692</v>
      </c>
      <c r="BT209" s="180">
        <f t="shared" si="343"/>
        <v>572.48645335231549</v>
      </c>
      <c r="BU209" s="171">
        <f t="shared" si="344"/>
        <v>687.25864748177139</v>
      </c>
      <c r="BV209" s="171">
        <f t="shared" si="359"/>
        <v>343.6293237408857</v>
      </c>
      <c r="BW209" s="171">
        <f t="shared" si="360"/>
        <v>343.6293237408857</v>
      </c>
      <c r="BX209" s="180">
        <f t="shared" si="345"/>
        <v>32.726602261036732</v>
      </c>
      <c r="BY209" s="180">
        <f t="shared" si="346"/>
        <v>2.7822060948028116E-3</v>
      </c>
      <c r="BZ209" s="180">
        <f t="shared" si="347"/>
        <v>2.7822060948028116E-3</v>
      </c>
      <c r="CA209" s="182">
        <f t="shared" si="348"/>
        <v>5.5644121896056232E-3</v>
      </c>
      <c r="CB209" s="402"/>
      <c r="CC209" s="277"/>
      <c r="CD209" s="277"/>
      <c r="CE209" s="277"/>
      <c r="CF209" s="184"/>
    </row>
    <row r="210" spans="3:84" s="109" customFormat="1" ht="15.75" x14ac:dyDescent="0.25">
      <c r="C210" s="100">
        <v>71</v>
      </c>
      <c r="D210" s="379"/>
      <c r="E210" s="379"/>
      <c r="F210" s="163" t="s">
        <v>128</v>
      </c>
      <c r="G210" s="255">
        <v>0.23611111111111099</v>
      </c>
      <c r="H210" s="101">
        <v>0.23611111111111199</v>
      </c>
      <c r="I210" s="100">
        <v>-8.6792440000000006</v>
      </c>
      <c r="J210" s="100">
        <v>115.972909</v>
      </c>
      <c r="K210" s="100">
        <f t="shared" si="349"/>
        <v>-0.15148138438396275</v>
      </c>
      <c r="L210" s="100">
        <f t="shared" si="349"/>
        <v>2.0241091051657647</v>
      </c>
      <c r="M210" s="100">
        <v>3443</v>
      </c>
      <c r="N210" s="234">
        <f t="shared" si="350"/>
        <v>0.36597956140774474</v>
      </c>
      <c r="O210" s="358"/>
      <c r="P210" s="102">
        <f t="shared" si="351"/>
        <v>5.000000000001581E-2</v>
      </c>
      <c r="Q210" s="358"/>
      <c r="R210" s="103">
        <f t="shared" si="352"/>
        <v>7.3195912281525803</v>
      </c>
      <c r="S210" s="348"/>
      <c r="T210" s="100">
        <f t="shared" si="200"/>
        <v>3.765197727761687</v>
      </c>
      <c r="U210" s="165">
        <f t="shared" si="353"/>
        <v>-2.3343337781952236E-5</v>
      </c>
      <c r="V210" s="100">
        <f t="shared" si="354"/>
        <v>1.0496410121518807E-4</v>
      </c>
      <c r="W210" s="100">
        <f t="shared" si="355"/>
        <v>1.7896285201473217</v>
      </c>
      <c r="X210" s="100">
        <f t="shared" si="366"/>
        <v>102.53816110068475</v>
      </c>
      <c r="Y210" s="165">
        <f t="shared" si="367"/>
        <v>-2.3073252711364178E-5</v>
      </c>
      <c r="Z210" s="166">
        <f t="shared" si="368"/>
        <v>6.0140000000075133E-3</v>
      </c>
      <c r="AA210" s="167">
        <f t="shared" si="369"/>
        <v>102.53816110068475</v>
      </c>
      <c r="AB210" s="100">
        <v>200</v>
      </c>
      <c r="AC210" s="100">
        <v>13</v>
      </c>
      <c r="AD210" s="100">
        <v>4</v>
      </c>
      <c r="AE210" s="169">
        <f t="shared" si="356"/>
        <v>97.461838899315254</v>
      </c>
      <c r="AF210" s="104">
        <f t="shared" si="324"/>
        <v>0.14397085871680576</v>
      </c>
      <c r="AG210" s="382"/>
      <c r="AH210" s="385"/>
      <c r="AI210" s="388"/>
      <c r="AJ210" s="100">
        <f t="shared" si="325"/>
        <v>1.6390150540593376</v>
      </c>
      <c r="AK210" s="100">
        <f t="shared" si="326"/>
        <v>0.33</v>
      </c>
      <c r="AL210" s="104">
        <f t="shared" si="327"/>
        <v>17.587905559497941</v>
      </c>
      <c r="AM210" s="104">
        <f t="shared" si="328"/>
        <v>9.5128578538590443</v>
      </c>
      <c r="AN210" s="104">
        <f t="shared" si="329"/>
        <v>8.0890953726122756</v>
      </c>
      <c r="AO210" s="104">
        <f t="shared" si="330"/>
        <v>4.1610306596717539</v>
      </c>
      <c r="AP210" s="104">
        <f t="shared" si="331"/>
        <v>0.15910642694879906</v>
      </c>
      <c r="AQ210" s="103">
        <f t="shared" si="332"/>
        <v>4.5243571073084785E-2</v>
      </c>
      <c r="AR210" s="100">
        <f t="shared" si="333"/>
        <v>244197859.92619088</v>
      </c>
      <c r="AS210" s="100">
        <f t="shared" si="334"/>
        <v>1.8380890584422604E-3</v>
      </c>
      <c r="AT210" s="104">
        <f t="shared" si="335"/>
        <v>525.74765094249449</v>
      </c>
      <c r="AU210" s="100">
        <f t="shared" si="336"/>
        <v>20303.346967104309</v>
      </c>
      <c r="AV210" s="297"/>
      <c r="AW210" s="297"/>
      <c r="AX210" s="297"/>
      <c r="AY210" s="297"/>
      <c r="AZ210" s="297"/>
      <c r="BA210" s="392"/>
      <c r="BB210" s="392"/>
      <c r="BC210" s="392"/>
      <c r="BD210" s="297"/>
      <c r="BE210" s="297"/>
      <c r="BF210" s="297"/>
      <c r="BG210" s="297"/>
      <c r="BH210" s="390"/>
      <c r="BI210" s="392"/>
      <c r="BJ210" s="392"/>
      <c r="BK210" s="392"/>
      <c r="BL210" s="104">
        <f t="shared" si="337"/>
        <v>-2.2061919621397207E-2</v>
      </c>
      <c r="BM210" s="103">
        <f t="shared" si="338"/>
        <v>390.74071532684326</v>
      </c>
      <c r="BN210" s="100">
        <f t="shared" si="339"/>
        <v>6509.3366659888397</v>
      </c>
      <c r="BO210" s="104">
        <f t="shared" si="340"/>
        <v>53.149576115999849</v>
      </c>
      <c r="BP210" s="170">
        <f t="shared" si="357"/>
        <v>61.122012533399825</v>
      </c>
      <c r="BQ210" s="104">
        <f t="shared" si="358"/>
        <v>254.33056813231789</v>
      </c>
      <c r="BR210" s="104">
        <f t="shared" si="341"/>
        <v>3.0275284335108168</v>
      </c>
      <c r="BS210" s="104">
        <f t="shared" si="342"/>
        <v>608.01614324969603</v>
      </c>
      <c r="BT210" s="104">
        <f t="shared" si="343"/>
        <v>620.4246359690776</v>
      </c>
      <c r="BU210" s="100">
        <f t="shared" si="344"/>
        <v>744.80748615735604</v>
      </c>
      <c r="BV210" s="100">
        <f t="shared" si="359"/>
        <v>372.40374307867802</v>
      </c>
      <c r="BW210" s="100">
        <f t="shared" si="360"/>
        <v>372.40374307867802</v>
      </c>
      <c r="BX210" s="104">
        <f t="shared" si="345"/>
        <v>35.467023150350286</v>
      </c>
      <c r="BY210" s="104">
        <f t="shared" si="346"/>
        <v>3.0193184390410448E-3</v>
      </c>
      <c r="BZ210" s="104">
        <f t="shared" si="347"/>
        <v>3.0193184390410448E-3</v>
      </c>
      <c r="CA210" s="108">
        <f t="shared" si="348"/>
        <v>6.0386368780820897E-3</v>
      </c>
      <c r="CB210" s="402"/>
      <c r="CC210" s="276">
        <f t="shared" ref="CC210" si="370">SUM(CA210:CA214)*1000</f>
        <v>40.507699961541924</v>
      </c>
      <c r="CD210" s="276">
        <v>47</v>
      </c>
      <c r="CE210" s="276">
        <f t="shared" ref="CE210" si="371">AVERAGE(AN210:AN214)</f>
        <v>8.8517750907623451</v>
      </c>
      <c r="CF210" s="117"/>
    </row>
    <row r="211" spans="3:84" s="109" customFormat="1" ht="15.75" x14ac:dyDescent="0.25">
      <c r="C211" s="100">
        <v>72</v>
      </c>
      <c r="D211" s="379"/>
      <c r="E211" s="379"/>
      <c r="F211" s="163" t="s">
        <v>128</v>
      </c>
      <c r="G211" s="256"/>
      <c r="H211" s="101">
        <v>0.23819444444444501</v>
      </c>
      <c r="I211" s="100">
        <v>-8.6819450000000007</v>
      </c>
      <c r="J211" s="100">
        <v>115.979258</v>
      </c>
      <c r="K211" s="100">
        <f t="shared" si="349"/>
        <v>-0.1515285257270591</v>
      </c>
      <c r="L211" s="100">
        <f t="shared" si="349"/>
        <v>2.0242199161199737</v>
      </c>
      <c r="M211" s="100">
        <v>3443</v>
      </c>
      <c r="N211" s="234">
        <f t="shared" si="350"/>
        <v>0.41059378172769456</v>
      </c>
      <c r="O211" s="357">
        <f t="shared" ref="O211" si="372">SUM(N211:N215)</f>
        <v>2.0568917884709772</v>
      </c>
      <c r="P211" s="102">
        <f t="shared" si="351"/>
        <v>4.9999999999992495E-2</v>
      </c>
      <c r="Q211" s="357">
        <f t="shared" ref="Q211" si="373">SUM(P211:P215)</f>
        <v>0.24999999999998446</v>
      </c>
      <c r="R211" s="103">
        <f t="shared" si="352"/>
        <v>8.211875634555124</v>
      </c>
      <c r="S211" s="346">
        <f t="shared" ref="S211" si="374">AVERAGE(R211:R215)</f>
        <v>8.2275671538844932</v>
      </c>
      <c r="T211" s="100">
        <f t="shared" si="200"/>
        <v>4.2241888264151557</v>
      </c>
      <c r="U211" s="165">
        <f t="shared" si="353"/>
        <v>-4.7693415332225547E-5</v>
      </c>
      <c r="V211" s="100">
        <f t="shared" si="354"/>
        <v>1.1081095420895082E-4</v>
      </c>
      <c r="W211" s="100">
        <f t="shared" si="355"/>
        <v>1.9772348155060138</v>
      </c>
      <c r="X211" s="100">
        <f t="shared" si="366"/>
        <v>113.28721003482256</v>
      </c>
      <c r="Y211" s="165">
        <f t="shared" si="367"/>
        <v>-4.7141343096357424E-5</v>
      </c>
      <c r="Z211" s="166">
        <f t="shared" si="368"/>
        <v>6.3490000000001601E-3</v>
      </c>
      <c r="AA211" s="167">
        <f t="shared" si="369"/>
        <v>113.28721003482256</v>
      </c>
      <c r="AB211" s="100">
        <v>200</v>
      </c>
      <c r="AC211" s="100">
        <v>13</v>
      </c>
      <c r="AD211" s="100">
        <v>4</v>
      </c>
      <c r="AE211" s="169">
        <f t="shared" si="356"/>
        <v>86.712789965177436</v>
      </c>
      <c r="AF211" s="104">
        <f t="shared" si="324"/>
        <v>0.16152142243070494</v>
      </c>
      <c r="AG211" s="382"/>
      <c r="AH211" s="385"/>
      <c r="AI211" s="388"/>
      <c r="AJ211" s="100">
        <f t="shared" si="325"/>
        <v>1.5431314958540669</v>
      </c>
      <c r="AK211" s="100">
        <f t="shared" si="326"/>
        <v>0.33</v>
      </c>
      <c r="AL211" s="104">
        <f t="shared" si="327"/>
        <v>17.587905559497941</v>
      </c>
      <c r="AM211" s="104">
        <f t="shared" si="328"/>
        <v>8.9563488349394795</v>
      </c>
      <c r="AN211" s="104">
        <f t="shared" si="329"/>
        <v>9.019712554878911</v>
      </c>
      <c r="AO211" s="104">
        <f t="shared" si="330"/>
        <v>4.6397401382297119</v>
      </c>
      <c r="AP211" s="104">
        <f t="shared" si="331"/>
        <v>0.17741096755650704</v>
      </c>
      <c r="AQ211" s="103">
        <f t="shared" si="332"/>
        <v>4.5521825582523427E-2</v>
      </c>
      <c r="AR211" s="100">
        <f t="shared" si="333"/>
        <v>272291820.23348111</v>
      </c>
      <c r="AS211" s="100">
        <f t="shared" si="334"/>
        <v>1.8111711482895888E-3</v>
      </c>
      <c r="AT211" s="104">
        <f t="shared" si="335"/>
        <v>644.10365776860749</v>
      </c>
      <c r="AU211" s="100">
        <f t="shared" si="336"/>
        <v>24874.024682779695</v>
      </c>
      <c r="AV211" s="297"/>
      <c r="AW211" s="297"/>
      <c r="AX211" s="297"/>
      <c r="AY211" s="297"/>
      <c r="AZ211" s="297"/>
      <c r="BA211" s="392"/>
      <c r="BB211" s="392"/>
      <c r="BC211" s="392"/>
      <c r="BD211" s="297"/>
      <c r="BE211" s="297"/>
      <c r="BF211" s="297"/>
      <c r="BG211" s="297"/>
      <c r="BH211" s="390"/>
      <c r="BI211" s="392"/>
      <c r="BJ211" s="392"/>
      <c r="BK211" s="392"/>
      <c r="BL211" s="104">
        <f t="shared" si="337"/>
        <v>-4.7796044637702158E-2</v>
      </c>
      <c r="BM211" s="103">
        <f t="shared" si="338"/>
        <v>1388.4892356777277</v>
      </c>
      <c r="BN211" s="100">
        <f t="shared" si="339"/>
        <v>8093.2362317584093</v>
      </c>
      <c r="BO211" s="104">
        <f t="shared" si="340"/>
        <v>66.142884583547882</v>
      </c>
      <c r="BP211" s="170">
        <f t="shared" si="357"/>
        <v>76.064317271080057</v>
      </c>
      <c r="BQ211" s="104">
        <f t="shared" si="358"/>
        <v>352.91866592966966</v>
      </c>
      <c r="BR211" s="104">
        <f t="shared" si="341"/>
        <v>3.3758331388262262</v>
      </c>
      <c r="BS211" s="104">
        <f t="shared" si="342"/>
        <v>843.70607794084844</v>
      </c>
      <c r="BT211" s="104">
        <f t="shared" si="343"/>
        <v>860.9245693273964</v>
      </c>
      <c r="BU211" s="100">
        <f t="shared" si="344"/>
        <v>1033.5228923498157</v>
      </c>
      <c r="BV211" s="100">
        <f t="shared" si="359"/>
        <v>516.76144617490786</v>
      </c>
      <c r="BW211" s="100">
        <f t="shared" si="360"/>
        <v>516.76144617490786</v>
      </c>
      <c r="BX211" s="104">
        <f t="shared" si="345"/>
        <v>49.215375826181699</v>
      </c>
      <c r="BY211" s="104">
        <f t="shared" si="346"/>
        <v>4.2154872561619722E-3</v>
      </c>
      <c r="BZ211" s="104">
        <f t="shared" si="347"/>
        <v>4.2154872561619722E-3</v>
      </c>
      <c r="CA211" s="108">
        <f t="shared" si="348"/>
        <v>8.4309745123239445E-3</v>
      </c>
      <c r="CB211" s="402"/>
      <c r="CC211" s="277"/>
      <c r="CD211" s="277"/>
      <c r="CE211" s="277"/>
      <c r="CF211" s="117"/>
    </row>
    <row r="212" spans="3:84" s="109" customFormat="1" ht="15.75" x14ac:dyDescent="0.25">
      <c r="C212" s="100">
        <v>73</v>
      </c>
      <c r="D212" s="379"/>
      <c r="E212" s="379"/>
      <c r="F212" s="163" t="s">
        <v>128</v>
      </c>
      <c r="G212" s="256"/>
      <c r="H212" s="101">
        <v>0.24027777777777801</v>
      </c>
      <c r="I212" s="100">
        <v>-8.6843260000000004</v>
      </c>
      <c r="J212" s="100">
        <v>115.985922</v>
      </c>
      <c r="K212" s="100">
        <f t="shared" si="349"/>
        <v>-0.15157008201654909</v>
      </c>
      <c r="L212" s="100">
        <f t="shared" si="349"/>
        <v>2.0243362248613264</v>
      </c>
      <c r="M212" s="100">
        <v>3443</v>
      </c>
      <c r="N212" s="234">
        <f t="shared" si="350"/>
        <v>0.42092454216024083</v>
      </c>
      <c r="O212" s="331"/>
      <c r="P212" s="102">
        <f t="shared" si="351"/>
        <v>4.9999999999991829E-2</v>
      </c>
      <c r="Q212" s="331"/>
      <c r="R212" s="103">
        <f t="shared" si="352"/>
        <v>8.4184908432061931</v>
      </c>
      <c r="S212" s="347"/>
      <c r="T212" s="100">
        <f t="shared" si="200"/>
        <v>4.3304716897452655</v>
      </c>
      <c r="U212" s="165">
        <f t="shared" si="353"/>
        <v>-4.204324139966119E-5</v>
      </c>
      <c r="V212" s="100">
        <f t="shared" si="354"/>
        <v>1.1630874135271085E-4</v>
      </c>
      <c r="W212" s="100">
        <f t="shared" si="355"/>
        <v>1.9176611646326713</v>
      </c>
      <c r="X212" s="100">
        <f t="shared" si="366"/>
        <v>109.8738912695942</v>
      </c>
      <c r="Y212" s="165">
        <f t="shared" si="367"/>
        <v>-4.1556289489985687E-5</v>
      </c>
      <c r="Z212" s="166">
        <f t="shared" si="368"/>
        <v>6.6640000000006694E-3</v>
      </c>
      <c r="AA212" s="167">
        <f t="shared" si="369"/>
        <v>109.8738912695942</v>
      </c>
      <c r="AB212" s="100">
        <v>200</v>
      </c>
      <c r="AC212" s="100">
        <v>13</v>
      </c>
      <c r="AD212" s="100">
        <v>4</v>
      </c>
      <c r="AE212" s="169">
        <f t="shared" si="356"/>
        <v>90.126108730405804</v>
      </c>
      <c r="AF212" s="104">
        <f t="shared" si="324"/>
        <v>0.16558538831161854</v>
      </c>
      <c r="AG212" s="382"/>
      <c r="AH212" s="385"/>
      <c r="AI212" s="388"/>
      <c r="AJ212" s="100">
        <f t="shared" si="325"/>
        <v>1.5200768772445519</v>
      </c>
      <c r="AK212" s="100">
        <f t="shared" si="326"/>
        <v>0.33</v>
      </c>
      <c r="AL212" s="104">
        <f t="shared" si="327"/>
        <v>17.587905559497941</v>
      </c>
      <c r="AM212" s="104">
        <f t="shared" si="328"/>
        <v>8.8225396248507284</v>
      </c>
      <c r="AN212" s="104">
        <f t="shared" si="329"/>
        <v>9.2330832736164723</v>
      </c>
      <c r="AO212" s="104">
        <f t="shared" si="330"/>
        <v>4.7494980359483128</v>
      </c>
      <c r="AP212" s="104">
        <f t="shared" si="331"/>
        <v>0.18160780924399317</v>
      </c>
      <c r="AQ212" s="103">
        <f t="shared" si="332"/>
        <v>4.5588730187567178E-2</v>
      </c>
      <c r="AR212" s="100">
        <f t="shared" si="333"/>
        <v>278733167.56423944</v>
      </c>
      <c r="AS212" s="100">
        <f t="shared" si="334"/>
        <v>1.805468834279121E-3</v>
      </c>
      <c r="AT212" s="104">
        <f t="shared" si="335"/>
        <v>672.81300951857645</v>
      </c>
      <c r="AU212" s="100">
        <f t="shared" si="336"/>
        <v>25982.723749214554</v>
      </c>
      <c r="AV212" s="297"/>
      <c r="AW212" s="297"/>
      <c r="AX212" s="297"/>
      <c r="AY212" s="297"/>
      <c r="AZ212" s="297"/>
      <c r="BA212" s="392"/>
      <c r="BB212" s="392"/>
      <c r="BC212" s="392"/>
      <c r="BD212" s="297"/>
      <c r="BE212" s="297"/>
      <c r="BF212" s="297"/>
      <c r="BG212" s="297"/>
      <c r="BH212" s="390"/>
      <c r="BI212" s="392"/>
      <c r="BJ212" s="392"/>
      <c r="BK212" s="392"/>
      <c r="BL212" s="104">
        <f t="shared" si="337"/>
        <v>-5.5262273590368782E-2</v>
      </c>
      <c r="BM212" s="103">
        <f t="shared" si="338"/>
        <v>1804.860418997531</v>
      </c>
      <c r="BN212" s="100">
        <f t="shared" si="339"/>
        <v>8480.6731827536023</v>
      </c>
      <c r="BO212" s="104">
        <f t="shared" si="340"/>
        <v>69.47222588011951</v>
      </c>
      <c r="BP212" s="170">
        <f t="shared" si="357"/>
        <v>79.89305976213744</v>
      </c>
      <c r="BQ212" s="104">
        <f t="shared" si="358"/>
        <v>379.45193042617296</v>
      </c>
      <c r="BR212" s="104">
        <f t="shared" si="341"/>
        <v>3.4556919967207387</v>
      </c>
      <c r="BS212" s="104">
        <f t="shared" si="342"/>
        <v>907.13790709712532</v>
      </c>
      <c r="BT212" s="104">
        <f t="shared" si="343"/>
        <v>925.65092560931157</v>
      </c>
      <c r="BU212" s="100">
        <f t="shared" si="344"/>
        <v>1111.2256009715627</v>
      </c>
      <c r="BV212" s="100">
        <f t="shared" si="359"/>
        <v>555.61280048578135</v>
      </c>
      <c r="BW212" s="100">
        <f t="shared" si="360"/>
        <v>555.61280048578135</v>
      </c>
      <c r="BX212" s="104">
        <f t="shared" si="345"/>
        <v>52.915504808169658</v>
      </c>
      <c r="BY212" s="104">
        <f t="shared" si="346"/>
        <v>4.5390790233787942E-3</v>
      </c>
      <c r="BZ212" s="104">
        <f t="shared" si="347"/>
        <v>4.5390790233787942E-3</v>
      </c>
      <c r="CA212" s="108">
        <f t="shared" si="348"/>
        <v>9.0781580467575885E-3</v>
      </c>
      <c r="CB212" s="402"/>
      <c r="CC212" s="277"/>
      <c r="CD212" s="277"/>
      <c r="CE212" s="277"/>
      <c r="CF212" s="117"/>
    </row>
    <row r="213" spans="3:84" s="109" customFormat="1" ht="15.75" x14ac:dyDescent="0.25">
      <c r="C213" s="100">
        <v>74</v>
      </c>
      <c r="D213" s="379"/>
      <c r="E213" s="379"/>
      <c r="F213" s="163" t="s">
        <v>128</v>
      </c>
      <c r="G213" s="256"/>
      <c r="H213" s="101">
        <v>0.242361111111112</v>
      </c>
      <c r="I213" s="100">
        <v>-8.6865500000000004</v>
      </c>
      <c r="J213" s="100">
        <v>115.991784</v>
      </c>
      <c r="K213" s="100">
        <f t="shared" si="349"/>
        <v>-0.15160889813911343</v>
      </c>
      <c r="L213" s="100">
        <f t="shared" si="349"/>
        <v>2.0244385360620782</v>
      </c>
      <c r="M213" s="100">
        <v>3443</v>
      </c>
      <c r="N213" s="234">
        <f t="shared" si="350"/>
        <v>0.37298309229413923</v>
      </c>
      <c r="O213" s="331"/>
      <c r="P213" s="102">
        <f t="shared" si="351"/>
        <v>5.000000000001581E-2</v>
      </c>
      <c r="Q213" s="331"/>
      <c r="R213" s="103">
        <f t="shared" si="352"/>
        <v>7.4596618458804258</v>
      </c>
      <c r="S213" s="347"/>
      <c r="T213" s="100">
        <f t="shared" si="200"/>
        <v>3.8372500535208909</v>
      </c>
      <c r="U213" s="165">
        <f t="shared" si="353"/>
        <v>-3.9271207842025421E-5</v>
      </c>
      <c r="V213" s="100">
        <f t="shared" si="354"/>
        <v>1.0231120075188116E-4</v>
      </c>
      <c r="W213" s="100">
        <f t="shared" si="355"/>
        <v>1.9372951733597348</v>
      </c>
      <c r="X213" s="100">
        <f t="shared" si="366"/>
        <v>110.99883710457796</v>
      </c>
      <c r="Y213" s="165">
        <f t="shared" si="367"/>
        <v>-3.8816122564344635E-5</v>
      </c>
      <c r="Z213" s="166">
        <f t="shared" si="368"/>
        <v>5.8619999999933725E-3</v>
      </c>
      <c r="AA213" s="167">
        <f t="shared" si="369"/>
        <v>110.99883710457796</v>
      </c>
      <c r="AB213" s="100">
        <v>200</v>
      </c>
      <c r="AC213" s="100">
        <v>13</v>
      </c>
      <c r="AD213" s="100">
        <v>4</v>
      </c>
      <c r="AE213" s="169">
        <f t="shared" si="356"/>
        <v>89.001162895422041</v>
      </c>
      <c r="AF213" s="104">
        <f t="shared" si="324"/>
        <v>0.14672594250313917</v>
      </c>
      <c r="AG213" s="382"/>
      <c r="AH213" s="385"/>
      <c r="AI213" s="388"/>
      <c r="AJ213" s="100">
        <f t="shared" si="325"/>
        <v>1.6243586723688377</v>
      </c>
      <c r="AK213" s="100">
        <f t="shared" si="326"/>
        <v>0.33</v>
      </c>
      <c r="AL213" s="104">
        <f t="shared" si="327"/>
        <v>17.587905559497941</v>
      </c>
      <c r="AM213" s="104">
        <f t="shared" si="328"/>
        <v>9.4277920850436097</v>
      </c>
      <c r="AN213" s="104">
        <f t="shared" si="329"/>
        <v>8.2361488337401951</v>
      </c>
      <c r="AO213" s="104">
        <f t="shared" si="330"/>
        <v>4.2366749600759563</v>
      </c>
      <c r="AP213" s="104">
        <f t="shared" si="331"/>
        <v>0.16199885801714012</v>
      </c>
      <c r="AQ213" s="103">
        <f t="shared" si="332"/>
        <v>4.5286103957492517E-2</v>
      </c>
      <c r="AR213" s="100">
        <f t="shared" si="333"/>
        <v>248637187.05092236</v>
      </c>
      <c r="AS213" s="100">
        <f t="shared" si="334"/>
        <v>1.8335944337140888E-3</v>
      </c>
      <c r="AT213" s="104">
        <f t="shared" si="335"/>
        <v>543.7040065226314</v>
      </c>
      <c r="AU213" s="100">
        <f t="shared" si="336"/>
        <v>20996.786332843101</v>
      </c>
      <c r="AV213" s="297"/>
      <c r="AW213" s="297"/>
      <c r="AX213" s="297"/>
      <c r="AY213" s="297"/>
      <c r="AZ213" s="297"/>
      <c r="BA213" s="392"/>
      <c r="BB213" s="392"/>
      <c r="BC213" s="392"/>
      <c r="BD213" s="297"/>
      <c r="BE213" s="297"/>
      <c r="BF213" s="297"/>
      <c r="BG213" s="297"/>
      <c r="BH213" s="390"/>
      <c r="BI213" s="392"/>
      <c r="BJ213" s="392"/>
      <c r="BK213" s="392"/>
      <c r="BL213" s="104">
        <f t="shared" si="337"/>
        <v>-2.5372205395170187E-2</v>
      </c>
      <c r="BM213" s="103">
        <f t="shared" si="338"/>
        <v>484.49554083001004</v>
      </c>
      <c r="BN213" s="100">
        <f t="shared" si="339"/>
        <v>6748.1572519216188</v>
      </c>
      <c r="BO213" s="104">
        <f t="shared" si="340"/>
        <v>55.061754295406935</v>
      </c>
      <c r="BP213" s="170">
        <f t="shared" si="357"/>
        <v>63.321017439717977</v>
      </c>
      <c r="BQ213" s="104">
        <f t="shared" si="358"/>
        <v>268.2705690333861</v>
      </c>
      <c r="BR213" s="104">
        <f t="shared" si="341"/>
        <v>3.0825665452282687</v>
      </c>
      <c r="BS213" s="104">
        <f t="shared" si="342"/>
        <v>641.3418486377924</v>
      </c>
      <c r="BT213" s="104">
        <f t="shared" si="343"/>
        <v>654.43045779366571</v>
      </c>
      <c r="BU213" s="100">
        <f t="shared" si="344"/>
        <v>785.63080167306816</v>
      </c>
      <c r="BV213" s="100">
        <f t="shared" si="359"/>
        <v>392.81540083653408</v>
      </c>
      <c r="BW213" s="100">
        <f t="shared" si="360"/>
        <v>392.81540083653408</v>
      </c>
      <c r="BX213" s="104">
        <f t="shared" si="345"/>
        <v>37.410990555860394</v>
      </c>
      <c r="BY213" s="104">
        <f t="shared" si="346"/>
        <v>3.1878029708470178E-3</v>
      </c>
      <c r="BZ213" s="104">
        <f t="shared" si="347"/>
        <v>3.1878029708470178E-3</v>
      </c>
      <c r="CA213" s="108">
        <f t="shared" si="348"/>
        <v>6.3756059416940356E-3</v>
      </c>
      <c r="CB213" s="402"/>
      <c r="CC213" s="277"/>
      <c r="CD213" s="277"/>
      <c r="CE213" s="277"/>
      <c r="CF213" s="117"/>
    </row>
    <row r="214" spans="3:84" s="109" customFormat="1" ht="15.75" x14ac:dyDescent="0.25">
      <c r="C214" s="100">
        <v>75</v>
      </c>
      <c r="D214" s="379"/>
      <c r="E214" s="379"/>
      <c r="F214" s="163" t="s">
        <v>128</v>
      </c>
      <c r="G214" s="257"/>
      <c r="H214" s="101">
        <v>0.24444444444444499</v>
      </c>
      <c r="I214" s="100">
        <v>-8.6894209999999994</v>
      </c>
      <c r="J214" s="100">
        <v>115.998648</v>
      </c>
      <c r="K214" s="100">
        <f t="shared" si="349"/>
        <v>-0.15165900654193817</v>
      </c>
      <c r="L214" s="100">
        <f t="shared" si="349"/>
        <v>2.0245583354619354</v>
      </c>
      <c r="M214" s="100">
        <v>3443</v>
      </c>
      <c r="N214" s="234">
        <f t="shared" si="350"/>
        <v>0.44273390360195086</v>
      </c>
      <c r="O214" s="331"/>
      <c r="P214" s="102">
        <f t="shared" si="351"/>
        <v>4.9999999999991829E-2</v>
      </c>
      <c r="Q214" s="331"/>
      <c r="R214" s="103">
        <f t="shared" si="352"/>
        <v>8.8546780720404641</v>
      </c>
      <c r="S214" s="347"/>
      <c r="T214" s="100">
        <f t="shared" si="200"/>
        <v>4.5548464002576141</v>
      </c>
      <c r="U214" s="165">
        <f t="shared" si="353"/>
        <v>-5.0696226491236387E-5</v>
      </c>
      <c r="V214" s="100">
        <f t="shared" si="354"/>
        <v>1.1979939985717891E-4</v>
      </c>
      <c r="W214" s="100">
        <f t="shared" si="355"/>
        <v>1.971120985228453</v>
      </c>
      <c r="X214" s="100">
        <f t="shared" si="366"/>
        <v>112.93691336325904</v>
      </c>
      <c r="Y214" s="165">
        <f t="shared" si="367"/>
        <v>-5.010840282473894E-5</v>
      </c>
      <c r="Z214" s="166">
        <f t="shared" si="368"/>
        <v>6.8640000000073087E-3</v>
      </c>
      <c r="AA214" s="167">
        <f t="shared" si="369"/>
        <v>112.93691336325904</v>
      </c>
      <c r="AB214" s="100">
        <v>200</v>
      </c>
      <c r="AC214" s="100">
        <v>13</v>
      </c>
      <c r="AD214" s="100">
        <v>4</v>
      </c>
      <c r="AE214" s="169">
        <f t="shared" si="356"/>
        <v>87.063086636740962</v>
      </c>
      <c r="AF214" s="104">
        <f t="shared" si="324"/>
        <v>0.17416486330402511</v>
      </c>
      <c r="AG214" s="382"/>
      <c r="AH214" s="385"/>
      <c r="AI214" s="388"/>
      <c r="AJ214" s="100">
        <f t="shared" si="325"/>
        <v>1.4703538655257529</v>
      </c>
      <c r="AK214" s="100">
        <f t="shared" si="326"/>
        <v>0.33</v>
      </c>
      <c r="AL214" s="104">
        <f t="shared" si="327"/>
        <v>17.587905559497941</v>
      </c>
      <c r="AM214" s="104">
        <f t="shared" si="328"/>
        <v>8.5339468255501938</v>
      </c>
      <c r="AN214" s="104">
        <f t="shared" si="329"/>
        <v>9.6808354189638699</v>
      </c>
      <c r="AO214" s="104">
        <f t="shared" si="330"/>
        <v>4.9798217395150139</v>
      </c>
      <c r="AP214" s="104">
        <f t="shared" si="331"/>
        <v>0.19041475745307054</v>
      </c>
      <c r="AQ214" s="103">
        <f t="shared" si="332"/>
        <v>4.573302658721743E-2</v>
      </c>
      <c r="AR214" s="100">
        <f t="shared" si="333"/>
        <v>292250144.51093173</v>
      </c>
      <c r="AS214" s="100">
        <f t="shared" si="334"/>
        <v>1.7940015353718113E-3</v>
      </c>
      <c r="AT214" s="104">
        <f t="shared" si="335"/>
        <v>734.95265552276271</v>
      </c>
      <c r="AU214" s="100">
        <f t="shared" si="336"/>
        <v>28382.435456864256</v>
      </c>
      <c r="AV214" s="297"/>
      <c r="AW214" s="297"/>
      <c r="AX214" s="297"/>
      <c r="AY214" s="297"/>
      <c r="AZ214" s="297"/>
      <c r="BA214" s="392"/>
      <c r="BB214" s="392"/>
      <c r="BC214" s="392"/>
      <c r="BD214" s="297"/>
      <c r="BE214" s="297"/>
      <c r="BF214" s="297"/>
      <c r="BG214" s="297"/>
      <c r="BH214" s="390"/>
      <c r="BI214" s="392"/>
      <c r="BJ214" s="392"/>
      <c r="BK214" s="392"/>
      <c r="BL214" s="104">
        <f t="shared" si="337"/>
        <v>-7.26805642532459E-2</v>
      </c>
      <c r="BM214" s="103">
        <f t="shared" si="338"/>
        <v>3032.1970419406161</v>
      </c>
      <c r="BN214" s="100">
        <f t="shared" si="339"/>
        <v>9323.1462295383462</v>
      </c>
      <c r="BO214" s="104">
        <f t="shared" si="340"/>
        <v>77.008398498102707</v>
      </c>
      <c r="BP214" s="170">
        <f t="shared" si="357"/>
        <v>88.559658272818112</v>
      </c>
      <c r="BQ214" s="104">
        <f t="shared" si="358"/>
        <v>441.01131151100026</v>
      </c>
      <c r="BR214" s="104">
        <f t="shared" si="341"/>
        <v>3.6232734491281846</v>
      </c>
      <c r="BS214" s="104">
        <f t="shared" si="342"/>
        <v>1054.3050279937456</v>
      </c>
      <c r="BT214" s="104">
        <f t="shared" si="343"/>
        <v>1075.8214571364751</v>
      </c>
      <c r="BU214" s="100">
        <f t="shared" si="344"/>
        <v>1291.5023495035718</v>
      </c>
      <c r="BV214" s="100">
        <f t="shared" si="359"/>
        <v>645.75117475178592</v>
      </c>
      <c r="BW214" s="100">
        <f t="shared" si="360"/>
        <v>645.75117475178592</v>
      </c>
      <c r="BX214" s="104">
        <f t="shared" si="345"/>
        <v>61.500111881122464</v>
      </c>
      <c r="BY214" s="104">
        <f t="shared" si="346"/>
        <v>5.2921622913421357E-3</v>
      </c>
      <c r="BZ214" s="104">
        <f t="shared" si="347"/>
        <v>5.2921622913421357E-3</v>
      </c>
      <c r="CA214" s="108">
        <f t="shared" si="348"/>
        <v>1.0584324582684271E-2</v>
      </c>
      <c r="CB214" s="402"/>
      <c r="CC214" s="277"/>
      <c r="CD214" s="277"/>
      <c r="CE214" s="277"/>
      <c r="CF214" s="117"/>
    </row>
    <row r="215" spans="3:84" s="183" customFormat="1" ht="15.75" x14ac:dyDescent="0.25">
      <c r="C215" s="171">
        <v>76</v>
      </c>
      <c r="D215" s="379"/>
      <c r="E215" s="379"/>
      <c r="F215" s="172" t="s">
        <v>128</v>
      </c>
      <c r="G215" s="394">
        <v>0.24652777777777801</v>
      </c>
      <c r="H215" s="173">
        <v>0.24652777777777801</v>
      </c>
      <c r="I215" s="171">
        <v>-8.6917430000000007</v>
      </c>
      <c r="J215" s="171">
        <v>116.005132</v>
      </c>
      <c r="K215" s="171">
        <f t="shared" si="349"/>
        <v>-0.15169953308716952</v>
      </c>
      <c r="L215" s="171">
        <f t="shared" si="349"/>
        <v>2.0246715026106346</v>
      </c>
      <c r="M215" s="171">
        <v>3443</v>
      </c>
      <c r="N215" s="235">
        <f t="shared" si="350"/>
        <v>0.40965646868695166</v>
      </c>
      <c r="O215" s="358"/>
      <c r="P215" s="174">
        <f t="shared" si="351"/>
        <v>4.9999999999992495E-2</v>
      </c>
      <c r="Q215" s="358"/>
      <c r="R215" s="175">
        <f t="shared" si="352"/>
        <v>8.1931293737402626</v>
      </c>
      <c r="S215" s="348"/>
      <c r="T215" s="171">
        <f t="shared" si="200"/>
        <v>4.2145457498519905</v>
      </c>
      <c r="U215" s="176">
        <f t="shared" si="353"/>
        <v>-4.1002249233773314E-5</v>
      </c>
      <c r="V215" s="171">
        <f t="shared" si="354"/>
        <v>1.1316714869913369E-4</v>
      </c>
      <c r="W215" s="171">
        <f t="shared" si="355"/>
        <v>1.9184005239471074</v>
      </c>
      <c r="X215" s="171">
        <f t="shared" si="366"/>
        <v>109.91625343785506</v>
      </c>
      <c r="Y215" s="176">
        <f t="shared" si="367"/>
        <v>-4.0526545231345246E-5</v>
      </c>
      <c r="Z215" s="177">
        <f t="shared" si="368"/>
        <v>6.4840000000003783E-3</v>
      </c>
      <c r="AA215" s="178">
        <f t="shared" si="369"/>
        <v>109.91625343785506</v>
      </c>
      <c r="AB215" s="100">
        <v>200</v>
      </c>
      <c r="AC215" s="171">
        <v>13</v>
      </c>
      <c r="AD215" s="171">
        <v>4</v>
      </c>
      <c r="AE215" s="179">
        <f t="shared" si="356"/>
        <v>90.083746562144938</v>
      </c>
      <c r="AF215" s="180">
        <f t="shared" si="324"/>
        <v>0.16115269756846615</v>
      </c>
      <c r="AG215" s="382"/>
      <c r="AH215" s="385"/>
      <c r="AI215" s="388"/>
      <c r="AJ215" s="171">
        <f t="shared" si="325"/>
        <v>1.5452073943229778</v>
      </c>
      <c r="AK215" s="171">
        <f t="shared" si="326"/>
        <v>0.33</v>
      </c>
      <c r="AL215" s="180">
        <f t="shared" si="327"/>
        <v>17.587905559497941</v>
      </c>
      <c r="AM215" s="180">
        <f t="shared" si="328"/>
        <v>8.968397367992841</v>
      </c>
      <c r="AN215" s="180">
        <f t="shared" si="329"/>
        <v>9.0003132284298797</v>
      </c>
      <c r="AO215" s="180">
        <f t="shared" si="330"/>
        <v>4.6297611247043298</v>
      </c>
      <c r="AP215" s="180">
        <f t="shared" si="331"/>
        <v>0.17702939738402901</v>
      </c>
      <c r="AQ215" s="175">
        <f t="shared" si="332"/>
        <v>4.5515801315996751E-2</v>
      </c>
      <c r="AR215" s="171">
        <f t="shared" si="333"/>
        <v>271706183.17709255</v>
      </c>
      <c r="AS215" s="171">
        <f t="shared" si="334"/>
        <v>1.8116976247862326E-3</v>
      </c>
      <c r="AT215" s="180">
        <f t="shared" si="335"/>
        <v>641.52242513925853</v>
      </c>
      <c r="AU215" s="171">
        <f t="shared" si="336"/>
        <v>24774.342522369596</v>
      </c>
      <c r="AV215" s="297"/>
      <c r="AW215" s="297"/>
      <c r="AX215" s="297"/>
      <c r="AY215" s="297"/>
      <c r="AZ215" s="297"/>
      <c r="BA215" s="392"/>
      <c r="BB215" s="392"/>
      <c r="BC215" s="392"/>
      <c r="BD215" s="297"/>
      <c r="BE215" s="297"/>
      <c r="BF215" s="297"/>
      <c r="BG215" s="297"/>
      <c r="BH215" s="390"/>
      <c r="BI215" s="392"/>
      <c r="BJ215" s="392"/>
      <c r="BK215" s="392"/>
      <c r="BL215" s="180">
        <f t="shared" si="337"/>
        <v>-4.7145190067441924E-2</v>
      </c>
      <c r="BM215" s="175">
        <f t="shared" si="338"/>
        <v>1355.104045764064</v>
      </c>
      <c r="BN215" s="171">
        <f t="shared" si="339"/>
        <v>8058.4602914580464</v>
      </c>
      <c r="BO215" s="180">
        <f t="shared" si="340"/>
        <v>65.847654982345929</v>
      </c>
      <c r="BP215" s="181">
        <f t="shared" si="357"/>
        <v>75.724803229697812</v>
      </c>
      <c r="BQ215" s="180">
        <f t="shared" si="358"/>
        <v>350.58775016873983</v>
      </c>
      <c r="BR215" s="180">
        <f t="shared" si="341"/>
        <v>3.3685724984566918</v>
      </c>
      <c r="BS215" s="180">
        <f t="shared" si="342"/>
        <v>838.13366711501658</v>
      </c>
      <c r="BT215" s="180">
        <f t="shared" si="343"/>
        <v>855.23843583164955</v>
      </c>
      <c r="BU215" s="171">
        <f t="shared" si="344"/>
        <v>1026.6968017186668</v>
      </c>
      <c r="BV215" s="171">
        <f t="shared" si="359"/>
        <v>513.34840085933342</v>
      </c>
      <c r="BW215" s="171">
        <f t="shared" si="360"/>
        <v>513.34840085933342</v>
      </c>
      <c r="BX215" s="180">
        <f t="shared" si="345"/>
        <v>48.890323891365092</v>
      </c>
      <c r="BY215" s="180">
        <f t="shared" si="346"/>
        <v>4.1870911164361355E-3</v>
      </c>
      <c r="BZ215" s="180">
        <f t="shared" si="347"/>
        <v>4.1870911164361355E-3</v>
      </c>
      <c r="CA215" s="182">
        <f t="shared" si="348"/>
        <v>8.3741822328722709E-3</v>
      </c>
      <c r="CB215" s="402"/>
      <c r="CC215" s="276">
        <f t="shared" ref="CC215" si="375">SUM(CA215:CA219)*1000</f>
        <v>60.756565791881798</v>
      </c>
      <c r="CD215" s="276">
        <v>54</v>
      </c>
      <c r="CE215" s="276">
        <f t="shared" ref="CE215" si="376">AVERAGE(AN215:AN219)</f>
        <v>9.5721789748692085</v>
      </c>
      <c r="CF215" s="184"/>
    </row>
    <row r="216" spans="3:84" s="183" customFormat="1" ht="15.75" x14ac:dyDescent="0.25">
      <c r="C216" s="171">
        <v>77</v>
      </c>
      <c r="D216" s="379"/>
      <c r="E216" s="379"/>
      <c r="F216" s="172" t="s">
        <v>128</v>
      </c>
      <c r="G216" s="395"/>
      <c r="H216" s="173">
        <v>0.248611111111112</v>
      </c>
      <c r="I216" s="171">
        <v>-8.6943629999999992</v>
      </c>
      <c r="J216" s="171">
        <v>116.010552</v>
      </c>
      <c r="K216" s="171">
        <f t="shared" si="349"/>
        <v>-0.15174526071357172</v>
      </c>
      <c r="L216" s="171">
        <f t="shared" si="349"/>
        <v>2.0247660994560928</v>
      </c>
      <c r="M216" s="171">
        <v>3443</v>
      </c>
      <c r="N216" s="235">
        <f t="shared" si="350"/>
        <v>0.35838904042774855</v>
      </c>
      <c r="O216" s="357">
        <f t="shared" ref="O216" si="377">SUM(N216:N220)</f>
        <v>2.1853132854167314</v>
      </c>
      <c r="P216" s="174">
        <f t="shared" si="351"/>
        <v>5.000000000001581E-2</v>
      </c>
      <c r="Q216" s="357">
        <f t="shared" ref="Q216" si="378">SUM(P216:P220)</f>
        <v>0.25000000000000711</v>
      </c>
      <c r="R216" s="175">
        <f t="shared" si="352"/>
        <v>7.1677808085527044</v>
      </c>
      <c r="S216" s="346">
        <f t="shared" ref="S216" si="379">AVERAGE(R216:R220)</f>
        <v>8.7412531416665331</v>
      </c>
      <c r="T216" s="171">
        <f t="shared" si="200"/>
        <v>3.6871064479195108</v>
      </c>
      <c r="U216" s="176">
        <f t="shared" si="353"/>
        <v>-4.6264687785799162E-5</v>
      </c>
      <c r="V216" s="171">
        <f t="shared" si="354"/>
        <v>9.4596845458205792E-5</v>
      </c>
      <c r="W216" s="171">
        <f t="shared" si="355"/>
        <v>2.0256635442589506</v>
      </c>
      <c r="X216" s="171">
        <f t="shared" si="366"/>
        <v>116.06197179954971</v>
      </c>
      <c r="Y216" s="176">
        <f t="shared" si="367"/>
        <v>-4.5727626402203292E-5</v>
      </c>
      <c r="Z216" s="177">
        <f t="shared" si="368"/>
        <v>5.4200000000008686E-3</v>
      </c>
      <c r="AA216" s="178">
        <f t="shared" si="369"/>
        <v>116.06197179954971</v>
      </c>
      <c r="AB216" s="100">
        <v>200</v>
      </c>
      <c r="AC216" s="171">
        <v>13</v>
      </c>
      <c r="AD216" s="171">
        <v>4</v>
      </c>
      <c r="AE216" s="179">
        <f t="shared" si="356"/>
        <v>83.93802820045029</v>
      </c>
      <c r="AF216" s="180">
        <f t="shared" si="324"/>
        <v>0.14098486185021991</v>
      </c>
      <c r="AG216" s="382"/>
      <c r="AH216" s="385"/>
      <c r="AI216" s="388"/>
      <c r="AJ216" s="171">
        <f t="shared" si="325"/>
        <v>1.6547335520464721</v>
      </c>
      <c r="AK216" s="171">
        <f t="shared" si="326"/>
        <v>0.33</v>
      </c>
      <c r="AL216" s="180">
        <f t="shared" si="327"/>
        <v>17.587905559497941</v>
      </c>
      <c r="AM216" s="180">
        <f t="shared" si="328"/>
        <v>9.6040881550435557</v>
      </c>
      <c r="AN216" s="180">
        <f t="shared" si="329"/>
        <v>7.9293196586662056</v>
      </c>
      <c r="AO216" s="180">
        <f t="shared" si="330"/>
        <v>4.0788420324178958</v>
      </c>
      <c r="AP216" s="180">
        <f t="shared" si="331"/>
        <v>0.15596375872841647</v>
      </c>
      <c r="AQ216" s="175">
        <f t="shared" si="332"/>
        <v>4.5197955922492518E-2</v>
      </c>
      <c r="AR216" s="171">
        <f t="shared" si="333"/>
        <v>239374466.75098974</v>
      </c>
      <c r="AS216" s="171">
        <f t="shared" si="334"/>
        <v>1.8430854148253381E-3</v>
      </c>
      <c r="AT216" s="180">
        <f t="shared" si="335"/>
        <v>506.55685160304171</v>
      </c>
      <c r="AU216" s="171">
        <f t="shared" si="336"/>
        <v>19562.235795487108</v>
      </c>
      <c r="AV216" s="297"/>
      <c r="AW216" s="297"/>
      <c r="AX216" s="297"/>
      <c r="AY216" s="297"/>
      <c r="AZ216" s="297"/>
      <c r="BA216" s="392"/>
      <c r="BB216" s="392"/>
      <c r="BC216" s="392"/>
      <c r="BD216" s="297"/>
      <c r="BE216" s="297"/>
      <c r="BF216" s="297"/>
      <c r="BG216" s="297"/>
      <c r="BH216" s="390"/>
      <c r="BI216" s="392"/>
      <c r="BJ216" s="392"/>
      <c r="BK216" s="392"/>
      <c r="BL216" s="180">
        <f t="shared" si="337"/>
        <v>-1.8784914950648452E-2</v>
      </c>
      <c r="BM216" s="175">
        <f t="shared" si="338"/>
        <v>307.0933649346029</v>
      </c>
      <c r="BN216" s="171">
        <f t="shared" si="339"/>
        <v>6254.7315471087095</v>
      </c>
      <c r="BO216" s="180">
        <f t="shared" si="340"/>
        <v>51.123128087172475</v>
      </c>
      <c r="BP216" s="181">
        <f t="shared" si="357"/>
        <v>58.791597300248348</v>
      </c>
      <c r="BQ216" s="180">
        <f t="shared" si="358"/>
        <v>239.80163822123944</v>
      </c>
      <c r="BR216" s="180">
        <f t="shared" si="341"/>
        <v>2.9677287285161156</v>
      </c>
      <c r="BS216" s="180">
        <f t="shared" si="342"/>
        <v>573.28251293954327</v>
      </c>
      <c r="BT216" s="180">
        <f t="shared" si="343"/>
        <v>584.98215606075848</v>
      </c>
      <c r="BU216" s="171">
        <f t="shared" si="344"/>
        <v>702.25949106933797</v>
      </c>
      <c r="BV216" s="171">
        <f t="shared" si="359"/>
        <v>351.12974553466898</v>
      </c>
      <c r="BW216" s="171">
        <f t="shared" si="360"/>
        <v>351.12974553466898</v>
      </c>
      <c r="BX216" s="180">
        <f t="shared" si="345"/>
        <v>33.440928146158946</v>
      </c>
      <c r="BY216" s="180">
        <f t="shared" si="346"/>
        <v>2.843966139705955E-3</v>
      </c>
      <c r="BZ216" s="180">
        <f t="shared" si="347"/>
        <v>2.843966139705955E-3</v>
      </c>
      <c r="CA216" s="182">
        <f t="shared" si="348"/>
        <v>5.68793227941191E-3</v>
      </c>
      <c r="CB216" s="402"/>
      <c r="CC216" s="277"/>
      <c r="CD216" s="277"/>
      <c r="CE216" s="277"/>
      <c r="CF216" s="184"/>
    </row>
    <row r="217" spans="3:84" s="183" customFormat="1" ht="15.75" x14ac:dyDescent="0.25">
      <c r="C217" s="171">
        <v>78</v>
      </c>
      <c r="D217" s="379"/>
      <c r="E217" s="379"/>
      <c r="F217" s="172" t="s">
        <v>128</v>
      </c>
      <c r="G217" s="395"/>
      <c r="H217" s="173">
        <v>0.250694444444445</v>
      </c>
      <c r="I217" s="171">
        <v>-8.6970600000000005</v>
      </c>
      <c r="J217" s="171">
        <v>116.01701199999999</v>
      </c>
      <c r="K217" s="171">
        <f t="shared" si="349"/>
        <v>-0.15179233224349806</v>
      </c>
      <c r="L217" s="171">
        <f t="shared" si="349"/>
        <v>2.0248788477257715</v>
      </c>
      <c r="M217" s="171">
        <v>3443</v>
      </c>
      <c r="N217" s="235">
        <f t="shared" si="350"/>
        <v>0.41655082949534289</v>
      </c>
      <c r="O217" s="331"/>
      <c r="P217" s="174">
        <f t="shared" si="351"/>
        <v>4.9999999999991829E-2</v>
      </c>
      <c r="Q217" s="331"/>
      <c r="R217" s="175">
        <f t="shared" si="352"/>
        <v>8.33101658990822</v>
      </c>
      <c r="S217" s="347"/>
      <c r="T217" s="171">
        <f t="shared" si="200"/>
        <v>4.2854749338487883</v>
      </c>
      <c r="U217" s="176">
        <f t="shared" si="353"/>
        <v>-4.7624714895368811E-5</v>
      </c>
      <c r="V217" s="171">
        <f t="shared" si="354"/>
        <v>1.1274826967877516E-4</v>
      </c>
      <c r="W217" s="171">
        <f t="shared" si="355"/>
        <v>1.9704615306115336</v>
      </c>
      <c r="X217" s="171">
        <f t="shared" si="366"/>
        <v>112.89912939692914</v>
      </c>
      <c r="Y217" s="176">
        <f t="shared" si="367"/>
        <v>-4.7071529926334676E-5</v>
      </c>
      <c r="Z217" s="177">
        <f t="shared" si="368"/>
        <v>6.4599999999899183E-3</v>
      </c>
      <c r="AA217" s="178">
        <f t="shared" si="369"/>
        <v>112.89912939692914</v>
      </c>
      <c r="AB217" s="100">
        <v>200</v>
      </c>
      <c r="AC217" s="171">
        <v>13</v>
      </c>
      <c r="AD217" s="171">
        <v>4</v>
      </c>
      <c r="AE217" s="179">
        <f t="shared" si="356"/>
        <v>87.100870603070859</v>
      </c>
      <c r="AF217" s="180">
        <f t="shared" si="324"/>
        <v>0.16386483548696318</v>
      </c>
      <c r="AG217" s="382"/>
      <c r="AH217" s="385"/>
      <c r="AI217" s="388"/>
      <c r="AJ217" s="171">
        <f t="shared" si="325"/>
        <v>1.5298765734836479</v>
      </c>
      <c r="AK217" s="171">
        <f t="shared" si="326"/>
        <v>0.33</v>
      </c>
      <c r="AL217" s="180">
        <f t="shared" si="327"/>
        <v>17.587905559497941</v>
      </c>
      <c r="AM217" s="180">
        <f t="shared" si="328"/>
        <v>8.879417148399174</v>
      </c>
      <c r="AN217" s="180">
        <f t="shared" si="329"/>
        <v>9.142848222861053</v>
      </c>
      <c r="AO217" s="180">
        <f t="shared" si="330"/>
        <v>4.7030811258397254</v>
      </c>
      <c r="AP217" s="180">
        <f t="shared" si="331"/>
        <v>0.17983295360811483</v>
      </c>
      <c r="AQ217" s="175">
        <f t="shared" si="332"/>
        <v>4.5560291425792966E-2</v>
      </c>
      <c r="AR217" s="171">
        <f t="shared" si="333"/>
        <v>276009104.45584655</v>
      </c>
      <c r="AS217" s="171">
        <f t="shared" si="334"/>
        <v>1.8078608241248136E-3</v>
      </c>
      <c r="AT217" s="180">
        <f t="shared" si="335"/>
        <v>660.60049324306078</v>
      </c>
      <c r="AU217" s="171">
        <f t="shared" si="336"/>
        <v>25511.100233943111</v>
      </c>
      <c r="AV217" s="297"/>
      <c r="AW217" s="297"/>
      <c r="AX217" s="297"/>
      <c r="AY217" s="297"/>
      <c r="AZ217" s="297"/>
      <c r="BA217" s="392"/>
      <c r="BB217" s="392"/>
      <c r="BC217" s="392"/>
      <c r="BD217" s="297"/>
      <c r="BE217" s="297"/>
      <c r="BF217" s="297"/>
      <c r="BG217" s="297"/>
      <c r="BH217" s="390"/>
      <c r="BI217" s="392"/>
      <c r="BJ217" s="392"/>
      <c r="BK217" s="392"/>
      <c r="BL217" s="180">
        <f t="shared" si="337"/>
        <v>-5.2036553619373808E-2</v>
      </c>
      <c r="BM217" s="175">
        <f t="shared" si="338"/>
        <v>1617.3286765154157</v>
      </c>
      <c r="BN217" s="171">
        <f t="shared" si="339"/>
        <v>8315.7197140869775</v>
      </c>
      <c r="BO217" s="180">
        <f t="shared" si="340"/>
        <v>68.045417740434189</v>
      </c>
      <c r="BP217" s="181">
        <f t="shared" si="357"/>
        <v>78.252230401499318</v>
      </c>
      <c r="BQ217" s="180">
        <f t="shared" si="358"/>
        <v>368.02658785615301</v>
      </c>
      <c r="BR217" s="180">
        <f t="shared" si="341"/>
        <v>3.4219194709589242</v>
      </c>
      <c r="BS217" s="180">
        <f t="shared" si="342"/>
        <v>879.82387726679849</v>
      </c>
      <c r="BT217" s="180">
        <f t="shared" si="343"/>
        <v>897.77946659877398</v>
      </c>
      <c r="BU217" s="171">
        <f t="shared" si="344"/>
        <v>1077.7664665051309</v>
      </c>
      <c r="BV217" s="171">
        <f t="shared" si="359"/>
        <v>538.88323325256545</v>
      </c>
      <c r="BW217" s="171">
        <f t="shared" si="360"/>
        <v>538.88323325256545</v>
      </c>
      <c r="BX217" s="180">
        <f t="shared" si="345"/>
        <v>51.322212690720512</v>
      </c>
      <c r="BY217" s="180">
        <f t="shared" si="346"/>
        <v>4.3996605455417122E-3</v>
      </c>
      <c r="BZ217" s="180">
        <f t="shared" si="347"/>
        <v>4.3996605455417122E-3</v>
      </c>
      <c r="CA217" s="182">
        <f t="shared" si="348"/>
        <v>8.7993210910834244E-3</v>
      </c>
      <c r="CB217" s="402"/>
      <c r="CC217" s="277"/>
      <c r="CD217" s="277"/>
      <c r="CE217" s="277"/>
      <c r="CF217" s="184"/>
    </row>
    <row r="218" spans="3:84" s="183" customFormat="1" ht="15.75" x14ac:dyDescent="0.25">
      <c r="C218" s="171">
        <v>79</v>
      </c>
      <c r="D218" s="379"/>
      <c r="E218" s="379"/>
      <c r="F218" s="172" t="s">
        <v>128</v>
      </c>
      <c r="G218" s="395"/>
      <c r="H218" s="173">
        <v>0.25277777777777899</v>
      </c>
      <c r="I218" s="171">
        <v>-8.7009050000000006</v>
      </c>
      <c r="J218" s="171">
        <v>116.026188</v>
      </c>
      <c r="K218" s="171">
        <f t="shared" si="349"/>
        <v>-0.15185944015323724</v>
      </c>
      <c r="L218" s="171">
        <f t="shared" si="349"/>
        <v>2.0250389991379345</v>
      </c>
      <c r="M218" s="171">
        <v>3443</v>
      </c>
      <c r="N218" s="235">
        <f t="shared" si="350"/>
        <v>0.59200830339286259</v>
      </c>
      <c r="O218" s="331"/>
      <c r="P218" s="174">
        <f t="shared" si="351"/>
        <v>5.000000000001581E-2</v>
      </c>
      <c r="Q218" s="331"/>
      <c r="R218" s="175">
        <f t="shared" si="352"/>
        <v>11.840166067853508</v>
      </c>
      <c r="S218" s="347"/>
      <c r="T218" s="171">
        <f t="shared" si="200"/>
        <v>6.0905814253038439</v>
      </c>
      <c r="U218" s="176">
        <f t="shared" si="353"/>
        <v>-6.7897158518858959E-5</v>
      </c>
      <c r="V218" s="171">
        <f t="shared" si="354"/>
        <v>1.6015141216296769E-4</v>
      </c>
      <c r="W218" s="171">
        <f t="shared" si="355"/>
        <v>1.9717823986186749</v>
      </c>
      <c r="X218" s="171">
        <f t="shared" si="366"/>
        <v>112.9748095590322</v>
      </c>
      <c r="Y218" s="176">
        <f t="shared" si="367"/>
        <v>-6.7107909739183569E-5</v>
      </c>
      <c r="Z218" s="177">
        <f t="shared" si="368"/>
        <v>9.1760000000107311E-3</v>
      </c>
      <c r="AA218" s="178">
        <f t="shared" si="369"/>
        <v>112.9748095590322</v>
      </c>
      <c r="AB218" s="100">
        <v>200</v>
      </c>
      <c r="AC218" s="171">
        <v>13</v>
      </c>
      <c r="AD218" s="171">
        <v>4</v>
      </c>
      <c r="AE218" s="179">
        <f t="shared" si="356"/>
        <v>87.025190440967805</v>
      </c>
      <c r="AF218" s="180">
        <f t="shared" si="324"/>
        <v>0.23288716855964309</v>
      </c>
      <c r="AG218" s="382"/>
      <c r="AH218" s="385"/>
      <c r="AI218" s="388"/>
      <c r="AJ218" s="171">
        <f t="shared" si="325"/>
        <v>1.0916886757875348</v>
      </c>
      <c r="AK218" s="171">
        <f t="shared" si="326"/>
        <v>0.33</v>
      </c>
      <c r="AL218" s="180">
        <f t="shared" si="327"/>
        <v>17.587905559497941</v>
      </c>
      <c r="AM218" s="180">
        <f t="shared" si="328"/>
        <v>6.3361707189410952</v>
      </c>
      <c r="AN218" s="180">
        <f t="shared" si="329"/>
        <v>12.641129621472647</v>
      </c>
      <c r="AO218" s="180">
        <f t="shared" si="330"/>
        <v>6.5025970772855288</v>
      </c>
      <c r="AP218" s="180">
        <f t="shared" si="331"/>
        <v>0.2486415197277638</v>
      </c>
      <c r="AQ218" s="175">
        <f t="shared" si="332"/>
        <v>4.6831914640544259E-2</v>
      </c>
      <c r="AR218" s="171">
        <f t="shared" si="333"/>
        <v>381617060.79827207</v>
      </c>
      <c r="AS218" s="171">
        <f t="shared" si="334"/>
        <v>1.7313888976002439E-3</v>
      </c>
      <c r="AT218" s="180">
        <f t="shared" si="335"/>
        <v>1209.4203636131047</v>
      </c>
      <c r="AU218" s="171">
        <f t="shared" si="336"/>
        <v>46705.451232161839</v>
      </c>
      <c r="AV218" s="297"/>
      <c r="AW218" s="297"/>
      <c r="AX218" s="297"/>
      <c r="AY218" s="297"/>
      <c r="AZ218" s="297"/>
      <c r="BA218" s="392"/>
      <c r="BB218" s="392"/>
      <c r="BC218" s="392"/>
      <c r="BD218" s="297"/>
      <c r="BE218" s="297"/>
      <c r="BF218" s="297"/>
      <c r="BG218" s="297"/>
      <c r="BH218" s="390"/>
      <c r="BI218" s="392"/>
      <c r="BJ218" s="392"/>
      <c r="BK218" s="392"/>
      <c r="BL218" s="180">
        <f t="shared" si="337"/>
        <v>-0.22736836697472226</v>
      </c>
      <c r="BM218" s="175">
        <f t="shared" si="338"/>
        <v>35952.502981329679</v>
      </c>
      <c r="BN218" s="171">
        <f t="shared" si="339"/>
        <v>15896.759043073507</v>
      </c>
      <c r="BO218" s="180">
        <f t="shared" si="340"/>
        <v>158.24077033899505</v>
      </c>
      <c r="BP218" s="181">
        <f t="shared" si="357"/>
        <v>181.97688588984431</v>
      </c>
      <c r="BQ218" s="180">
        <f t="shared" si="358"/>
        <v>1183.3223663208239</v>
      </c>
      <c r="BR218" s="180">
        <f t="shared" si="341"/>
        <v>4.7312310706932594</v>
      </c>
      <c r="BS218" s="180">
        <f t="shared" si="342"/>
        <v>2828.9132001512912</v>
      </c>
      <c r="BT218" s="180">
        <f t="shared" si="343"/>
        <v>2886.6461226033584</v>
      </c>
      <c r="BU218" s="171">
        <f t="shared" si="344"/>
        <v>3465.3614917207187</v>
      </c>
      <c r="BV218" s="171">
        <f t="shared" si="359"/>
        <v>1732.6807458603594</v>
      </c>
      <c r="BW218" s="171">
        <f t="shared" si="360"/>
        <v>1732.6807458603594</v>
      </c>
      <c r="BX218" s="180">
        <f t="shared" si="345"/>
        <v>165.0172138914628</v>
      </c>
      <c r="BY218" s="180">
        <f t="shared" si="346"/>
        <v>1.4541140416668886E-2</v>
      </c>
      <c r="BZ218" s="180">
        <f t="shared" si="347"/>
        <v>1.4541140416668886E-2</v>
      </c>
      <c r="CA218" s="182">
        <f t="shared" si="348"/>
        <v>2.9082280833337772E-2</v>
      </c>
      <c r="CB218" s="402"/>
      <c r="CC218" s="277"/>
      <c r="CD218" s="277"/>
      <c r="CE218" s="277"/>
      <c r="CF218" s="184"/>
    </row>
    <row r="219" spans="3:84" s="183" customFormat="1" ht="15.75" x14ac:dyDescent="0.25">
      <c r="C219" s="171">
        <v>80</v>
      </c>
      <c r="D219" s="379"/>
      <c r="E219" s="379"/>
      <c r="F219" s="172" t="s">
        <v>128</v>
      </c>
      <c r="G219" s="396"/>
      <c r="H219" s="173">
        <v>0.25486111111111198</v>
      </c>
      <c r="I219" s="171">
        <v>-8.7027940000000008</v>
      </c>
      <c r="J219" s="171">
        <v>116.032939</v>
      </c>
      <c r="K219" s="171">
        <f t="shared" si="349"/>
        <v>-0.15189240942280741</v>
      </c>
      <c r="L219" s="171">
        <f t="shared" si="349"/>
        <v>2.0251568263157367</v>
      </c>
      <c r="M219" s="171">
        <v>3443</v>
      </c>
      <c r="N219" s="235">
        <f t="shared" si="350"/>
        <v>0.41676567412014021</v>
      </c>
      <c r="O219" s="331"/>
      <c r="P219" s="174">
        <f t="shared" si="351"/>
        <v>4.9999999999991829E-2</v>
      </c>
      <c r="Q219" s="331"/>
      <c r="R219" s="175">
        <f t="shared" si="352"/>
        <v>8.3353134824041657</v>
      </c>
      <c r="S219" s="347"/>
      <c r="T219" s="171">
        <f t="shared" si="200"/>
        <v>4.2876852553487028</v>
      </c>
      <c r="U219" s="176">
        <f t="shared" si="353"/>
        <v>-3.3357274323019276E-5</v>
      </c>
      <c r="V219" s="171">
        <f t="shared" si="354"/>
        <v>1.1782717780217666E-4</v>
      </c>
      <c r="W219" s="171">
        <f t="shared" si="355"/>
        <v>1.846680484311608</v>
      </c>
      <c r="X219" s="171">
        <f t="shared" si="366"/>
        <v>105.80699786022997</v>
      </c>
      <c r="Y219" s="176">
        <f t="shared" si="367"/>
        <v>-3.2969269570165549E-5</v>
      </c>
      <c r="Z219" s="177">
        <f t="shared" si="368"/>
        <v>6.7509999999941783E-3</v>
      </c>
      <c r="AA219" s="178">
        <f t="shared" si="369"/>
        <v>105.80699786022997</v>
      </c>
      <c r="AB219" s="100">
        <v>200</v>
      </c>
      <c r="AC219" s="171">
        <v>13</v>
      </c>
      <c r="AD219" s="171">
        <v>4</v>
      </c>
      <c r="AE219" s="179">
        <f t="shared" si="356"/>
        <v>94.19300213977003</v>
      </c>
      <c r="AF219" s="180">
        <f t="shared" si="324"/>
        <v>0.16394935213320372</v>
      </c>
      <c r="AG219" s="382"/>
      <c r="AH219" s="385"/>
      <c r="AI219" s="388"/>
      <c r="AJ219" s="171">
        <f t="shared" si="325"/>
        <v>1.5293965360374879</v>
      </c>
      <c r="AK219" s="171">
        <f t="shared" si="326"/>
        <v>0.33</v>
      </c>
      <c r="AL219" s="180">
        <f t="shared" si="327"/>
        <v>17.587905559497941</v>
      </c>
      <c r="AM219" s="180">
        <f t="shared" si="328"/>
        <v>8.8766310068207055</v>
      </c>
      <c r="AN219" s="180">
        <f t="shared" si="329"/>
        <v>9.1472841429162646</v>
      </c>
      <c r="AO219" s="180">
        <f t="shared" si="330"/>
        <v>4.7053629631161265</v>
      </c>
      <c r="AP219" s="180">
        <f t="shared" si="331"/>
        <v>0.17992020482196563</v>
      </c>
      <c r="AQ219" s="175">
        <f t="shared" si="332"/>
        <v>4.5561684496582204E-2</v>
      </c>
      <c r="AR219" s="171">
        <f t="shared" si="333"/>
        <v>276143018.34045154</v>
      </c>
      <c r="AS219" s="171">
        <f t="shared" si="334"/>
        <v>1.807742572606297E-3</v>
      </c>
      <c r="AT219" s="180">
        <f t="shared" si="335"/>
        <v>661.19841644733503</v>
      </c>
      <c r="AU219" s="171">
        <f t="shared" si="336"/>
        <v>25534.190859748662</v>
      </c>
      <c r="AV219" s="297"/>
      <c r="AW219" s="297"/>
      <c r="AX219" s="297"/>
      <c r="AY219" s="297"/>
      <c r="AZ219" s="297"/>
      <c r="BA219" s="392"/>
      <c r="BB219" s="392"/>
      <c r="BC219" s="392"/>
      <c r="BD219" s="297"/>
      <c r="BE219" s="297"/>
      <c r="BF219" s="297"/>
      <c r="BG219" s="297"/>
      <c r="BH219" s="390"/>
      <c r="BI219" s="392"/>
      <c r="BJ219" s="392"/>
      <c r="BK219" s="392"/>
      <c r="BL219" s="180">
        <f t="shared" si="337"/>
        <v>-5.2192809880929447E-2</v>
      </c>
      <c r="BM219" s="175">
        <f t="shared" si="338"/>
        <v>1626.1416018853058</v>
      </c>
      <c r="BN219" s="171">
        <f t="shared" si="339"/>
        <v>8323.7909005635574</v>
      </c>
      <c r="BO219" s="180">
        <f t="shared" si="340"/>
        <v>68.114900562764547</v>
      </c>
      <c r="BP219" s="181">
        <f t="shared" si="357"/>
        <v>78.332135647179228</v>
      </c>
      <c r="BQ219" s="180">
        <f t="shared" si="358"/>
        <v>368.58112989602563</v>
      </c>
      <c r="BR219" s="180">
        <f t="shared" si="341"/>
        <v>3.4235797152108844</v>
      </c>
      <c r="BS219" s="180">
        <f t="shared" si="342"/>
        <v>881.14959487451347</v>
      </c>
      <c r="BT219" s="180">
        <f t="shared" si="343"/>
        <v>899.13223966787086</v>
      </c>
      <c r="BU219" s="171">
        <f t="shared" si="344"/>
        <v>1079.3904437789565</v>
      </c>
      <c r="BV219" s="171">
        <f t="shared" si="359"/>
        <v>539.69522188947826</v>
      </c>
      <c r="BW219" s="171">
        <f t="shared" si="360"/>
        <v>539.69522188947826</v>
      </c>
      <c r="BX219" s="180">
        <f t="shared" si="345"/>
        <v>51.399544941855069</v>
      </c>
      <c r="BY219" s="180">
        <f t="shared" si="346"/>
        <v>4.4064246775882068E-3</v>
      </c>
      <c r="BZ219" s="180">
        <f t="shared" si="347"/>
        <v>4.4064246775882068E-3</v>
      </c>
      <c r="CA219" s="182">
        <f t="shared" si="348"/>
        <v>8.8128493551764137E-3</v>
      </c>
      <c r="CB219" s="402"/>
      <c r="CC219" s="277"/>
      <c r="CD219" s="277"/>
      <c r="CE219" s="277"/>
      <c r="CF219" s="184"/>
    </row>
    <row r="220" spans="3:84" s="109" customFormat="1" ht="15.75" x14ac:dyDescent="0.25">
      <c r="C220" s="100">
        <v>81</v>
      </c>
      <c r="D220" s="380"/>
      <c r="E220" s="380"/>
      <c r="F220" s="163" t="s">
        <v>128</v>
      </c>
      <c r="G220" s="340">
        <v>0.25694444444444497</v>
      </c>
      <c r="H220" s="101">
        <v>0.25694444444444497</v>
      </c>
      <c r="I220" s="100">
        <v>-8.7056489999999993</v>
      </c>
      <c r="J220" s="100">
        <v>116.039052</v>
      </c>
      <c r="K220" s="100">
        <f t="shared" si="349"/>
        <v>-0.1519422385729518</v>
      </c>
      <c r="L220" s="100">
        <f t="shared" si="349"/>
        <v>2.0252635182929111</v>
      </c>
      <c r="M220" s="100">
        <v>3443</v>
      </c>
      <c r="N220" s="234">
        <f t="shared" si="350"/>
        <v>0.40159943798063746</v>
      </c>
      <c r="O220" s="399"/>
      <c r="P220" s="102">
        <f t="shared" si="351"/>
        <v>4.9999999999991829E-2</v>
      </c>
      <c r="Q220" s="399"/>
      <c r="R220" s="103">
        <f t="shared" si="352"/>
        <v>8.0319887596140624</v>
      </c>
      <c r="S220" s="354"/>
      <c r="T220" s="100">
        <f t="shared" si="200"/>
        <v>4.1316550179454739</v>
      </c>
      <c r="U220" s="165">
        <f t="shared" si="353"/>
        <v>-5.0415894620732845E-5</v>
      </c>
      <c r="V220" s="100">
        <f t="shared" si="354"/>
        <v>1.0669197717438905E-4</v>
      </c>
      <c r="W220" s="100">
        <f t="shared" si="355"/>
        <v>2.0122330654353981</v>
      </c>
      <c r="X220" s="100">
        <f t="shared" si="366"/>
        <v>115.29246204612032</v>
      </c>
      <c r="Y220" s="165">
        <f t="shared" si="367"/>
        <v>-4.9829150144398149E-5</v>
      </c>
      <c r="Z220" s="166">
        <f t="shared" si="368"/>
        <v>6.1129999999991469E-3</v>
      </c>
      <c r="AA220" s="167">
        <f t="shared" si="369"/>
        <v>115.29246204612032</v>
      </c>
      <c r="AB220" s="100">
        <v>200</v>
      </c>
      <c r="AC220" s="100">
        <v>13</v>
      </c>
      <c r="AD220" s="100">
        <v>4</v>
      </c>
      <c r="AE220" s="169">
        <f t="shared" si="356"/>
        <v>84.70753795387968</v>
      </c>
      <c r="AF220" s="104">
        <f t="shared" si="324"/>
        <v>0.15798318278727561</v>
      </c>
      <c r="AG220" s="383"/>
      <c r="AH220" s="386"/>
      <c r="AI220" s="389"/>
      <c r="AJ220" s="100">
        <f t="shared" si="325"/>
        <v>1.5629427884089133</v>
      </c>
      <c r="AK220" s="100">
        <f t="shared" si="326"/>
        <v>0.33</v>
      </c>
      <c r="AL220" s="104">
        <f t="shared" si="327"/>
        <v>17.587905559497941</v>
      </c>
      <c r="AM220" s="104">
        <f t="shared" si="328"/>
        <v>9.0713337519533326</v>
      </c>
      <c r="AN220" s="104">
        <f t="shared" si="329"/>
        <v>8.8332855754239183</v>
      </c>
      <c r="AO220" s="104">
        <f t="shared" si="330"/>
        <v>4.5438420999980629</v>
      </c>
      <c r="AP220" s="104">
        <f t="shared" si="331"/>
        <v>0.17374408897223803</v>
      </c>
      <c r="AQ220" s="103">
        <f t="shared" si="332"/>
        <v>4.5464333124015897E-2</v>
      </c>
      <c r="AR220" s="100">
        <f t="shared" si="333"/>
        <v>266663864.65645203</v>
      </c>
      <c r="AS220" s="100">
        <f t="shared" si="334"/>
        <v>1.8162877932815296E-3</v>
      </c>
      <c r="AT220" s="104">
        <f t="shared" si="335"/>
        <v>619.49825276143918</v>
      </c>
      <c r="AU220" s="100">
        <f t="shared" si="336"/>
        <v>23923.812020429057</v>
      </c>
      <c r="AV220" s="397"/>
      <c r="AW220" s="397"/>
      <c r="AX220" s="397"/>
      <c r="AY220" s="397"/>
      <c r="AZ220" s="397"/>
      <c r="BA220" s="393"/>
      <c r="BB220" s="393"/>
      <c r="BC220" s="393"/>
      <c r="BD220" s="397"/>
      <c r="BE220" s="397"/>
      <c r="BF220" s="397"/>
      <c r="BG220" s="397"/>
      <c r="BH220" s="391"/>
      <c r="BI220" s="393"/>
      <c r="BJ220" s="393"/>
      <c r="BK220" s="393"/>
      <c r="BL220" s="104">
        <f t="shared" si="337"/>
        <v>-4.1738311045721781E-2</v>
      </c>
      <c r="BM220" s="103">
        <f t="shared" si="338"/>
        <v>1095.115795697528</v>
      </c>
      <c r="BN220" s="100">
        <f t="shared" si="339"/>
        <v>7762.1380888772674</v>
      </c>
      <c r="BO220" s="104">
        <f t="shared" si="340"/>
        <v>63.353899957774466</v>
      </c>
      <c r="BP220" s="170">
        <f t="shared" si="357"/>
        <v>72.856984951440637</v>
      </c>
      <c r="BQ220" s="104">
        <f t="shared" si="358"/>
        <v>331.05063550128131</v>
      </c>
      <c r="BR220" s="104">
        <f t="shared" si="341"/>
        <v>3.3060585898717787</v>
      </c>
      <c r="BS220" s="104">
        <f t="shared" si="342"/>
        <v>791.42720474374903</v>
      </c>
      <c r="BT220" s="104">
        <f t="shared" si="343"/>
        <v>807.5787803507643</v>
      </c>
      <c r="BU220" s="100">
        <f t="shared" si="344"/>
        <v>969.48232935265833</v>
      </c>
      <c r="BV220" s="100">
        <f t="shared" si="359"/>
        <v>484.74116467632916</v>
      </c>
      <c r="BW220" s="100">
        <f t="shared" si="360"/>
        <v>484.74116467632916</v>
      </c>
      <c r="BX220" s="104">
        <f t="shared" si="345"/>
        <v>46.165825207269442</v>
      </c>
      <c r="BY220" s="104">
        <f t="shared" si="346"/>
        <v>3.9492873351264397E-3</v>
      </c>
      <c r="BZ220" s="104">
        <f t="shared" si="347"/>
        <v>3.9492873351264397E-3</v>
      </c>
      <c r="CA220" s="108">
        <f t="shared" si="348"/>
        <v>7.8985746702528795E-3</v>
      </c>
      <c r="CB220" s="402"/>
      <c r="CC220" s="276">
        <f t="shared" ref="CC220" si="380">SUM(CA220:CA224)*1000</f>
        <v>47.32817379640646</v>
      </c>
      <c r="CD220" s="276">
        <v>55</v>
      </c>
      <c r="CE220" s="276">
        <f t="shared" ref="CE220" si="381">AVERAGE(AN220:AN224)</f>
        <v>9.7018630250524858</v>
      </c>
      <c r="CF220" s="117"/>
    </row>
    <row r="221" spans="3:84" s="109" customFormat="1" ht="15.75" x14ac:dyDescent="0.25">
      <c r="C221" s="100">
        <v>82</v>
      </c>
      <c r="D221" s="380"/>
      <c r="E221" s="380"/>
      <c r="F221" s="163" t="s">
        <v>128</v>
      </c>
      <c r="G221" s="341"/>
      <c r="H221" s="101">
        <v>0.25902777777777902</v>
      </c>
      <c r="I221" s="100">
        <v>-8.7097639999999998</v>
      </c>
      <c r="J221" s="100">
        <v>116.045292</v>
      </c>
      <c r="K221" s="100">
        <f t="shared" si="349"/>
        <v>-0.15201405887167138</v>
      </c>
      <c r="L221" s="100">
        <f t="shared" si="349"/>
        <v>2.0253724268382358</v>
      </c>
      <c r="M221" s="100">
        <v>3443</v>
      </c>
      <c r="N221" s="234">
        <f t="shared" si="350"/>
        <v>0.44556424107967207</v>
      </c>
      <c r="O221" s="400">
        <f t="shared" ref="O221" si="382">SUM(N221:N225)</f>
        <v>1.9657377500545166</v>
      </c>
      <c r="P221" s="102">
        <f t="shared" si="351"/>
        <v>5.0000000000017142E-2</v>
      </c>
      <c r="Q221" s="400">
        <f t="shared" ref="Q221" si="383">SUM(P221:P225)</f>
        <v>0.25000000000000844</v>
      </c>
      <c r="R221" s="103">
        <f t="shared" si="352"/>
        <v>8.911284821590387</v>
      </c>
      <c r="S221" s="352">
        <f t="shared" ref="S221" si="384">AVERAGE(R221:R225)</f>
        <v>7.8629510002178034</v>
      </c>
      <c r="T221" s="100">
        <f t="shared" si="200"/>
        <v>4.5839649122260946</v>
      </c>
      <c r="U221" s="165">
        <f t="shared" si="353"/>
        <v>-7.2666672144361299E-5</v>
      </c>
      <c r="V221" s="100">
        <f t="shared" si="354"/>
        <v>1.0890854532474847E-4</v>
      </c>
      <c r="W221" s="100">
        <f t="shared" si="355"/>
        <v>2.1591864365272397</v>
      </c>
      <c r="X221" s="100">
        <f t="shared" si="366"/>
        <v>123.71226999490264</v>
      </c>
      <c r="Y221" s="165">
        <f t="shared" si="367"/>
        <v>-7.1820298719577069E-5</v>
      </c>
      <c r="Z221" s="166">
        <f t="shared" si="368"/>
        <v>6.2400000000053524E-3</v>
      </c>
      <c r="AA221" s="167">
        <f t="shared" si="369"/>
        <v>123.71226999490264</v>
      </c>
      <c r="AB221" s="100">
        <v>200</v>
      </c>
      <c r="AC221" s="100">
        <v>13</v>
      </c>
      <c r="AD221" s="100">
        <v>4</v>
      </c>
      <c r="AE221" s="169">
        <f t="shared" si="356"/>
        <v>76.287730005097359</v>
      </c>
      <c r="AF221" s="104">
        <f t="shared" si="324"/>
        <v>0.17527827552717279</v>
      </c>
      <c r="AG221" s="383"/>
      <c r="AH221" s="386"/>
      <c r="AI221" s="389"/>
      <c r="AJ221" s="100">
        <f t="shared" si="325"/>
        <v>1.4637963146258071</v>
      </c>
      <c r="AK221" s="100">
        <f t="shared" si="326"/>
        <v>0.33</v>
      </c>
      <c r="AL221" s="104">
        <f t="shared" si="327"/>
        <v>17.587905559497941</v>
      </c>
      <c r="AM221" s="104">
        <f t="shared" si="328"/>
        <v>8.4958867421933437</v>
      </c>
      <c r="AN221" s="104">
        <f t="shared" si="329"/>
        <v>9.7386713059373022</v>
      </c>
      <c r="AO221" s="104">
        <f t="shared" si="330"/>
        <v>5.0095725197741476</v>
      </c>
      <c r="AP221" s="104">
        <f t="shared" si="331"/>
        <v>0.19155234588563042</v>
      </c>
      <c r="AQ221" s="103">
        <f t="shared" si="332"/>
        <v>4.5752056628919006E-2</v>
      </c>
      <c r="AR221" s="100">
        <f t="shared" si="333"/>
        <v>293996124.64533138</v>
      </c>
      <c r="AS221" s="100">
        <f t="shared" si="334"/>
        <v>1.7925668792908602E-3</v>
      </c>
      <c r="AT221" s="104">
        <f t="shared" si="335"/>
        <v>743.16571044745535</v>
      </c>
      <c r="AU221" s="100">
        <f t="shared" si="336"/>
        <v>28699.607589724925</v>
      </c>
      <c r="AV221" s="397"/>
      <c r="AW221" s="397"/>
      <c r="AX221" s="397"/>
      <c r="AY221" s="397"/>
      <c r="AZ221" s="397"/>
      <c r="BA221" s="393"/>
      <c r="BB221" s="393"/>
      <c r="BC221" s="393"/>
      <c r="BD221" s="397"/>
      <c r="BE221" s="397"/>
      <c r="BF221" s="397"/>
      <c r="BG221" s="397"/>
      <c r="BH221" s="391"/>
      <c r="BI221" s="393"/>
      <c r="BJ221" s="393"/>
      <c r="BK221" s="393"/>
      <c r="BL221" s="104">
        <f t="shared" si="337"/>
        <v>-7.5093606360608176E-2</v>
      </c>
      <c r="BM221" s="103">
        <f t="shared" si="338"/>
        <v>3232.4694423699962</v>
      </c>
      <c r="BN221" s="100">
        <f t="shared" si="339"/>
        <v>9434.8769030683015</v>
      </c>
      <c r="BO221" s="104">
        <f t="shared" si="340"/>
        <v>78.042895857422153</v>
      </c>
      <c r="BP221" s="170">
        <f t="shared" si="357"/>
        <v>89.749330236035476</v>
      </c>
      <c r="BQ221" s="104">
        <f t="shared" si="358"/>
        <v>449.60577841857832</v>
      </c>
      <c r="BR221" s="104">
        <f t="shared" si="341"/>
        <v>3.6449198489076</v>
      </c>
      <c r="BS221" s="104">
        <f t="shared" si="342"/>
        <v>1074.8514163449647</v>
      </c>
      <c r="BT221" s="104">
        <f t="shared" si="343"/>
        <v>1096.7871595356783</v>
      </c>
      <c r="BU221" s="100">
        <f t="shared" si="344"/>
        <v>1316.6712599467926</v>
      </c>
      <c r="BV221" s="100">
        <f t="shared" si="359"/>
        <v>658.33562997339629</v>
      </c>
      <c r="BW221" s="100">
        <f t="shared" si="360"/>
        <v>658.33562997339629</v>
      </c>
      <c r="BX221" s="104">
        <f t="shared" si="345"/>
        <v>62.698631426037743</v>
      </c>
      <c r="BY221" s="104">
        <f t="shared" si="346"/>
        <v>5.3975414569893184E-3</v>
      </c>
      <c r="BZ221" s="104">
        <f t="shared" si="347"/>
        <v>5.3975414569893184E-3</v>
      </c>
      <c r="CA221" s="108">
        <f t="shared" si="348"/>
        <v>1.0795082913978637E-2</v>
      </c>
      <c r="CB221" s="402"/>
      <c r="CC221" s="277"/>
      <c r="CD221" s="277"/>
      <c r="CE221" s="277"/>
      <c r="CF221" s="117"/>
    </row>
    <row r="222" spans="3:84" s="109" customFormat="1" ht="15.75" x14ac:dyDescent="0.25">
      <c r="C222" s="100">
        <v>83</v>
      </c>
      <c r="D222" s="380"/>
      <c r="E222" s="380"/>
      <c r="F222" s="163" t="s">
        <v>128</v>
      </c>
      <c r="G222" s="341"/>
      <c r="H222" s="101">
        <v>0.26111111111111202</v>
      </c>
      <c r="I222" s="100">
        <v>-8.7151700000000005</v>
      </c>
      <c r="J222" s="100">
        <v>116.048818</v>
      </c>
      <c r="K222" s="100">
        <f t="shared" si="349"/>
        <v>-0.15210841137103423</v>
      </c>
      <c r="L222" s="100">
        <f t="shared" si="349"/>
        <v>2.0254339671476607</v>
      </c>
      <c r="M222" s="100">
        <v>3443</v>
      </c>
      <c r="N222" s="234">
        <f t="shared" si="350"/>
        <v>0.38651729679875652</v>
      </c>
      <c r="O222" s="359"/>
      <c r="P222" s="102">
        <f t="shared" si="351"/>
        <v>4.9999999999991829E-2</v>
      </c>
      <c r="Q222" s="359"/>
      <c r="R222" s="103">
        <f t="shared" si="352"/>
        <v>7.730345935976394</v>
      </c>
      <c r="S222" s="353"/>
      <c r="T222" s="100">
        <f t="shared" si="200"/>
        <v>3.9764899494662567</v>
      </c>
      <c r="U222" s="165">
        <f t="shared" si="353"/>
        <v>-9.5465627391139673E-5</v>
      </c>
      <c r="V222" s="100">
        <f t="shared" si="354"/>
        <v>6.1540309424845674E-5</v>
      </c>
      <c r="W222" s="100">
        <f t="shared" si="355"/>
        <v>2.5689995097040703</v>
      </c>
      <c r="X222" s="100">
        <f t="shared" si="366"/>
        <v>147.19282947722101</v>
      </c>
      <c r="Y222" s="165">
        <f t="shared" si="367"/>
        <v>-9.4352499362848619E-5</v>
      </c>
      <c r="Z222" s="166">
        <f t="shared" si="368"/>
        <v>3.5259999999937008E-3</v>
      </c>
      <c r="AA222" s="167">
        <f t="shared" si="369"/>
        <v>147.19282947722101</v>
      </c>
      <c r="AB222" s="100">
        <v>200</v>
      </c>
      <c r="AC222" s="100">
        <v>13</v>
      </c>
      <c r="AD222" s="100">
        <v>4</v>
      </c>
      <c r="AE222" s="169">
        <f t="shared" si="356"/>
        <v>52.807170522778989</v>
      </c>
      <c r="AF222" s="104">
        <f t="shared" si="324"/>
        <v>0.15205009513371298</v>
      </c>
      <c r="AG222" s="383"/>
      <c r="AH222" s="386"/>
      <c r="AI222" s="389"/>
      <c r="AJ222" s="100">
        <f t="shared" si="325"/>
        <v>1.5956182172930573</v>
      </c>
      <c r="AK222" s="100">
        <f t="shared" si="326"/>
        <v>0.85</v>
      </c>
      <c r="AL222" s="104">
        <f t="shared" si="327"/>
        <v>17.587905559497941</v>
      </c>
      <c r="AM222" s="104">
        <f t="shared" si="328"/>
        <v>23.854045137550042</v>
      </c>
      <c r="AN222" s="104">
        <f t="shared" si="329"/>
        <v>10.152011291920219</v>
      </c>
      <c r="AO222" s="104">
        <f t="shared" si="330"/>
        <v>5.2221946085637603</v>
      </c>
      <c r="AP222" s="104">
        <f t="shared" si="331"/>
        <v>0.19968243278106662</v>
      </c>
      <c r="AQ222" s="103">
        <f t="shared" si="332"/>
        <v>3.8072977431218756E-2</v>
      </c>
      <c r="AR222" s="100">
        <f t="shared" si="333"/>
        <v>306474249.25005507</v>
      </c>
      <c r="AS222" s="100">
        <f t="shared" si="334"/>
        <v>1.782602922440416E-3</v>
      </c>
      <c r="AT222" s="104">
        <f t="shared" si="335"/>
        <v>803.1000958861531</v>
      </c>
      <c r="AU222" s="100">
        <f t="shared" si="336"/>
        <v>31014.156443420408</v>
      </c>
      <c r="AV222" s="397"/>
      <c r="AW222" s="397"/>
      <c r="AX222" s="397"/>
      <c r="AY222" s="397"/>
      <c r="AZ222" s="397"/>
      <c r="BA222" s="393"/>
      <c r="BB222" s="393"/>
      <c r="BC222" s="393"/>
      <c r="BD222" s="397"/>
      <c r="BE222" s="397"/>
      <c r="BF222" s="397"/>
      <c r="BG222" s="397"/>
      <c r="BH222" s="391"/>
      <c r="BI222" s="393"/>
      <c r="BJ222" s="393"/>
      <c r="BK222" s="393"/>
      <c r="BL222" s="104">
        <f t="shared" si="337"/>
        <v>-9.333028449527489E-2</v>
      </c>
      <c r="BM222" s="103">
        <f t="shared" si="338"/>
        <v>5004.9865612834783</v>
      </c>
      <c r="BN222" s="100">
        <f t="shared" si="339"/>
        <v>10252.76507939287</v>
      </c>
      <c r="BO222" s="104">
        <f t="shared" si="340"/>
        <v>85.905669519008484</v>
      </c>
      <c r="BP222" s="170">
        <f t="shared" si="357"/>
        <v>98.791519946859751</v>
      </c>
      <c r="BQ222" s="104">
        <f t="shared" si="358"/>
        <v>515.90854283831015</v>
      </c>
      <c r="BR222" s="104">
        <f t="shared" si="341"/>
        <v>3.7996217658249325</v>
      </c>
      <c r="BS222" s="104">
        <f t="shared" si="342"/>
        <v>1233.3583209821816</v>
      </c>
      <c r="BT222" s="104">
        <f t="shared" si="343"/>
        <v>1258.5288989614098</v>
      </c>
      <c r="BU222" s="100">
        <f t="shared" si="344"/>
        <v>1510.8390143594359</v>
      </c>
      <c r="BV222" s="100">
        <f t="shared" si="359"/>
        <v>755.41950717971793</v>
      </c>
      <c r="BW222" s="100">
        <f t="shared" si="360"/>
        <v>755.41950717971793</v>
      </c>
      <c r="BX222" s="104">
        <f t="shared" si="345"/>
        <v>71.944714969496943</v>
      </c>
      <c r="BY222" s="104">
        <f t="shared" si="346"/>
        <v>5.153983716753679E-3</v>
      </c>
      <c r="BZ222" s="104">
        <f t="shared" si="347"/>
        <v>5.153983716753679E-3</v>
      </c>
      <c r="CA222" s="108">
        <f t="shared" si="348"/>
        <v>1.0307967433507358E-2</v>
      </c>
      <c r="CB222" s="402"/>
      <c r="CC222" s="277"/>
      <c r="CD222" s="277"/>
      <c r="CE222" s="277"/>
      <c r="CF222" s="117"/>
    </row>
    <row r="223" spans="3:84" s="109" customFormat="1" ht="15.75" x14ac:dyDescent="0.25">
      <c r="C223" s="100">
        <v>84</v>
      </c>
      <c r="D223" s="380"/>
      <c r="E223" s="380"/>
      <c r="F223" s="163" t="s">
        <v>128</v>
      </c>
      <c r="G223" s="341"/>
      <c r="H223" s="101">
        <v>0.26319444444444501</v>
      </c>
      <c r="I223" s="100">
        <v>-8.7214010000000002</v>
      </c>
      <c r="J223" s="100">
        <v>116.05052999999999</v>
      </c>
      <c r="K223" s="100">
        <f t="shared" si="349"/>
        <v>-0.15221716283672598</v>
      </c>
      <c r="L223" s="100">
        <f t="shared" si="349"/>
        <v>2.0254638471844548</v>
      </c>
      <c r="M223" s="100">
        <v>3443</v>
      </c>
      <c r="N223" s="234">
        <f t="shared" si="350"/>
        <v>0.38799394613114013</v>
      </c>
      <c r="O223" s="359"/>
      <c r="P223" s="102">
        <f t="shared" si="351"/>
        <v>4.9999999999991829E-2</v>
      </c>
      <c r="Q223" s="359"/>
      <c r="R223" s="103">
        <f t="shared" si="352"/>
        <v>7.759878922624071</v>
      </c>
      <c r="S223" s="353"/>
      <c r="T223" s="100">
        <f t="shared" si="200"/>
        <v>3.9916817177978219</v>
      </c>
      <c r="U223" s="165">
        <f t="shared" si="353"/>
        <v>-1.1003618830001667E-4</v>
      </c>
      <c r="V223" s="100">
        <f t="shared" si="354"/>
        <v>2.9880036794160958E-5</v>
      </c>
      <c r="W223" s="100">
        <f t="shared" si="355"/>
        <v>2.8764391564736407</v>
      </c>
      <c r="X223" s="100">
        <f t="shared" si="366"/>
        <v>164.80782369211022</v>
      </c>
      <c r="Y223" s="165">
        <f t="shared" si="367"/>
        <v>-1.087514656917532E-4</v>
      </c>
      <c r="Z223" s="166">
        <f t="shared" si="368"/>
        <v>1.7119999999977153E-3</v>
      </c>
      <c r="AA223" s="167">
        <f t="shared" si="369"/>
        <v>164.80782369211022</v>
      </c>
      <c r="AB223" s="100">
        <v>200</v>
      </c>
      <c r="AC223" s="100">
        <v>13</v>
      </c>
      <c r="AD223" s="100">
        <v>4</v>
      </c>
      <c r="AE223" s="169">
        <f t="shared" si="356"/>
        <v>35.192176307889781</v>
      </c>
      <c r="AF223" s="104">
        <f t="shared" si="324"/>
        <v>0.15263098678675838</v>
      </c>
      <c r="AG223" s="383"/>
      <c r="AH223" s="386"/>
      <c r="AI223" s="389"/>
      <c r="AJ223" s="100">
        <f t="shared" si="325"/>
        <v>1.592449217196358</v>
      </c>
      <c r="AK223" s="100">
        <f t="shared" si="326"/>
        <v>0.85</v>
      </c>
      <c r="AL223" s="104">
        <f t="shared" si="327"/>
        <v>17.587905559497941</v>
      </c>
      <c r="AM223" s="104">
        <f t="shared" si="328"/>
        <v>23.806669474294072</v>
      </c>
      <c r="AN223" s="104">
        <f t="shared" si="329"/>
        <v>10.184459544009645</v>
      </c>
      <c r="AO223" s="104">
        <f t="shared" si="330"/>
        <v>5.2388859894385611</v>
      </c>
      <c r="AP223" s="104">
        <f t="shared" si="331"/>
        <v>0.20032066551450209</v>
      </c>
      <c r="AQ223" s="103">
        <f t="shared" si="332"/>
        <v>3.8096665262846732E-2</v>
      </c>
      <c r="AR223" s="100">
        <f t="shared" si="333"/>
        <v>307453814.12765706</v>
      </c>
      <c r="AS223" s="100">
        <f t="shared" si="334"/>
        <v>1.7818414178792969E-3</v>
      </c>
      <c r="AT223" s="104">
        <f t="shared" si="335"/>
        <v>807.89682922450288</v>
      </c>
      <c r="AU223" s="100">
        <f t="shared" si="336"/>
        <v>31199.3969121179</v>
      </c>
      <c r="AV223" s="397"/>
      <c r="AW223" s="397"/>
      <c r="AX223" s="397"/>
      <c r="AY223" s="397"/>
      <c r="AZ223" s="397"/>
      <c r="BA223" s="393"/>
      <c r="BB223" s="393"/>
      <c r="BC223" s="393"/>
      <c r="BD223" s="397"/>
      <c r="BE223" s="397"/>
      <c r="BF223" s="397"/>
      <c r="BG223" s="397"/>
      <c r="BH223" s="391"/>
      <c r="BI223" s="393"/>
      <c r="BJ223" s="393"/>
      <c r="BK223" s="393"/>
      <c r="BL223" s="104">
        <f t="shared" si="337"/>
        <v>-9.4831361935777139E-2</v>
      </c>
      <c r="BM223" s="103">
        <f t="shared" si="338"/>
        <v>5172.1796263346023</v>
      </c>
      <c r="BN223" s="100">
        <f t="shared" si="339"/>
        <v>10318.410391551542</v>
      </c>
      <c r="BO223" s="104">
        <f t="shared" si="340"/>
        <v>86.560471764368572</v>
      </c>
      <c r="BP223" s="170">
        <f t="shared" si="357"/>
        <v>99.544542529023857</v>
      </c>
      <c r="BQ223" s="104">
        <f t="shared" si="358"/>
        <v>521.50250918037409</v>
      </c>
      <c r="BR223" s="104">
        <f t="shared" si="341"/>
        <v>3.811766264225962</v>
      </c>
      <c r="BS223" s="104">
        <f t="shared" si="342"/>
        <v>1246.7315535658513</v>
      </c>
      <c r="BT223" s="104">
        <f t="shared" si="343"/>
        <v>1272.175054659032</v>
      </c>
      <c r="BU223" s="100">
        <f t="shared" si="344"/>
        <v>1527.2209539724274</v>
      </c>
      <c r="BV223" s="100">
        <f t="shared" si="359"/>
        <v>763.61047698621371</v>
      </c>
      <c r="BW223" s="100">
        <f t="shared" si="360"/>
        <v>763.61047698621371</v>
      </c>
      <c r="BX223" s="104">
        <f t="shared" si="345"/>
        <v>72.724807332020362</v>
      </c>
      <c r="BY223" s="104">
        <f t="shared" si="346"/>
        <v>5.213109481744015E-3</v>
      </c>
      <c r="BZ223" s="104">
        <f t="shared" si="347"/>
        <v>5.213109481744015E-3</v>
      </c>
      <c r="CA223" s="108">
        <f t="shared" si="348"/>
        <v>1.042621896348803E-2</v>
      </c>
      <c r="CB223" s="402"/>
      <c r="CC223" s="277"/>
      <c r="CD223" s="277"/>
      <c r="CE223" s="277"/>
      <c r="CF223" s="117"/>
    </row>
    <row r="224" spans="3:84" s="109" customFormat="1" ht="15.75" x14ac:dyDescent="0.25">
      <c r="C224" s="100">
        <v>85</v>
      </c>
      <c r="D224" s="380"/>
      <c r="E224" s="380"/>
      <c r="F224" s="163" t="s">
        <v>128</v>
      </c>
      <c r="G224" s="342"/>
      <c r="H224" s="101">
        <v>0.265277777777779</v>
      </c>
      <c r="I224" s="100">
        <v>-8.7269970000000008</v>
      </c>
      <c r="J224" s="100">
        <v>116.050783</v>
      </c>
      <c r="K224" s="100">
        <f t="shared" si="349"/>
        <v>-0.1523148314616676</v>
      </c>
      <c r="L224" s="100">
        <f t="shared" si="349"/>
        <v>2.0254682628674625</v>
      </c>
      <c r="M224" s="100">
        <v>3443</v>
      </c>
      <c r="N224" s="234">
        <f t="shared" si="350"/>
        <v>0.33660867635404568</v>
      </c>
      <c r="O224" s="359"/>
      <c r="P224" s="102">
        <f t="shared" si="351"/>
        <v>5.000000000001581E-2</v>
      </c>
      <c r="Q224" s="359"/>
      <c r="R224" s="103">
        <f t="shared" si="352"/>
        <v>6.7321735270787846</v>
      </c>
      <c r="S224" s="353"/>
      <c r="T224" s="100">
        <f t="shared" si="200"/>
        <v>3.4630300623293264</v>
      </c>
      <c r="U224" s="165">
        <f t="shared" si="353"/>
        <v>-9.8823994643384595E-5</v>
      </c>
      <c r="V224" s="100">
        <f t="shared" si="354"/>
        <v>4.4156830076858E-6</v>
      </c>
      <c r="W224" s="100">
        <f t="shared" si="355"/>
        <v>3.0969400579262718</v>
      </c>
      <c r="X224" s="100">
        <f t="shared" si="366"/>
        <v>177.44159472417607</v>
      </c>
      <c r="Y224" s="165">
        <f t="shared" si="367"/>
        <v>-9.7668624941621429E-5</v>
      </c>
      <c r="Z224" s="166">
        <f t="shared" si="368"/>
        <v>2.5300000000072487E-4</v>
      </c>
      <c r="AA224" s="167">
        <f t="shared" si="369"/>
        <v>177.44159472417607</v>
      </c>
      <c r="AB224" s="100">
        <v>200</v>
      </c>
      <c r="AC224" s="100">
        <v>13</v>
      </c>
      <c r="AD224" s="100">
        <v>4</v>
      </c>
      <c r="AE224" s="169">
        <f t="shared" si="356"/>
        <v>22.55840527582393</v>
      </c>
      <c r="AF224" s="104">
        <f t="shared" si="324"/>
        <v>0.13241679398655556</v>
      </c>
      <c r="AG224" s="383"/>
      <c r="AH224" s="386"/>
      <c r="AI224" s="389"/>
      <c r="AJ224" s="100">
        <f t="shared" si="325"/>
        <v>1.6988762039357357</v>
      </c>
      <c r="AK224" s="100">
        <f t="shared" si="326"/>
        <v>1</v>
      </c>
      <c r="AL224" s="104">
        <f t="shared" si="327"/>
        <v>17.587905559497941</v>
      </c>
      <c r="AM224" s="104">
        <f t="shared" si="328"/>
        <v>29.879674232100083</v>
      </c>
      <c r="AN224" s="104">
        <f t="shared" si="329"/>
        <v>9.6008874079713387</v>
      </c>
      <c r="AO224" s="104">
        <f t="shared" si="330"/>
        <v>4.9386964826604567</v>
      </c>
      <c r="AP224" s="104">
        <f t="shared" si="331"/>
        <v>0.18884224015852208</v>
      </c>
      <c r="AQ224" s="103">
        <f t="shared" si="332"/>
        <v>3.5060162883961042E-2</v>
      </c>
      <c r="AR224" s="100">
        <f t="shared" si="333"/>
        <v>289836631.96219456</v>
      </c>
      <c r="AS224" s="100">
        <f t="shared" si="334"/>
        <v>1.7960017434536085E-3</v>
      </c>
      <c r="AT224" s="104">
        <f t="shared" si="335"/>
        <v>723.66969560362372</v>
      </c>
      <c r="AU224" s="100">
        <f t="shared" si="336"/>
        <v>27946.709591720508</v>
      </c>
      <c r="AV224" s="397"/>
      <c r="AW224" s="397"/>
      <c r="AX224" s="397"/>
      <c r="AY224" s="397"/>
      <c r="AZ224" s="397"/>
      <c r="BA224" s="393"/>
      <c r="BB224" s="393"/>
      <c r="BC224" s="393"/>
      <c r="BD224" s="397"/>
      <c r="BE224" s="397"/>
      <c r="BF224" s="397"/>
      <c r="BG224" s="397"/>
      <c r="BH224" s="391"/>
      <c r="BI224" s="393"/>
      <c r="BJ224" s="393"/>
      <c r="BK224" s="393"/>
      <c r="BL224" s="104">
        <f t="shared" si="337"/>
        <v>-6.9404363042837772E-2</v>
      </c>
      <c r="BM224" s="103">
        <f t="shared" si="338"/>
        <v>2772.4596060391109</v>
      </c>
      <c r="BN224" s="100">
        <f t="shared" si="339"/>
        <v>9169.7939198619915</v>
      </c>
      <c r="BO224" s="104">
        <f t="shared" si="340"/>
        <v>75.602757973518507</v>
      </c>
      <c r="BP224" s="170">
        <f t="shared" si="357"/>
        <v>86.943171669546288</v>
      </c>
      <c r="BQ224" s="104">
        <f t="shared" si="358"/>
        <v>429.38593611573253</v>
      </c>
      <c r="BR224" s="104">
        <f t="shared" si="341"/>
        <v>3.593351082617088</v>
      </c>
      <c r="BS224" s="104">
        <f t="shared" si="342"/>
        <v>1026.5127890837018</v>
      </c>
      <c r="BT224" s="104">
        <f t="shared" si="343"/>
        <v>1047.4620296772468</v>
      </c>
      <c r="BU224" s="100">
        <f t="shared" si="344"/>
        <v>1257.4574185801282</v>
      </c>
      <c r="BV224" s="100">
        <f t="shared" si="359"/>
        <v>628.7287092900641</v>
      </c>
      <c r="BW224" s="100">
        <f t="shared" si="360"/>
        <v>628.7287092900641</v>
      </c>
      <c r="BX224" s="104">
        <f t="shared" si="345"/>
        <v>59.878924694291825</v>
      </c>
      <c r="BY224" s="104">
        <f t="shared" si="346"/>
        <v>3.9501649075897776E-3</v>
      </c>
      <c r="BZ224" s="104">
        <f t="shared" si="347"/>
        <v>3.9501649075897776E-3</v>
      </c>
      <c r="CA224" s="108">
        <f t="shared" si="348"/>
        <v>7.9003298151795551E-3</v>
      </c>
      <c r="CB224" s="402"/>
      <c r="CC224" s="277"/>
      <c r="CD224" s="277"/>
      <c r="CE224" s="277"/>
      <c r="CF224" s="117"/>
    </row>
    <row r="225" spans="3:84" s="183" customFormat="1" ht="15.75" x14ac:dyDescent="0.25">
      <c r="C225" s="171">
        <v>86</v>
      </c>
      <c r="D225" s="379"/>
      <c r="E225" s="379"/>
      <c r="F225" s="172" t="s">
        <v>128</v>
      </c>
      <c r="G225" s="394">
        <v>0.26736111111111099</v>
      </c>
      <c r="H225" s="173">
        <v>0.26736111111111199</v>
      </c>
      <c r="I225" s="171">
        <v>-8.7337509999999998</v>
      </c>
      <c r="J225" s="171">
        <v>116.051642</v>
      </c>
      <c r="K225" s="171">
        <f t="shared" si="349"/>
        <v>-0.15243271099934727</v>
      </c>
      <c r="L225" s="171">
        <f t="shared" si="349"/>
        <v>2.0254832552457374</v>
      </c>
      <c r="M225" s="171">
        <v>3443</v>
      </c>
      <c r="N225" s="235">
        <f t="shared" si="350"/>
        <v>0.40905358969090228</v>
      </c>
      <c r="O225" s="358"/>
      <c r="P225" s="174">
        <f t="shared" si="351"/>
        <v>4.9999999999991829E-2</v>
      </c>
      <c r="Q225" s="358"/>
      <c r="R225" s="175">
        <f t="shared" si="352"/>
        <v>8.1810717938193829</v>
      </c>
      <c r="S225" s="348"/>
      <c r="T225" s="171">
        <f t="shared" si="200"/>
        <v>4.2083433307406901</v>
      </c>
      <c r="U225" s="176">
        <f t="shared" si="353"/>
        <v>-1.1927597592616438E-4</v>
      </c>
      <c r="V225" s="171">
        <f t="shared" si="354"/>
        <v>1.499237827484734E-5</v>
      </c>
      <c r="W225" s="171">
        <f t="shared" si="355"/>
        <v>3.0165535380750752</v>
      </c>
      <c r="X225" s="171">
        <f t="shared" si="366"/>
        <v>172.83578640695788</v>
      </c>
      <c r="Y225" s="176">
        <f t="shared" si="367"/>
        <v>-1.1787953767966597E-4</v>
      </c>
      <c r="Z225" s="177">
        <f t="shared" si="368"/>
        <v>8.5900000000549426E-4</v>
      </c>
      <c r="AA225" s="178">
        <f t="shared" si="369"/>
        <v>172.83578640695788</v>
      </c>
      <c r="AB225" s="100">
        <v>200</v>
      </c>
      <c r="AC225" s="171">
        <v>13</v>
      </c>
      <c r="AD225" s="171">
        <v>4</v>
      </c>
      <c r="AE225" s="179">
        <f t="shared" si="356"/>
        <v>27.16421359304212</v>
      </c>
      <c r="AF225" s="180">
        <f t="shared" si="324"/>
        <v>0.16091553403280601</v>
      </c>
      <c r="AG225" s="382"/>
      <c r="AH225" s="385"/>
      <c r="AI225" s="388"/>
      <c r="AJ225" s="171">
        <f t="shared" si="325"/>
        <v>1.5465412167152726</v>
      </c>
      <c r="AK225" s="171">
        <f t="shared" si="326"/>
        <v>1</v>
      </c>
      <c r="AL225" s="180">
        <f t="shared" si="327"/>
        <v>17.587905559497941</v>
      </c>
      <c r="AM225" s="180">
        <f t="shared" si="328"/>
        <v>27.20042086345925</v>
      </c>
      <c r="AN225" s="180">
        <f t="shared" si="329"/>
        <v>11.237800947276364</v>
      </c>
      <c r="AO225" s="180">
        <f t="shared" si="330"/>
        <v>5.7807248072789612</v>
      </c>
      <c r="AP225" s="180">
        <f t="shared" si="331"/>
        <v>0.22103909932088697</v>
      </c>
      <c r="AQ225" s="175">
        <f t="shared" si="332"/>
        <v>3.6399789568264423E-2</v>
      </c>
      <c r="AR225" s="171">
        <f t="shared" si="333"/>
        <v>339252637.67970479</v>
      </c>
      <c r="AS225" s="171">
        <f t="shared" si="334"/>
        <v>1.758592860617762E-3</v>
      </c>
      <c r="AT225" s="180">
        <f t="shared" si="335"/>
        <v>970.82031477669204</v>
      </c>
      <c r="AU225" s="171">
        <f t="shared" si="336"/>
        <v>37491.183571223519</v>
      </c>
      <c r="AV225" s="297"/>
      <c r="AW225" s="297"/>
      <c r="AX225" s="297"/>
      <c r="AY225" s="297"/>
      <c r="AZ225" s="297"/>
      <c r="BA225" s="392"/>
      <c r="BB225" s="392"/>
      <c r="BC225" s="392"/>
      <c r="BD225" s="297"/>
      <c r="BE225" s="297"/>
      <c r="BF225" s="297"/>
      <c r="BG225" s="297"/>
      <c r="BH225" s="390"/>
      <c r="BI225" s="392"/>
      <c r="BJ225" s="392"/>
      <c r="BK225" s="392"/>
      <c r="BL225" s="180">
        <f t="shared" si="337"/>
        <v>-0.14802289133485735</v>
      </c>
      <c r="BM225" s="175">
        <f t="shared" si="338"/>
        <v>13462.753427799114</v>
      </c>
      <c r="BN225" s="171">
        <f t="shared" si="339"/>
        <v>12563.177412935154</v>
      </c>
      <c r="BO225" s="180">
        <f t="shared" si="340"/>
        <v>111.4280298123213</v>
      </c>
      <c r="BP225" s="181">
        <f t="shared" si="357"/>
        <v>128.14223428416949</v>
      </c>
      <c r="BQ225" s="180">
        <f t="shared" si="358"/>
        <v>740.75499258665116</v>
      </c>
      <c r="BR225" s="180">
        <f t="shared" si="341"/>
        <v>4.2060033082570447</v>
      </c>
      <c r="BS225" s="180">
        <f t="shared" si="342"/>
        <v>1770.8881672893235</v>
      </c>
      <c r="BT225" s="180">
        <f t="shared" si="343"/>
        <v>1807.0287421319629</v>
      </c>
      <c r="BU225" s="171">
        <f t="shared" si="344"/>
        <v>2169.3022114429327</v>
      </c>
      <c r="BV225" s="171">
        <f t="shared" si="359"/>
        <v>1084.6511057214664</v>
      </c>
      <c r="BW225" s="171">
        <f t="shared" si="360"/>
        <v>1084.6511057214664</v>
      </c>
      <c r="BX225" s="180">
        <f t="shared" si="345"/>
        <v>103.30010530680632</v>
      </c>
      <c r="BY225" s="180">
        <f t="shared" si="346"/>
        <v>7.0750081029818095E-3</v>
      </c>
      <c r="BZ225" s="180">
        <f t="shared" si="347"/>
        <v>7.0750081029818095E-3</v>
      </c>
      <c r="CA225" s="182">
        <f t="shared" si="348"/>
        <v>1.4150016205963619E-2</v>
      </c>
      <c r="CB225" s="402"/>
      <c r="CC225" s="276">
        <f t="shared" ref="CC225" si="385">SUM(CA225:CA229)*1000</f>
        <v>19.614236404017078</v>
      </c>
      <c r="CD225" s="276">
        <v>59</v>
      </c>
      <c r="CE225" s="276">
        <f t="shared" ref="CE225" si="386">AVERAGE(AN225:AN229)</f>
        <v>6.1550727571587283</v>
      </c>
      <c r="CF225" s="184"/>
    </row>
    <row r="226" spans="3:84" s="183" customFormat="1" ht="15.75" x14ac:dyDescent="0.25">
      <c r="C226" s="171">
        <v>87</v>
      </c>
      <c r="D226" s="379"/>
      <c r="E226" s="379"/>
      <c r="F226" s="172" t="s">
        <v>128</v>
      </c>
      <c r="G226" s="395"/>
      <c r="H226" s="173">
        <v>0.26944444444444499</v>
      </c>
      <c r="I226" s="171">
        <v>-8.7376360000000002</v>
      </c>
      <c r="J226" s="171">
        <v>116.05167299999999</v>
      </c>
      <c r="K226" s="171">
        <f t="shared" si="349"/>
        <v>-0.15250051704078726</v>
      </c>
      <c r="L226" s="171">
        <f t="shared" si="349"/>
        <v>2.0254837962978054</v>
      </c>
      <c r="M226" s="171">
        <v>3443</v>
      </c>
      <c r="N226" s="235">
        <f t="shared" si="350"/>
        <v>0.23346346131964038</v>
      </c>
      <c r="O226" s="357">
        <f t="shared" ref="O226" si="387">SUM(N226:N230)</f>
        <v>0.82412120222378649</v>
      </c>
      <c r="P226" s="174">
        <f t="shared" si="351"/>
        <v>4.9999999999991829E-2</v>
      </c>
      <c r="Q226" s="357">
        <f t="shared" ref="Q226" si="388">SUM(P226:P230)</f>
        <v>0.25000000000000844</v>
      </c>
      <c r="R226" s="175">
        <f t="shared" si="352"/>
        <v>4.6692692263935704</v>
      </c>
      <c r="S226" s="346">
        <f t="shared" ref="S226" si="389">AVERAGE(R226:R230)</f>
        <v>3.2964848088951504</v>
      </c>
      <c r="T226" s="171">
        <f t="shared" si="200"/>
        <v>2.4018720900568526</v>
      </c>
      <c r="U226" s="176">
        <f t="shared" si="353"/>
        <v>-6.8610276888799116E-5</v>
      </c>
      <c r="V226" s="171">
        <f t="shared" si="354"/>
        <v>5.4105206803711781E-7</v>
      </c>
      <c r="W226" s="171">
        <f t="shared" si="355"/>
        <v>3.1337069420387422</v>
      </c>
      <c r="X226" s="171">
        <f t="shared" si="366"/>
        <v>179.54818200966722</v>
      </c>
      <c r="Y226" s="176">
        <f t="shared" si="367"/>
        <v>-6.7806041439993914E-5</v>
      </c>
      <c r="Z226" s="177">
        <f t="shared" si="368"/>
        <v>3.0999999992786798E-5</v>
      </c>
      <c r="AA226" s="178">
        <f t="shared" si="369"/>
        <v>179.54818200966722</v>
      </c>
      <c r="AB226" s="100">
        <v>200</v>
      </c>
      <c r="AC226" s="171">
        <v>13</v>
      </c>
      <c r="AD226" s="171">
        <v>4</v>
      </c>
      <c r="AE226" s="179">
        <f t="shared" si="356"/>
        <v>20.451817990332785</v>
      </c>
      <c r="AF226" s="180">
        <f t="shared" si="324"/>
        <v>9.1841016683865628E-2</v>
      </c>
      <c r="AG226" s="382"/>
      <c r="AH226" s="385"/>
      <c r="AI226" s="388"/>
      <c r="AJ226" s="171">
        <f t="shared" si="325"/>
        <v>1.8885801665387332</v>
      </c>
      <c r="AK226" s="171">
        <f t="shared" si="326"/>
        <v>1</v>
      </c>
      <c r="AL226" s="180">
        <f t="shared" si="327"/>
        <v>17.587905559497941</v>
      </c>
      <c r="AM226" s="180">
        <f t="shared" si="328"/>
        <v>33.216169610624135</v>
      </c>
      <c r="AN226" s="180">
        <f t="shared" si="329"/>
        <v>6.9916163825433548</v>
      </c>
      <c r="AO226" s="180">
        <f t="shared" si="330"/>
        <v>3.5964874671803013</v>
      </c>
      <c r="AP226" s="180">
        <f t="shared" si="331"/>
        <v>0.13751983997982231</v>
      </c>
      <c r="AQ226" s="175">
        <f t="shared" si="332"/>
        <v>3.339191519468248E-2</v>
      </c>
      <c r="AR226" s="171">
        <f t="shared" si="333"/>
        <v>211066587.72037935</v>
      </c>
      <c r="AS226" s="171">
        <f t="shared" si="334"/>
        <v>1.8750805406525528E-3</v>
      </c>
      <c r="AT226" s="180">
        <f t="shared" si="335"/>
        <v>400.66922751456997</v>
      </c>
      <c r="AU226" s="171">
        <f t="shared" si="336"/>
        <v>15473.06265788672</v>
      </c>
      <c r="AV226" s="297"/>
      <c r="AW226" s="297"/>
      <c r="AX226" s="297"/>
      <c r="AY226" s="297"/>
      <c r="AZ226" s="297"/>
      <c r="BA226" s="392"/>
      <c r="BB226" s="392"/>
      <c r="BC226" s="392"/>
      <c r="BD226" s="297"/>
      <c r="BE226" s="297"/>
      <c r="BF226" s="297"/>
      <c r="BG226" s="297"/>
      <c r="BH226" s="390"/>
      <c r="BI226" s="392"/>
      <c r="BJ226" s="392"/>
      <c r="BK226" s="392"/>
      <c r="BL226" s="180">
        <f t="shared" si="337"/>
        <v>-5.7913917300058057E-3</v>
      </c>
      <c r="BM226" s="175">
        <f t="shared" si="338"/>
        <v>61.643654565085932</v>
      </c>
      <c r="BN226" s="171">
        <f t="shared" si="339"/>
        <v>4862.8626685585305</v>
      </c>
      <c r="BO226" s="180">
        <f t="shared" si="340"/>
        <v>40.170980363934611</v>
      </c>
      <c r="BP226" s="181">
        <f t="shared" si="357"/>
        <v>46.196627418524798</v>
      </c>
      <c r="BQ226" s="180">
        <f t="shared" si="358"/>
        <v>166.14559153672232</v>
      </c>
      <c r="BR226" s="180">
        <f t="shared" si="341"/>
        <v>2.6167718909604498</v>
      </c>
      <c r="BS226" s="180">
        <f t="shared" si="342"/>
        <v>397.19646177781135</v>
      </c>
      <c r="BT226" s="180">
        <f t="shared" si="343"/>
        <v>405.30251201817487</v>
      </c>
      <c r="BU226" s="171">
        <f t="shared" si="344"/>
        <v>486.55763747680061</v>
      </c>
      <c r="BV226" s="171">
        <f t="shared" si="359"/>
        <v>243.2788187384003</v>
      </c>
      <c r="BW226" s="171">
        <f t="shared" si="360"/>
        <v>243.2788187384003</v>
      </c>
      <c r="BX226" s="180">
        <f t="shared" si="345"/>
        <v>23.169411308419079</v>
      </c>
      <c r="BY226" s="180">
        <f t="shared" si="346"/>
        <v>1.4557393865683545E-3</v>
      </c>
      <c r="BZ226" s="180">
        <f t="shared" si="347"/>
        <v>1.4557393865683545E-3</v>
      </c>
      <c r="CA226" s="182">
        <f t="shared" si="348"/>
        <v>2.9114787731367091E-3</v>
      </c>
      <c r="CB226" s="402"/>
      <c r="CC226" s="277"/>
      <c r="CD226" s="277"/>
      <c r="CE226" s="277"/>
      <c r="CF226" s="184"/>
    </row>
    <row r="227" spans="3:84" s="183" customFormat="1" ht="15.75" x14ac:dyDescent="0.25">
      <c r="C227" s="171">
        <v>88</v>
      </c>
      <c r="D227" s="379"/>
      <c r="E227" s="379"/>
      <c r="F227" s="172" t="s">
        <v>128</v>
      </c>
      <c r="G227" s="395"/>
      <c r="H227" s="173">
        <v>0.27152777777777898</v>
      </c>
      <c r="I227" s="171">
        <v>-8.7402449999999998</v>
      </c>
      <c r="J227" s="171">
        <v>116.053383</v>
      </c>
      <c r="K227" s="171">
        <f t="shared" si="349"/>
        <v>-0.15254605268097179</v>
      </c>
      <c r="L227" s="171">
        <f t="shared" si="349"/>
        <v>2.0255136414280144</v>
      </c>
      <c r="M227" s="171">
        <v>3443</v>
      </c>
      <c r="N227" s="235">
        <f t="shared" si="350"/>
        <v>0.18680187121764527</v>
      </c>
      <c r="O227" s="331"/>
      <c r="P227" s="174">
        <f t="shared" si="351"/>
        <v>5.000000000001581E-2</v>
      </c>
      <c r="Q227" s="331"/>
      <c r="R227" s="175">
        <f t="shared" si="352"/>
        <v>3.736037424351724</v>
      </c>
      <c r="S227" s="347"/>
      <c r="T227" s="171">
        <f t="shared" si="200"/>
        <v>1.9218176510865268</v>
      </c>
      <c r="U227" s="176">
        <f t="shared" si="353"/>
        <v>-4.6076133776791942E-5</v>
      </c>
      <c r="V227" s="171">
        <f t="shared" si="354"/>
        <v>2.9845130208983051E-5</v>
      </c>
      <c r="W227" s="171">
        <f t="shared" si="355"/>
        <v>2.5668112613452601</v>
      </c>
      <c r="X227" s="171">
        <f t="shared" si="366"/>
        <v>147.06745208173476</v>
      </c>
      <c r="Y227" s="176">
        <f t="shared" si="367"/>
        <v>-4.5535640184529713E-5</v>
      </c>
      <c r="Z227" s="177">
        <f t="shared" si="368"/>
        <v>1.7100000000027649E-3</v>
      </c>
      <c r="AA227" s="178">
        <f t="shared" si="369"/>
        <v>147.06745208173476</v>
      </c>
      <c r="AB227" s="100">
        <v>200</v>
      </c>
      <c r="AC227" s="171">
        <v>13</v>
      </c>
      <c r="AD227" s="171">
        <v>4</v>
      </c>
      <c r="AE227" s="179">
        <f t="shared" si="356"/>
        <v>52.932547918265243</v>
      </c>
      <c r="AF227" s="180">
        <f t="shared" si="324"/>
        <v>7.3485048470090408E-2</v>
      </c>
      <c r="AG227" s="382"/>
      <c r="AH227" s="385"/>
      <c r="AI227" s="388"/>
      <c r="AJ227" s="171">
        <f t="shared" si="325"/>
        <v>1.9639068710428544</v>
      </c>
      <c r="AK227" s="171">
        <f t="shared" si="326"/>
        <v>0.85</v>
      </c>
      <c r="AL227" s="180">
        <f t="shared" si="327"/>
        <v>17.587905559497941</v>
      </c>
      <c r="AM227" s="180">
        <f t="shared" si="328"/>
        <v>29.359857289218198</v>
      </c>
      <c r="AN227" s="180">
        <f t="shared" si="329"/>
        <v>5.2888305161669678</v>
      </c>
      <c r="AO227" s="180">
        <f t="shared" si="330"/>
        <v>2.7205744175162883</v>
      </c>
      <c r="AP227" s="180">
        <f t="shared" si="331"/>
        <v>0.1040273216476308</v>
      </c>
      <c r="AQ227" s="175">
        <f t="shared" si="332"/>
        <v>3.532007135540207E-2</v>
      </c>
      <c r="AR227" s="171">
        <f t="shared" si="333"/>
        <v>159661993.59363273</v>
      </c>
      <c r="AS227" s="171">
        <f t="shared" si="334"/>
        <v>1.9490791663548852E-3</v>
      </c>
      <c r="AT227" s="180">
        <f t="shared" si="335"/>
        <v>238.31954368330588</v>
      </c>
      <c r="AU227" s="171">
        <f t="shared" si="336"/>
        <v>9203.4351000331535</v>
      </c>
      <c r="AV227" s="297"/>
      <c r="AW227" s="297"/>
      <c r="AX227" s="297"/>
      <c r="AY227" s="297"/>
      <c r="AZ227" s="297"/>
      <c r="BA227" s="392"/>
      <c r="BB227" s="392"/>
      <c r="BC227" s="392"/>
      <c r="BD227" s="297"/>
      <c r="BE227" s="297"/>
      <c r="BF227" s="297"/>
      <c r="BG227" s="297"/>
      <c r="BH227" s="390"/>
      <c r="BI227" s="392"/>
      <c r="BJ227" s="392"/>
      <c r="BK227" s="392"/>
      <c r="BL227" s="180">
        <f t="shared" si="337"/>
        <v>-1.1118014145940761E-4</v>
      </c>
      <c r="BM227" s="175">
        <f t="shared" si="338"/>
        <v>0.83205220408412006</v>
      </c>
      <c r="BN227" s="171">
        <f t="shared" si="339"/>
        <v>2782.6342239390001</v>
      </c>
      <c r="BO227" s="180">
        <f t="shared" si="340"/>
        <v>23.748199859398127</v>
      </c>
      <c r="BP227" s="181">
        <f t="shared" si="357"/>
        <v>27.310429838307847</v>
      </c>
      <c r="BQ227" s="180">
        <f t="shared" si="358"/>
        <v>74.300056749473825</v>
      </c>
      <c r="BR227" s="180">
        <f t="shared" si="341"/>
        <v>1.9794654445450404</v>
      </c>
      <c r="BS227" s="180">
        <f t="shared" si="342"/>
        <v>177.62565577467501</v>
      </c>
      <c r="BT227" s="180">
        <f t="shared" si="343"/>
        <v>181.25066915783165</v>
      </c>
      <c r="BU227" s="171">
        <f t="shared" si="344"/>
        <v>217.58783812464785</v>
      </c>
      <c r="BV227" s="171">
        <f t="shared" si="359"/>
        <v>108.79391906232392</v>
      </c>
      <c r="BW227" s="171">
        <f t="shared" si="360"/>
        <v>108.79391906232392</v>
      </c>
      <c r="BX227" s="180">
        <f t="shared" si="345"/>
        <v>10.36132562498323</v>
      </c>
      <c r="BY227" s="180">
        <f t="shared" si="346"/>
        <v>6.8859552998926912E-4</v>
      </c>
      <c r="BZ227" s="180">
        <f t="shared" si="347"/>
        <v>6.8859552998926912E-4</v>
      </c>
      <c r="CA227" s="182">
        <f t="shared" si="348"/>
        <v>1.3771910599785382E-3</v>
      </c>
      <c r="CB227" s="402"/>
      <c r="CC227" s="277"/>
      <c r="CD227" s="277"/>
      <c r="CE227" s="277"/>
      <c r="CF227" s="184"/>
    </row>
    <row r="228" spans="3:84" s="183" customFormat="1" ht="15.75" x14ac:dyDescent="0.25">
      <c r="C228" s="171">
        <v>89</v>
      </c>
      <c r="D228" s="379"/>
      <c r="E228" s="379"/>
      <c r="F228" s="172" t="s">
        <v>128</v>
      </c>
      <c r="G228" s="395"/>
      <c r="H228" s="173">
        <v>0.27361111111111203</v>
      </c>
      <c r="I228" s="171">
        <v>-8.7413830000000008</v>
      </c>
      <c r="J228" s="171">
        <v>116.05566399999999</v>
      </c>
      <c r="K228" s="171">
        <f t="shared" si="349"/>
        <v>-0.1525659145278595</v>
      </c>
      <c r="L228" s="171">
        <f t="shared" si="349"/>
        <v>2.0255534523882521</v>
      </c>
      <c r="M228" s="171">
        <v>3443</v>
      </c>
      <c r="N228" s="235">
        <f t="shared" si="350"/>
        <v>0.15175799626063158</v>
      </c>
      <c r="O228" s="331"/>
      <c r="P228" s="174">
        <f t="shared" si="351"/>
        <v>4.9999999999993161E-2</v>
      </c>
      <c r="Q228" s="331"/>
      <c r="R228" s="175">
        <f t="shared" si="352"/>
        <v>3.0351599252130468</v>
      </c>
      <c r="S228" s="347"/>
      <c r="T228" s="171">
        <f t="shared" si="200"/>
        <v>1.5612862655295912</v>
      </c>
      <c r="U228" s="176">
        <f t="shared" si="353"/>
        <v>-2.0097702267533104E-5</v>
      </c>
      <c r="V228" s="171">
        <f t="shared" si="354"/>
        <v>3.9810960237751658E-5</v>
      </c>
      <c r="W228" s="171">
        <f t="shared" si="355"/>
        <v>2.038299168919286</v>
      </c>
      <c r="X228" s="171">
        <f t="shared" si="366"/>
        <v>116.78593976409834</v>
      </c>
      <c r="Y228" s="176">
        <f t="shared" si="367"/>
        <v>-1.9861846887708756E-5</v>
      </c>
      <c r="Z228" s="177">
        <f t="shared" si="368"/>
        <v>2.2809999999964248E-3</v>
      </c>
      <c r="AA228" s="178">
        <f t="shared" si="369"/>
        <v>116.78593976409834</v>
      </c>
      <c r="AB228" s="100">
        <v>200</v>
      </c>
      <c r="AC228" s="171">
        <v>13</v>
      </c>
      <c r="AD228" s="171">
        <v>4</v>
      </c>
      <c r="AE228" s="179">
        <f t="shared" si="356"/>
        <v>83.214060235901655</v>
      </c>
      <c r="AF228" s="180">
        <f t="shared" si="324"/>
        <v>5.9699314777998599E-2</v>
      </c>
      <c r="AG228" s="382"/>
      <c r="AH228" s="385"/>
      <c r="AI228" s="388"/>
      <c r="AJ228" s="171">
        <f t="shared" si="325"/>
        <v>2.0161808336608664</v>
      </c>
      <c r="AK228" s="171">
        <f t="shared" si="326"/>
        <v>0.33</v>
      </c>
      <c r="AL228" s="180">
        <f t="shared" si="327"/>
        <v>17.587905559497941</v>
      </c>
      <c r="AM228" s="180">
        <f t="shared" si="328"/>
        <v>11.70193137078806</v>
      </c>
      <c r="AN228" s="180">
        <f t="shared" si="329"/>
        <v>3.4374023943360803</v>
      </c>
      <c r="AO228" s="180">
        <f t="shared" si="330"/>
        <v>1.7681997916464796</v>
      </c>
      <c r="AP228" s="180">
        <f t="shared" si="331"/>
        <v>6.7611121856688133E-2</v>
      </c>
      <c r="AQ228" s="175">
        <f t="shared" si="332"/>
        <v>4.4149034314599933E-2</v>
      </c>
      <c r="AR228" s="171">
        <f t="shared" si="333"/>
        <v>103770108.98450553</v>
      </c>
      <c r="AS228" s="171">
        <f t="shared" si="334"/>
        <v>2.0722167199677243E-3</v>
      </c>
      <c r="AT228" s="180">
        <f t="shared" si="335"/>
        <v>107.0303148823545</v>
      </c>
      <c r="AU228" s="171">
        <f t="shared" si="336"/>
        <v>4133.3016232393202</v>
      </c>
      <c r="AV228" s="297"/>
      <c r="AW228" s="297"/>
      <c r="AX228" s="297"/>
      <c r="AY228" s="297"/>
      <c r="AZ228" s="297"/>
      <c r="BA228" s="392"/>
      <c r="BB228" s="392"/>
      <c r="BC228" s="392"/>
      <c r="BD228" s="297"/>
      <c r="BE228" s="297"/>
      <c r="BF228" s="297"/>
      <c r="BG228" s="297"/>
      <c r="BH228" s="390"/>
      <c r="BI228" s="392"/>
      <c r="BJ228" s="392"/>
      <c r="BK228" s="392"/>
      <c r="BL228" s="180">
        <f t="shared" si="337"/>
        <v>-3.6197680058008236E-10</v>
      </c>
      <c r="BM228" s="175">
        <f t="shared" si="338"/>
        <v>8.4991542860652535E-5</v>
      </c>
      <c r="BN228" s="171">
        <f t="shared" si="339"/>
        <v>1175.4321698302244</v>
      </c>
      <c r="BO228" s="180">
        <f t="shared" si="340"/>
        <v>10.590782763474326</v>
      </c>
      <c r="BP228" s="181">
        <f t="shared" si="357"/>
        <v>12.179400177995475</v>
      </c>
      <c r="BQ228" s="180">
        <f t="shared" si="358"/>
        <v>21.535612857110696</v>
      </c>
      <c r="BR228" s="180">
        <f t="shared" si="341"/>
        <v>1.2865262438993699</v>
      </c>
      <c r="BS228" s="180">
        <f t="shared" si="342"/>
        <v>51.484178123200415</v>
      </c>
      <c r="BT228" s="180">
        <f t="shared" si="343"/>
        <v>52.534875635918795</v>
      </c>
      <c r="BU228" s="171">
        <f t="shared" si="344"/>
        <v>63.067077594140216</v>
      </c>
      <c r="BV228" s="171">
        <f t="shared" si="359"/>
        <v>31.533538797070108</v>
      </c>
      <c r="BW228" s="171">
        <f t="shared" si="360"/>
        <v>31.533538797070108</v>
      </c>
      <c r="BX228" s="180">
        <f t="shared" si="345"/>
        <v>3.0031941711495342</v>
      </c>
      <c r="BY228" s="180">
        <f t="shared" si="346"/>
        <v>2.4947781132514087E-4</v>
      </c>
      <c r="BZ228" s="180">
        <f t="shared" si="347"/>
        <v>2.4947781132514087E-4</v>
      </c>
      <c r="CA228" s="182">
        <f t="shared" si="348"/>
        <v>4.9895562265028174E-4</v>
      </c>
      <c r="CB228" s="402"/>
      <c r="CC228" s="277"/>
      <c r="CD228" s="277"/>
      <c r="CE228" s="277"/>
      <c r="CF228" s="184"/>
    </row>
    <row r="229" spans="3:84" s="183" customFormat="1" ht="15.75" x14ac:dyDescent="0.25">
      <c r="C229" s="171">
        <v>90</v>
      </c>
      <c r="D229" s="379"/>
      <c r="E229" s="379"/>
      <c r="F229" s="172" t="s">
        <v>128</v>
      </c>
      <c r="G229" s="396"/>
      <c r="H229" s="173">
        <v>0.27569444444444502</v>
      </c>
      <c r="I229" s="171">
        <v>-8.7402350000000002</v>
      </c>
      <c r="J229" s="171">
        <v>116.05826</v>
      </c>
      <c r="K229" s="171">
        <f t="shared" si="349"/>
        <v>-0.1525458781480466</v>
      </c>
      <c r="L229" s="171">
        <f t="shared" si="349"/>
        <v>2.0255987611356341</v>
      </c>
      <c r="M229" s="171">
        <v>3443</v>
      </c>
      <c r="N229" s="235">
        <f t="shared" si="350"/>
        <v>0.1689152519150896</v>
      </c>
      <c r="O229" s="331"/>
      <c r="P229" s="174">
        <f t="shared" si="351"/>
        <v>4.9999999999991829E-2</v>
      </c>
      <c r="Q229" s="331"/>
      <c r="R229" s="175">
        <f t="shared" si="352"/>
        <v>3.3783050383023441</v>
      </c>
      <c r="S229" s="347"/>
      <c r="T229" s="171">
        <f t="shared" si="200"/>
        <v>1.7378001117027257</v>
      </c>
      <c r="U229" s="176">
        <f t="shared" si="353"/>
        <v>2.0274307462201111E-5</v>
      </c>
      <c r="V229" s="171">
        <f t="shared" si="354"/>
        <v>4.5308747381955783E-5</v>
      </c>
      <c r="W229" s="171">
        <f t="shared" si="355"/>
        <v>1.150048299748466</v>
      </c>
      <c r="X229" s="171">
        <f t="shared" si="366"/>
        <v>65.892913811783316</v>
      </c>
      <c r="Y229" s="176">
        <f t="shared" si="367"/>
        <v>2.0036379812904404E-5</v>
      </c>
      <c r="Z229" s="177">
        <f t="shared" si="368"/>
        <v>2.5960000000111449E-3</v>
      </c>
      <c r="AA229" s="178">
        <f t="shared" si="369"/>
        <v>65.892913811783316</v>
      </c>
      <c r="AB229" s="100">
        <v>200</v>
      </c>
      <c r="AC229" s="171">
        <v>13</v>
      </c>
      <c r="AD229" s="171">
        <v>4</v>
      </c>
      <c r="AE229" s="179">
        <f t="shared" si="356"/>
        <v>134.10708618821667</v>
      </c>
      <c r="AF229" s="180">
        <f t="shared" si="324"/>
        <v>6.6448721275717812E-2</v>
      </c>
      <c r="AG229" s="382"/>
      <c r="AH229" s="385"/>
      <c r="AI229" s="388"/>
      <c r="AJ229" s="171">
        <f t="shared" si="325"/>
        <v>1.9910485009866787</v>
      </c>
      <c r="AK229" s="171">
        <f t="shared" si="326"/>
        <v>0.33</v>
      </c>
      <c r="AL229" s="180">
        <f t="shared" si="327"/>
        <v>17.587905559497941</v>
      </c>
      <c r="AM229" s="180">
        <f t="shared" si="328"/>
        <v>11.556063089912104</v>
      </c>
      <c r="AN229" s="180">
        <f t="shared" si="329"/>
        <v>3.819713545470877</v>
      </c>
      <c r="AO229" s="180">
        <f t="shared" si="330"/>
        <v>1.9648606477902191</v>
      </c>
      <c r="AP229" s="180">
        <f t="shared" si="331"/>
        <v>7.5130894889120073E-2</v>
      </c>
      <c r="AQ229" s="175">
        <f t="shared" si="332"/>
        <v>4.4221968455036724E-2</v>
      </c>
      <c r="AR229" s="171">
        <f t="shared" si="333"/>
        <v>115311518.82486036</v>
      </c>
      <c r="AS229" s="171">
        <f t="shared" si="334"/>
        <v>2.0410217871761911E-3</v>
      </c>
      <c r="AT229" s="180">
        <f t="shared" si="335"/>
        <v>130.17275892058137</v>
      </c>
      <c r="AU229" s="171">
        <f t="shared" si="336"/>
        <v>5027.0175915990312</v>
      </c>
      <c r="AV229" s="297"/>
      <c r="AW229" s="297"/>
      <c r="AX229" s="297"/>
      <c r="AY229" s="297"/>
      <c r="AZ229" s="297"/>
      <c r="BA229" s="392"/>
      <c r="BB229" s="392"/>
      <c r="BC229" s="392"/>
      <c r="BD229" s="297"/>
      <c r="BE229" s="297"/>
      <c r="BF229" s="297"/>
      <c r="BG229" s="297"/>
      <c r="BH229" s="390"/>
      <c r="BI229" s="392"/>
      <c r="BJ229" s="392"/>
      <c r="BK229" s="392"/>
      <c r="BL229" s="180">
        <f t="shared" si="337"/>
        <v>-2.3190143926692485E-8</v>
      </c>
      <c r="BM229" s="175">
        <f t="shared" si="338"/>
        <v>1.1312252044498564E-3</v>
      </c>
      <c r="BN229" s="171">
        <f t="shared" si="339"/>
        <v>1451.4377415536233</v>
      </c>
      <c r="BO229" s="180">
        <f t="shared" si="340"/>
        <v>12.902607200768719</v>
      </c>
      <c r="BP229" s="181">
        <f t="shared" si="357"/>
        <v>14.837998280884026</v>
      </c>
      <c r="BQ229" s="180">
        <f t="shared" si="358"/>
        <v>29.154598914087945</v>
      </c>
      <c r="BR229" s="180">
        <f t="shared" si="341"/>
        <v>1.4296149116912866</v>
      </c>
      <c r="BS229" s="180">
        <f t="shared" si="342"/>
        <v>69.698530223520621</v>
      </c>
      <c r="BT229" s="180">
        <f t="shared" si="343"/>
        <v>71.120949207674101</v>
      </c>
      <c r="BU229" s="171">
        <f t="shared" si="344"/>
        <v>85.379290765515137</v>
      </c>
      <c r="BV229" s="171">
        <f t="shared" si="359"/>
        <v>42.689645382757568</v>
      </c>
      <c r="BW229" s="171">
        <f t="shared" si="360"/>
        <v>42.689645382757568</v>
      </c>
      <c r="BX229" s="180">
        <f t="shared" si="345"/>
        <v>4.0656805126435787</v>
      </c>
      <c r="BY229" s="180">
        <f t="shared" si="346"/>
        <v>3.3829737114396321E-4</v>
      </c>
      <c r="BZ229" s="180">
        <f t="shared" si="347"/>
        <v>3.3829737114396321E-4</v>
      </c>
      <c r="CA229" s="182">
        <f t="shared" si="348"/>
        <v>6.7659474228792642E-4</v>
      </c>
      <c r="CB229" s="402"/>
      <c r="CC229" s="277"/>
      <c r="CD229" s="277"/>
      <c r="CE229" s="277"/>
      <c r="CF229" s="184"/>
    </row>
    <row r="230" spans="3:84" s="109" customFormat="1" ht="15.75" x14ac:dyDescent="0.25">
      <c r="C230" s="100">
        <v>91</v>
      </c>
      <c r="D230" s="380"/>
      <c r="E230" s="380"/>
      <c r="F230" s="163" t="s">
        <v>128</v>
      </c>
      <c r="G230" s="340">
        <v>0.27777777777777801</v>
      </c>
      <c r="H230" s="101">
        <v>0.27777777777777901</v>
      </c>
      <c r="I230" s="100">
        <v>-8.7397779999999994</v>
      </c>
      <c r="J230" s="100">
        <v>116.05958200000001</v>
      </c>
      <c r="K230" s="100">
        <f t="shared" si="349"/>
        <v>-0.15253790199336498</v>
      </c>
      <c r="L230" s="100">
        <f t="shared" si="349"/>
        <v>2.0256218343883456</v>
      </c>
      <c r="M230" s="100">
        <v>3443</v>
      </c>
      <c r="N230" s="234">
        <f t="shared" si="350"/>
        <v>8.3182621510779584E-2</v>
      </c>
      <c r="O230" s="399"/>
      <c r="P230" s="102">
        <f t="shared" si="351"/>
        <v>5.000000000001581E-2</v>
      </c>
      <c r="Q230" s="399"/>
      <c r="R230" s="103">
        <f t="shared" si="352"/>
        <v>1.6636524302150657</v>
      </c>
      <c r="S230" s="354"/>
      <c r="T230" s="100">
        <f t="shared" si="200"/>
        <v>0.8557828101026298</v>
      </c>
      <c r="U230" s="165">
        <f t="shared" si="353"/>
        <v>8.0708523105576298E-6</v>
      </c>
      <c r="V230" s="100">
        <f t="shared" si="354"/>
        <v>2.3073252711558467E-5</v>
      </c>
      <c r="W230" s="100">
        <f t="shared" si="355"/>
        <v>1.2343063143046267</v>
      </c>
      <c r="X230" s="100">
        <f t="shared" si="366"/>
        <v>70.720542436003186</v>
      </c>
      <c r="Y230" s="165">
        <f t="shared" si="367"/>
        <v>7.9761546816214945E-6</v>
      </c>
      <c r="Z230" s="166">
        <f t="shared" si="368"/>
        <v>1.3220000000018217E-3</v>
      </c>
      <c r="AA230" s="167">
        <f t="shared" si="369"/>
        <v>70.720542436003186</v>
      </c>
      <c r="AB230" s="100">
        <v>200</v>
      </c>
      <c r="AC230" s="100">
        <v>13</v>
      </c>
      <c r="AD230" s="100">
        <v>4</v>
      </c>
      <c r="AE230" s="169">
        <f t="shared" si="356"/>
        <v>129.2794575639968</v>
      </c>
      <c r="AF230" s="104">
        <f t="shared" si="324"/>
        <v>3.2722793052039949E-2</v>
      </c>
      <c r="AG230" s="383"/>
      <c r="AH230" s="386"/>
      <c r="AI230" s="389"/>
      <c r="AJ230" s="100">
        <f t="shared" si="325"/>
        <v>2.1078064398741723</v>
      </c>
      <c r="AK230" s="100">
        <f t="shared" si="326"/>
        <v>0.33</v>
      </c>
      <c r="AL230" s="104">
        <f t="shared" si="327"/>
        <v>17.587905559497941</v>
      </c>
      <c r="AM230" s="104">
        <f t="shared" si="328"/>
        <v>12.233727198728811</v>
      </c>
      <c r="AN230" s="104">
        <f t="shared" si="329"/>
        <v>1.8955486852928882</v>
      </c>
      <c r="AO230" s="104">
        <f t="shared" si="330"/>
        <v>0.97507024371466167</v>
      </c>
      <c r="AP230" s="104">
        <f t="shared" si="331"/>
        <v>3.7284018117226002E-2</v>
      </c>
      <c r="AQ230" s="103">
        <f t="shared" si="332"/>
        <v>4.3883136400649468E-2</v>
      </c>
      <c r="AR230" s="100">
        <f t="shared" si="333"/>
        <v>57223819.353355408</v>
      </c>
      <c r="AS230" s="100">
        <f t="shared" si="334"/>
        <v>2.2624645224580699E-3</v>
      </c>
      <c r="AT230" s="104">
        <f t="shared" si="335"/>
        <v>35.535509262677841</v>
      </c>
      <c r="AU230" s="100">
        <f t="shared" si="336"/>
        <v>1372.3119312459141</v>
      </c>
      <c r="AV230" s="397"/>
      <c r="AW230" s="397"/>
      <c r="AX230" s="397"/>
      <c r="AY230" s="397"/>
      <c r="AZ230" s="397"/>
      <c r="BA230" s="393"/>
      <c r="BB230" s="393"/>
      <c r="BC230" s="393"/>
      <c r="BD230" s="397"/>
      <c r="BE230" s="397"/>
      <c r="BF230" s="397"/>
      <c r="BG230" s="397"/>
      <c r="BH230" s="391"/>
      <c r="BI230" s="393"/>
      <c r="BJ230" s="393"/>
      <c r="BK230" s="393"/>
      <c r="BL230" s="104">
        <f t="shared" si="337"/>
        <v>-6.5646332081624761E-32</v>
      </c>
      <c r="BM230" s="103">
        <f t="shared" si="338"/>
        <v>1.3543010477561232E-13</v>
      </c>
      <c r="BN230" s="100">
        <f t="shared" si="339"/>
        <v>357.44292794081144</v>
      </c>
      <c r="BO230" s="104">
        <f t="shared" si="340"/>
        <v>3.4834663875498402</v>
      </c>
      <c r="BP230" s="170">
        <f t="shared" si="357"/>
        <v>4.0059863456823166</v>
      </c>
      <c r="BQ230" s="104">
        <f t="shared" si="358"/>
        <v>3.9061180824020632</v>
      </c>
      <c r="BR230" s="104">
        <f t="shared" si="341"/>
        <v>0.70945232779162815</v>
      </c>
      <c r="BS230" s="104">
        <f t="shared" si="342"/>
        <v>9.3381730280427533</v>
      </c>
      <c r="BT230" s="104">
        <f t="shared" si="343"/>
        <v>9.5287479877987273</v>
      </c>
      <c r="BU230" s="100">
        <f t="shared" si="344"/>
        <v>11.439073214644331</v>
      </c>
      <c r="BV230" s="100">
        <f t="shared" si="359"/>
        <v>5.7195366073221656</v>
      </c>
      <c r="BW230" s="100">
        <f t="shared" si="360"/>
        <v>5.7195366073221656</v>
      </c>
      <c r="BX230" s="104">
        <f t="shared" si="345"/>
        <v>0.54471777212592054</v>
      </c>
      <c r="BY230" s="104">
        <f t="shared" si="346"/>
        <v>4.4977623951702669E-5</v>
      </c>
      <c r="BZ230" s="104">
        <f t="shared" si="347"/>
        <v>4.4977623951702669E-5</v>
      </c>
      <c r="CA230" s="108">
        <f t="shared" si="348"/>
        <v>8.9955247903405339E-5</v>
      </c>
      <c r="CB230" s="402"/>
      <c r="CC230" s="276">
        <f t="shared" ref="CC230" si="390">SUM(CA230:CA234)*1000</f>
        <v>1.4331884155301537</v>
      </c>
      <c r="CD230" s="276">
        <v>26</v>
      </c>
      <c r="CE230" s="276">
        <f t="shared" ref="CE230" si="391">AVERAGE(AN230:AN234)</f>
        <v>2.7191811872385259</v>
      </c>
      <c r="CF230" s="117"/>
    </row>
    <row r="231" spans="3:84" s="109" customFormat="1" ht="15.75" x14ac:dyDescent="0.25">
      <c r="C231" s="100">
        <v>92</v>
      </c>
      <c r="D231" s="380"/>
      <c r="E231" s="380"/>
      <c r="F231" s="163" t="s">
        <v>128</v>
      </c>
      <c r="G231" s="341"/>
      <c r="H231" s="101">
        <v>0.279861111111112</v>
      </c>
      <c r="I231" s="100">
        <v>-8.7392400000000006</v>
      </c>
      <c r="J231" s="100">
        <v>116.061035</v>
      </c>
      <c r="K231" s="100">
        <f t="shared" si="349"/>
        <v>-0.15252851212198926</v>
      </c>
      <c r="L231" s="100">
        <f t="shared" si="349"/>
        <v>2.025647194022377</v>
      </c>
      <c r="M231" s="100">
        <v>3443</v>
      </c>
      <c r="N231" s="234">
        <f t="shared" si="350"/>
        <v>9.2156288971243006E-2</v>
      </c>
      <c r="O231" s="400">
        <f t="shared" ref="O231" si="392">SUM(N231:N235)</f>
        <v>0.68368528022100916</v>
      </c>
      <c r="P231" s="102">
        <f t="shared" si="351"/>
        <v>4.9999999999991829E-2</v>
      </c>
      <c r="Q231" s="400">
        <f t="shared" ref="Q231" si="393">SUM(P231:P235)</f>
        <v>0.24999999999998312</v>
      </c>
      <c r="R231" s="103">
        <f t="shared" si="352"/>
        <v>1.8431257794251614</v>
      </c>
      <c r="S231" s="352">
        <f t="shared" ref="S231" si="394">AVERAGE(R231:R235)</f>
        <v>2.7347411208842236</v>
      </c>
      <c r="T231" s="100">
        <f t="shared" si="200"/>
        <v>0.94810390093630303</v>
      </c>
      <c r="U231" s="165">
        <f t="shared" si="353"/>
        <v>9.5013407359748909E-6</v>
      </c>
      <c r="V231" s="100">
        <f t="shared" si="354"/>
        <v>2.5359634031385525E-5</v>
      </c>
      <c r="W231" s="100">
        <f t="shared" si="355"/>
        <v>1.212320305508261</v>
      </c>
      <c r="X231" s="100">
        <f t="shared" si="366"/>
        <v>69.46083692363392</v>
      </c>
      <c r="Y231" s="165">
        <f t="shared" si="367"/>
        <v>9.3898713757201158E-6</v>
      </c>
      <c r="Z231" s="166">
        <f t="shared" si="368"/>
        <v>1.4529999999979282E-3</v>
      </c>
      <c r="AA231" s="167">
        <f t="shared" si="369"/>
        <v>69.46083692363392</v>
      </c>
      <c r="AB231" s="100">
        <v>200</v>
      </c>
      <c r="AC231" s="100">
        <v>13</v>
      </c>
      <c r="AD231" s="100">
        <v>4</v>
      </c>
      <c r="AE231" s="169">
        <f t="shared" si="356"/>
        <v>130.53916307636609</v>
      </c>
      <c r="AF231" s="104">
        <f t="shared" si="324"/>
        <v>3.625289895510965E-2</v>
      </c>
      <c r="AG231" s="383"/>
      <c r="AH231" s="386"/>
      <c r="AI231" s="389"/>
      <c r="AJ231" s="100">
        <f t="shared" si="325"/>
        <v>2.0966193075905268</v>
      </c>
      <c r="AK231" s="100">
        <f t="shared" si="326"/>
        <v>0.33</v>
      </c>
      <c r="AL231" s="104">
        <f t="shared" si="327"/>
        <v>17.587905559497941</v>
      </c>
      <c r="AM231" s="104">
        <f t="shared" si="328"/>
        <v>12.168796984120311</v>
      </c>
      <c r="AN231" s="104">
        <f t="shared" si="329"/>
        <v>2.098486319368674</v>
      </c>
      <c r="AO231" s="104">
        <f t="shared" si="330"/>
        <v>1.0794613626832459</v>
      </c>
      <c r="AP231" s="104">
        <f t="shared" si="331"/>
        <v>4.1275648869975291E-2</v>
      </c>
      <c r="AQ231" s="103">
        <f t="shared" si="332"/>
        <v>4.3915601507932667E-2</v>
      </c>
      <c r="AR231" s="100">
        <f t="shared" si="333"/>
        <v>63350207.244340003</v>
      </c>
      <c r="AS231" s="100">
        <f t="shared" si="334"/>
        <v>2.2281454369484704E-3</v>
      </c>
      <c r="AT231" s="104">
        <f t="shared" si="335"/>
        <v>42.891052037020103</v>
      </c>
      <c r="AU231" s="100">
        <f t="shared" si="336"/>
        <v>1656.3686204410562</v>
      </c>
      <c r="AV231" s="397"/>
      <c r="AW231" s="397"/>
      <c r="AX231" s="397"/>
      <c r="AY231" s="397"/>
      <c r="AZ231" s="397"/>
      <c r="BA231" s="393"/>
      <c r="BB231" s="393"/>
      <c r="BC231" s="393"/>
      <c r="BD231" s="397"/>
      <c r="BE231" s="397"/>
      <c r="BF231" s="397"/>
      <c r="BG231" s="397"/>
      <c r="BH231" s="391"/>
      <c r="BI231" s="393"/>
      <c r="BJ231" s="393"/>
      <c r="BK231" s="393"/>
      <c r="BL231" s="104">
        <f t="shared" si="337"/>
        <v>-3.6953053023826481E-26</v>
      </c>
      <c r="BM231" s="103">
        <f t="shared" si="338"/>
        <v>9.71083786097464E-12</v>
      </c>
      <c r="BN231" s="100">
        <f t="shared" si="339"/>
        <v>438.07564269884477</v>
      </c>
      <c r="BO231" s="104">
        <f t="shared" si="340"/>
        <v>4.2111588953949424</v>
      </c>
      <c r="BP231" s="170">
        <f t="shared" si="357"/>
        <v>4.8428327297041838</v>
      </c>
      <c r="BQ231" s="104">
        <f t="shared" si="358"/>
        <v>5.2276508176535019</v>
      </c>
      <c r="BR231" s="104">
        <f t="shared" si="341"/>
        <v>0.78540636580112722</v>
      </c>
      <c r="BS231" s="104">
        <f t="shared" si="342"/>
        <v>12.497499265413348</v>
      </c>
      <c r="BT231" s="104">
        <f t="shared" si="343"/>
        <v>12.752550270829946</v>
      </c>
      <c r="BU231" s="100">
        <f t="shared" si="344"/>
        <v>15.309183998595374</v>
      </c>
      <c r="BV231" s="100">
        <f t="shared" si="359"/>
        <v>7.6545919992976872</v>
      </c>
      <c r="BW231" s="100">
        <f t="shared" si="360"/>
        <v>7.6545919992976872</v>
      </c>
      <c r="BX231" s="104">
        <f t="shared" si="345"/>
        <v>0.729008761837875</v>
      </c>
      <c r="BY231" s="104">
        <f t="shared" si="346"/>
        <v>6.0239157340896446E-5</v>
      </c>
      <c r="BZ231" s="104">
        <f t="shared" si="347"/>
        <v>6.0239157340896446E-5</v>
      </c>
      <c r="CA231" s="108">
        <f t="shared" si="348"/>
        <v>1.2047831468179289E-4</v>
      </c>
      <c r="CB231" s="402"/>
      <c r="CC231" s="277"/>
      <c r="CD231" s="277"/>
      <c r="CE231" s="277"/>
      <c r="CF231" s="117"/>
    </row>
    <row r="232" spans="3:84" s="109" customFormat="1" ht="15.75" x14ac:dyDescent="0.25">
      <c r="C232" s="100">
        <v>93</v>
      </c>
      <c r="D232" s="380"/>
      <c r="E232" s="380"/>
      <c r="F232" s="163" t="s">
        <v>128</v>
      </c>
      <c r="G232" s="341"/>
      <c r="H232" s="101">
        <v>0.281944444444445</v>
      </c>
      <c r="I232" s="100">
        <v>-8.7381860000000007</v>
      </c>
      <c r="J232" s="100">
        <v>116.06314</v>
      </c>
      <c r="K232" s="100">
        <f t="shared" si="349"/>
        <v>-0.15251011635167325</v>
      </c>
      <c r="L232" s="100">
        <f t="shared" si="349"/>
        <v>2.0256839332031316</v>
      </c>
      <c r="M232" s="100">
        <v>3443</v>
      </c>
      <c r="N232" s="234">
        <f t="shared" si="350"/>
        <v>0.14015234659020515</v>
      </c>
      <c r="O232" s="359"/>
      <c r="P232" s="102">
        <f t="shared" si="351"/>
        <v>4.9999999999991829E-2</v>
      </c>
      <c r="Q232" s="359"/>
      <c r="R232" s="103">
        <f t="shared" si="352"/>
        <v>2.8030469318045612</v>
      </c>
      <c r="S232" s="353"/>
      <c r="T232" s="100">
        <f t="shared" si="200"/>
        <v>1.4418873417202662</v>
      </c>
      <c r="U232" s="165">
        <f t="shared" si="353"/>
        <v>1.8614110846476449E-5</v>
      </c>
      <c r="V232" s="100">
        <f t="shared" si="354"/>
        <v>3.673918075453031E-5</v>
      </c>
      <c r="W232" s="100">
        <f t="shared" si="355"/>
        <v>1.1018384429249242</v>
      </c>
      <c r="X232" s="100">
        <f t="shared" si="366"/>
        <v>63.130692484864397</v>
      </c>
      <c r="Y232" s="165">
        <f t="shared" si="367"/>
        <v>1.8395770316009807E-5</v>
      </c>
      <c r="Z232" s="166">
        <f t="shared" si="368"/>
        <v>2.1050000000002456E-3</v>
      </c>
      <c r="AA232" s="167">
        <f t="shared" si="369"/>
        <v>63.130692484864397</v>
      </c>
      <c r="AB232" s="100">
        <v>200</v>
      </c>
      <c r="AC232" s="100">
        <v>13</v>
      </c>
      <c r="AD232" s="100">
        <v>4</v>
      </c>
      <c r="AE232" s="169">
        <f t="shared" si="356"/>
        <v>136.8693075151356</v>
      </c>
      <c r="AF232" s="104">
        <f t="shared" si="324"/>
        <v>5.5133826632729283E-2</v>
      </c>
      <c r="AG232" s="383"/>
      <c r="AH232" s="386"/>
      <c r="AI232" s="389"/>
      <c r="AJ232" s="100">
        <f t="shared" si="325"/>
        <v>2.0326799666782489</v>
      </c>
      <c r="AK232" s="100">
        <f t="shared" si="326"/>
        <v>0.33</v>
      </c>
      <c r="AL232" s="104">
        <f t="shared" si="327"/>
        <v>17.587905559497941</v>
      </c>
      <c r="AM232" s="104">
        <f t="shared" si="328"/>
        <v>11.797692484584754</v>
      </c>
      <c r="AN232" s="104">
        <f t="shared" si="329"/>
        <v>3.1779746026652065</v>
      </c>
      <c r="AO232" s="104">
        <f t="shared" si="330"/>
        <v>1.6347501356109821</v>
      </c>
      <c r="AP232" s="104">
        <f t="shared" si="331"/>
        <v>6.2508372156922828E-2</v>
      </c>
      <c r="AQ232" s="103">
        <f t="shared" si="332"/>
        <v>4.4101153757700413E-2</v>
      </c>
      <c r="AR232" s="100">
        <f t="shared" si="333"/>
        <v>95938366.54444252</v>
      </c>
      <c r="AS232" s="100">
        <f t="shared" si="334"/>
        <v>2.0958951909151907E-3</v>
      </c>
      <c r="AT232" s="104">
        <f t="shared" si="335"/>
        <v>92.529727834190567</v>
      </c>
      <c r="AU232" s="100">
        <f t="shared" si="336"/>
        <v>3573.3172856245174</v>
      </c>
      <c r="AV232" s="397"/>
      <c r="AW232" s="397"/>
      <c r="AX232" s="397"/>
      <c r="AY232" s="397"/>
      <c r="AZ232" s="397"/>
      <c r="BA232" s="393"/>
      <c r="BB232" s="393"/>
      <c r="BC232" s="393"/>
      <c r="BD232" s="397"/>
      <c r="BE232" s="397"/>
      <c r="BF232" s="397"/>
      <c r="BG232" s="397"/>
      <c r="BH232" s="391"/>
      <c r="BI232" s="393"/>
      <c r="BJ232" s="393"/>
      <c r="BK232" s="393"/>
      <c r="BL232" s="104">
        <f t="shared" si="337"/>
        <v>-8.7953722956282313E-12</v>
      </c>
      <c r="BM232" s="103">
        <f t="shared" si="338"/>
        <v>1.049184961519339E-5</v>
      </c>
      <c r="BN232" s="100">
        <f t="shared" si="339"/>
        <v>1004.7029248010648</v>
      </c>
      <c r="BO232" s="104">
        <f t="shared" si="340"/>
        <v>9.1444512018165973</v>
      </c>
      <c r="BP232" s="170">
        <f t="shared" si="357"/>
        <v>10.516118882089087</v>
      </c>
      <c r="BQ232" s="104">
        <f t="shared" si="358"/>
        <v>17.191226768596344</v>
      </c>
      <c r="BR232" s="104">
        <f t="shared" si="341"/>
        <v>1.1894294760227355</v>
      </c>
      <c r="BS232" s="104">
        <f t="shared" si="342"/>
        <v>41.098258358526728</v>
      </c>
      <c r="BT232" s="104">
        <f t="shared" si="343"/>
        <v>41.936998325027275</v>
      </c>
      <c r="BU232" s="100">
        <f t="shared" si="344"/>
        <v>50.344535804354479</v>
      </c>
      <c r="BV232" s="100">
        <f t="shared" si="359"/>
        <v>25.172267902177239</v>
      </c>
      <c r="BW232" s="100">
        <f t="shared" si="360"/>
        <v>25.172267902177239</v>
      </c>
      <c r="BX232" s="104">
        <f t="shared" si="345"/>
        <v>2.3973588478264038</v>
      </c>
      <c r="BY232" s="104">
        <f t="shared" si="346"/>
        <v>1.9893458944736299E-4</v>
      </c>
      <c r="BZ232" s="104">
        <f t="shared" si="347"/>
        <v>1.9893458944736299E-4</v>
      </c>
      <c r="CA232" s="108">
        <f t="shared" si="348"/>
        <v>3.9786917889472599E-4</v>
      </c>
      <c r="CB232" s="402"/>
      <c r="CC232" s="277"/>
      <c r="CD232" s="277"/>
      <c r="CE232" s="277"/>
      <c r="CF232" s="117"/>
    </row>
    <row r="233" spans="3:84" s="109" customFormat="1" ht="15.75" x14ac:dyDescent="0.25">
      <c r="C233" s="100">
        <v>94</v>
      </c>
      <c r="D233" s="380"/>
      <c r="E233" s="380"/>
      <c r="F233" s="163" t="s">
        <v>128</v>
      </c>
      <c r="G233" s="341"/>
      <c r="H233" s="101">
        <v>0.28402777777777899</v>
      </c>
      <c r="I233" s="100">
        <v>-8.7369839999999996</v>
      </c>
      <c r="J233" s="100">
        <v>116.065067</v>
      </c>
      <c r="K233" s="100">
        <f t="shared" si="349"/>
        <v>-0.15248913749406426</v>
      </c>
      <c r="L233" s="100">
        <f t="shared" si="349"/>
        <v>2.0257175656978172</v>
      </c>
      <c r="M233" s="100">
        <v>3443</v>
      </c>
      <c r="N233" s="234">
        <f t="shared" si="350"/>
        <v>0.13533900049595929</v>
      </c>
      <c r="O233" s="359"/>
      <c r="P233" s="102">
        <f t="shared" si="351"/>
        <v>5.000000000001581E-2</v>
      </c>
      <c r="Q233" s="359"/>
      <c r="R233" s="103">
        <f t="shared" si="352"/>
        <v>2.7067800099183299</v>
      </c>
      <c r="S233" s="353"/>
      <c r="T233" s="100">
        <f t="shared" si="200"/>
        <v>1.3923676371019889</v>
      </c>
      <c r="U233" s="165">
        <f t="shared" si="353"/>
        <v>2.1227792385815713E-5</v>
      </c>
      <c r="V233" s="100">
        <f t="shared" si="354"/>
        <v>3.3632494685686964E-5</v>
      </c>
      <c r="W233" s="100">
        <f t="shared" si="355"/>
        <v>1.0077730785888523</v>
      </c>
      <c r="X233" s="100">
        <f t="shared" si="366"/>
        <v>57.741144110047067</v>
      </c>
      <c r="Y233" s="165">
        <f t="shared" si="367"/>
        <v>2.0978857608988655E-5</v>
      </c>
      <c r="Z233" s="166">
        <f t="shared" si="368"/>
        <v>1.926999999994905E-3</v>
      </c>
      <c r="AA233" s="167">
        <f t="shared" si="369"/>
        <v>57.741144110047067</v>
      </c>
      <c r="AB233" s="100">
        <v>200</v>
      </c>
      <c r="AC233" s="100">
        <v>13</v>
      </c>
      <c r="AD233" s="100">
        <v>4</v>
      </c>
      <c r="AE233" s="169">
        <f t="shared" si="356"/>
        <v>142.25885588995294</v>
      </c>
      <c r="AF233" s="104">
        <f t="shared" si="324"/>
        <v>5.3240328624715179E-2</v>
      </c>
      <c r="AG233" s="383"/>
      <c r="AH233" s="386"/>
      <c r="AI233" s="389"/>
      <c r="AJ233" s="100">
        <f t="shared" si="325"/>
        <v>2.0394042122951554</v>
      </c>
      <c r="AK233" s="100">
        <f t="shared" si="326"/>
        <v>0.33</v>
      </c>
      <c r="AL233" s="104">
        <f t="shared" si="327"/>
        <v>17.587905559497941</v>
      </c>
      <c r="AM233" s="104">
        <f t="shared" si="328"/>
        <v>11.836720065551528</v>
      </c>
      <c r="AN233" s="104">
        <f t="shared" si="329"/>
        <v>3.0701897796121993</v>
      </c>
      <c r="AO233" s="104">
        <f t="shared" si="330"/>
        <v>1.5793056226325153</v>
      </c>
      <c r="AP233" s="104">
        <f t="shared" si="331"/>
        <v>6.0388325688768216E-2</v>
      </c>
      <c r="AQ233" s="103">
        <f t="shared" si="332"/>
        <v>4.4081639967238177E-2</v>
      </c>
      <c r="AR233" s="100">
        <f t="shared" si="333"/>
        <v>92684501.691867843</v>
      </c>
      <c r="AS233" s="100">
        <f t="shared" si="334"/>
        <v>2.1064354320953632E-3</v>
      </c>
      <c r="AT233" s="104">
        <f t="shared" si="335"/>
        <v>86.793954062353478</v>
      </c>
      <c r="AU233" s="100">
        <f t="shared" si="336"/>
        <v>3351.8129102732278</v>
      </c>
      <c r="AV233" s="397"/>
      <c r="AW233" s="397"/>
      <c r="AX233" s="397"/>
      <c r="AY233" s="397"/>
      <c r="AZ233" s="397"/>
      <c r="BA233" s="393"/>
      <c r="BB233" s="393"/>
      <c r="BC233" s="393"/>
      <c r="BD233" s="397"/>
      <c r="BE233" s="397"/>
      <c r="BF233" s="397"/>
      <c r="BG233" s="397"/>
      <c r="BH233" s="391"/>
      <c r="BI233" s="393"/>
      <c r="BJ233" s="393"/>
      <c r="BK233" s="393"/>
      <c r="BL233" s="104">
        <f t="shared" si="337"/>
        <v>-1.4129657622385996E-12</v>
      </c>
      <c r="BM233" s="103">
        <f t="shared" si="338"/>
        <v>3.986606839723417E-6</v>
      </c>
      <c r="BN233" s="100">
        <f t="shared" si="339"/>
        <v>937.70723205267518</v>
      </c>
      <c r="BO233" s="104">
        <f t="shared" si="340"/>
        <v>8.572885180037586</v>
      </c>
      <c r="BP233" s="170">
        <f t="shared" si="357"/>
        <v>9.8588179570432235</v>
      </c>
      <c r="BQ233" s="104">
        <f t="shared" si="358"/>
        <v>15.570086632068771</v>
      </c>
      <c r="BR233" s="104">
        <f t="shared" si="341"/>
        <v>1.1490885477158748</v>
      </c>
      <c r="BS233" s="104">
        <f t="shared" si="342"/>
        <v>37.222674779576153</v>
      </c>
      <c r="BT233" s="104">
        <f t="shared" si="343"/>
        <v>37.982321203649136</v>
      </c>
      <c r="BU233" s="100">
        <f t="shared" si="344"/>
        <v>45.597024254080601</v>
      </c>
      <c r="BV233" s="100">
        <f t="shared" si="359"/>
        <v>22.798512127040301</v>
      </c>
      <c r="BW233" s="100">
        <f t="shared" si="360"/>
        <v>22.798512127040301</v>
      </c>
      <c r="BX233" s="104">
        <f t="shared" si="345"/>
        <v>2.1712868692419334</v>
      </c>
      <c r="BY233" s="104">
        <f t="shared" si="346"/>
        <v>1.8009524796442437E-4</v>
      </c>
      <c r="BZ233" s="104">
        <f t="shared" si="347"/>
        <v>1.8009524796442437E-4</v>
      </c>
      <c r="CA233" s="108">
        <f t="shared" si="348"/>
        <v>3.6019049592884875E-4</v>
      </c>
      <c r="CB233" s="402"/>
      <c r="CC233" s="277"/>
      <c r="CD233" s="277"/>
      <c r="CE233" s="277"/>
      <c r="CF233" s="117"/>
    </row>
    <row r="234" spans="3:84" s="109" customFormat="1" ht="15.75" x14ac:dyDescent="0.25">
      <c r="C234" s="100">
        <v>95</v>
      </c>
      <c r="D234" s="380"/>
      <c r="E234" s="380"/>
      <c r="F234" s="163" t="s">
        <v>128</v>
      </c>
      <c r="G234" s="342"/>
      <c r="H234" s="101">
        <v>0.28611111111111198</v>
      </c>
      <c r="I234" s="100">
        <v>-8.7356829999999999</v>
      </c>
      <c r="J234" s="100">
        <v>116.067183</v>
      </c>
      <c r="K234" s="100">
        <f t="shared" si="349"/>
        <v>-0.15246643076049579</v>
      </c>
      <c r="L234" s="100">
        <f t="shared" si="349"/>
        <v>2.0257544968647898</v>
      </c>
      <c r="M234" s="100">
        <v>3443</v>
      </c>
      <c r="N234" s="234">
        <f t="shared" si="350"/>
        <v>0.14801062619147989</v>
      </c>
      <c r="O234" s="359"/>
      <c r="P234" s="102">
        <f t="shared" si="351"/>
        <v>4.9999999999991829E-2</v>
      </c>
      <c r="Q234" s="359"/>
      <c r="R234" s="103">
        <f t="shared" si="352"/>
        <v>2.9602125238300818</v>
      </c>
      <c r="S234" s="353"/>
      <c r="T234" s="100">
        <f t="shared" si="200"/>
        <v>1.522733322258194</v>
      </c>
      <c r="U234" s="165">
        <f t="shared" si="353"/>
        <v>2.297609375640673E-5</v>
      </c>
      <c r="V234" s="100">
        <f t="shared" si="354"/>
        <v>3.6931166972564711E-5</v>
      </c>
      <c r="W234" s="100">
        <f t="shared" si="355"/>
        <v>1.0142614084285952</v>
      </c>
      <c r="X234" s="100">
        <f t="shared" si="366"/>
        <v>58.112898025953129</v>
      </c>
      <c r="Y234" s="165">
        <f t="shared" si="367"/>
        <v>2.2706733568467197E-5</v>
      </c>
      <c r="Z234" s="166">
        <f t="shared" si="368"/>
        <v>2.1160000000008949E-3</v>
      </c>
      <c r="AA234" s="167">
        <f t="shared" si="369"/>
        <v>58.112898025953129</v>
      </c>
      <c r="AB234" s="100">
        <v>200</v>
      </c>
      <c r="AC234" s="100">
        <v>13</v>
      </c>
      <c r="AD234" s="100">
        <v>4</v>
      </c>
      <c r="AE234" s="169">
        <f t="shared" si="356"/>
        <v>141.88710197404686</v>
      </c>
      <c r="AF234" s="104">
        <f t="shared" si="324"/>
        <v>5.8225155716465603E-2</v>
      </c>
      <c r="AG234" s="383"/>
      <c r="AH234" s="386"/>
      <c r="AI234" s="389"/>
      <c r="AJ234" s="100">
        <f t="shared" si="325"/>
        <v>2.0215524737542312</v>
      </c>
      <c r="AK234" s="100">
        <f t="shared" si="326"/>
        <v>0.33</v>
      </c>
      <c r="AL234" s="104">
        <f t="shared" si="327"/>
        <v>17.587905559497941</v>
      </c>
      <c r="AM234" s="104">
        <f t="shared" si="328"/>
        <v>11.733108417346424</v>
      </c>
      <c r="AN234" s="104">
        <f t="shared" si="329"/>
        <v>3.3537065492536615</v>
      </c>
      <c r="AO234" s="104">
        <f t="shared" si="330"/>
        <v>1.7251466489360834</v>
      </c>
      <c r="AP234" s="104">
        <f t="shared" si="331"/>
        <v>6.5964887482123771E-2</v>
      </c>
      <c r="AQ234" s="103">
        <f t="shared" si="332"/>
        <v>4.4133445791319573E-2</v>
      </c>
      <c r="AR234" s="100">
        <f t="shared" si="333"/>
        <v>101243454.85170351</v>
      </c>
      <c r="AS234" s="100">
        <f t="shared" si="334"/>
        <v>2.0796112748522502E-3</v>
      </c>
      <c r="AT234" s="104">
        <f t="shared" si="335"/>
        <v>102.24525457521003</v>
      </c>
      <c r="AU234" s="100">
        <f t="shared" si="336"/>
        <v>3948.5119441978445</v>
      </c>
      <c r="AV234" s="397"/>
      <c r="AW234" s="397"/>
      <c r="AX234" s="397"/>
      <c r="AY234" s="397"/>
      <c r="AZ234" s="397"/>
      <c r="BA234" s="393"/>
      <c r="BB234" s="393"/>
      <c r="BC234" s="393"/>
      <c r="BD234" s="397"/>
      <c r="BE234" s="397"/>
      <c r="BF234" s="397"/>
      <c r="BG234" s="397"/>
      <c r="BH234" s="391"/>
      <c r="BI234" s="393"/>
      <c r="BJ234" s="393"/>
      <c r="BK234" s="393"/>
      <c r="BL234" s="104">
        <f t="shared" si="337"/>
        <v>-1.1983089376013233E-10</v>
      </c>
      <c r="BM234" s="103">
        <f t="shared" si="338"/>
        <v>4.4757751825263007E-5</v>
      </c>
      <c r="BN234" s="100">
        <f t="shared" si="339"/>
        <v>1118.8888350359564</v>
      </c>
      <c r="BO234" s="104">
        <f t="shared" si="340"/>
        <v>10.113302385258642</v>
      </c>
      <c r="BP234" s="170">
        <f t="shared" si="357"/>
        <v>11.630297743047437</v>
      </c>
      <c r="BQ234" s="104">
        <f t="shared" si="358"/>
        <v>20.063969177547179</v>
      </c>
      <c r="BR234" s="104">
        <f t="shared" si="341"/>
        <v>1.255201165002209</v>
      </c>
      <c r="BS234" s="104">
        <f t="shared" si="342"/>
        <v>47.9659887020197</v>
      </c>
      <c r="BT234" s="104">
        <f t="shared" si="343"/>
        <v>48.944886430632351</v>
      </c>
      <c r="BU234" s="100">
        <f t="shared" si="344"/>
        <v>58.757366663424193</v>
      </c>
      <c r="BV234" s="100">
        <f t="shared" si="359"/>
        <v>29.378683331712097</v>
      </c>
      <c r="BW234" s="100">
        <f t="shared" si="360"/>
        <v>29.378683331712097</v>
      </c>
      <c r="BX234" s="104">
        <f t="shared" si="345"/>
        <v>2.7979698411154379</v>
      </c>
      <c r="BY234" s="104">
        <f t="shared" si="346"/>
        <v>2.3234758906069038E-4</v>
      </c>
      <c r="BZ234" s="104">
        <f t="shared" si="347"/>
        <v>2.3234758906069038E-4</v>
      </c>
      <c r="CA234" s="108">
        <f t="shared" si="348"/>
        <v>4.6469517812138076E-4</v>
      </c>
      <c r="CB234" s="402"/>
      <c r="CC234" s="277"/>
      <c r="CD234" s="277"/>
      <c r="CE234" s="277"/>
      <c r="CF234" s="117"/>
    </row>
    <row r="235" spans="3:84" s="183" customFormat="1" ht="15.75" x14ac:dyDescent="0.25">
      <c r="C235" s="171">
        <v>96</v>
      </c>
      <c r="D235" s="379"/>
      <c r="E235" s="379"/>
      <c r="F235" s="172" t="s">
        <v>128</v>
      </c>
      <c r="G235" s="394">
        <v>0.28819444444444398</v>
      </c>
      <c r="H235" s="173">
        <v>0.28819444444444497</v>
      </c>
      <c r="I235" s="185">
        <v>-8.7342089999999999</v>
      </c>
      <c r="J235" s="171">
        <v>116.069587</v>
      </c>
      <c r="K235" s="171">
        <f t="shared" si="349"/>
        <v>-0.1524407046073214</v>
      </c>
      <c r="L235" s="171">
        <f t="shared" si="349"/>
        <v>2.0257964545800076</v>
      </c>
      <c r="M235" s="171">
        <v>3443</v>
      </c>
      <c r="N235" s="235">
        <f t="shared" si="350"/>
        <v>0.16802701797212177</v>
      </c>
      <c r="O235" s="358"/>
      <c r="P235" s="174">
        <f t="shared" si="351"/>
        <v>4.9999999999991829E-2</v>
      </c>
      <c r="Q235" s="358"/>
      <c r="R235" s="175">
        <f t="shared" si="352"/>
        <v>3.3605403594429846</v>
      </c>
      <c r="S235" s="348"/>
      <c r="T235" s="171">
        <f t="shared" si="200"/>
        <v>1.7286619608974712</v>
      </c>
      <c r="U235" s="176">
        <f t="shared" si="353"/>
        <v>2.6031234057106957E-5</v>
      </c>
      <c r="V235" s="171">
        <f t="shared" si="354"/>
        <v>4.1957715217755265E-5</v>
      </c>
      <c r="W235" s="171">
        <f t="shared" si="355"/>
        <v>1.0155002294295579</v>
      </c>
      <c r="X235" s="171">
        <f t="shared" si="366"/>
        <v>58.183877240880463</v>
      </c>
      <c r="Y235" s="176">
        <f t="shared" si="367"/>
        <v>2.5726153174393529E-5</v>
      </c>
      <c r="Z235" s="177">
        <f t="shared" si="368"/>
        <v>2.4039999999985184E-3</v>
      </c>
      <c r="AA235" s="178">
        <f t="shared" si="369"/>
        <v>58.183877240880463</v>
      </c>
      <c r="AB235" s="100">
        <v>200</v>
      </c>
      <c r="AC235" s="171">
        <v>13</v>
      </c>
      <c r="AD235" s="171">
        <v>4</v>
      </c>
      <c r="AE235" s="179">
        <f t="shared" si="356"/>
        <v>141.81612275911954</v>
      </c>
      <c r="AF235" s="180">
        <f t="shared" si="324"/>
        <v>6.6099303392875772E-2</v>
      </c>
      <c r="AG235" s="382"/>
      <c r="AH235" s="385"/>
      <c r="AI235" s="388"/>
      <c r="AJ235" s="171">
        <f t="shared" si="325"/>
        <v>1.9923712978002834</v>
      </c>
      <c r="AK235" s="171">
        <f t="shared" si="326"/>
        <v>0.33</v>
      </c>
      <c r="AL235" s="180">
        <f t="shared" si="327"/>
        <v>17.587905559497941</v>
      </c>
      <c r="AM235" s="180">
        <f t="shared" si="328"/>
        <v>11.563740614304692</v>
      </c>
      <c r="AN235" s="180">
        <f t="shared" si="329"/>
        <v>3.7999575997292316</v>
      </c>
      <c r="AO235" s="180">
        <f t="shared" si="330"/>
        <v>1.9546981893007167</v>
      </c>
      <c r="AP235" s="180">
        <f t="shared" si="331"/>
        <v>7.4742310283159072E-2</v>
      </c>
      <c r="AQ235" s="175">
        <f t="shared" si="332"/>
        <v>4.4218129692840426E-2</v>
      </c>
      <c r="AR235" s="171">
        <f t="shared" si="333"/>
        <v>114715115.95795119</v>
      </c>
      <c r="AS235" s="171">
        <f t="shared" si="334"/>
        <v>2.0425391511585257E-3</v>
      </c>
      <c r="AT235" s="180">
        <f t="shared" si="335"/>
        <v>128.92548403052928</v>
      </c>
      <c r="AU235" s="171">
        <f t="shared" si="336"/>
        <v>4978.8502725236403</v>
      </c>
      <c r="AV235" s="297"/>
      <c r="AW235" s="297"/>
      <c r="AX235" s="297"/>
      <c r="AY235" s="297"/>
      <c r="AZ235" s="297"/>
      <c r="BA235" s="392"/>
      <c r="BB235" s="392"/>
      <c r="BC235" s="392"/>
      <c r="BD235" s="297"/>
      <c r="BE235" s="297"/>
      <c r="BF235" s="297"/>
      <c r="BG235" s="297"/>
      <c r="BH235" s="390"/>
      <c r="BI235" s="392"/>
      <c r="BJ235" s="392"/>
      <c r="BK235" s="392"/>
      <c r="BL235" s="180">
        <f t="shared" si="337"/>
        <v>-1.9279436063036142E-8</v>
      </c>
      <c r="BM235" s="175">
        <f t="shared" si="338"/>
        <v>1.0016849461777411E-3</v>
      </c>
      <c r="BN235" s="171">
        <f t="shared" si="339"/>
        <v>1436.4626021076795</v>
      </c>
      <c r="BO235" s="180">
        <f t="shared" si="340"/>
        <v>12.777910398370325</v>
      </c>
      <c r="BP235" s="181">
        <f t="shared" si="357"/>
        <v>14.694596958125874</v>
      </c>
      <c r="BQ235" s="180">
        <f t="shared" si="358"/>
        <v>28.723502066552467</v>
      </c>
      <c r="BR235" s="180">
        <f t="shared" si="341"/>
        <v>1.4222207984179736</v>
      </c>
      <c r="BS235" s="180">
        <f t="shared" si="342"/>
        <v>68.667927238867762</v>
      </c>
      <c r="BT235" s="180">
        <f t="shared" si="343"/>
        <v>70.06931350904874</v>
      </c>
      <c r="BU235" s="171">
        <f t="shared" si="344"/>
        <v>84.11682294003451</v>
      </c>
      <c r="BV235" s="171">
        <f t="shared" si="359"/>
        <v>42.058411470017255</v>
      </c>
      <c r="BW235" s="171">
        <f t="shared" si="360"/>
        <v>42.058411470017255</v>
      </c>
      <c r="BX235" s="180">
        <f t="shared" si="345"/>
        <v>4.0055629971445006</v>
      </c>
      <c r="BY235" s="180">
        <f t="shared" si="346"/>
        <v>3.3326617731564776E-4</v>
      </c>
      <c r="BZ235" s="180">
        <f t="shared" si="347"/>
        <v>3.3326617731564776E-4</v>
      </c>
      <c r="CA235" s="182">
        <f t="shared" si="348"/>
        <v>6.6653235463129553E-4</v>
      </c>
      <c r="CB235" s="402"/>
      <c r="CC235" s="276">
        <f t="shared" ref="CC235" si="395">SUM(CA235:CA239)*1000</f>
        <v>1.3605115225083726</v>
      </c>
      <c r="CD235" s="276">
        <v>34</v>
      </c>
      <c r="CE235" s="276">
        <f t="shared" ref="CE235" si="396">AVERAGE(AN235:AN239)</f>
        <v>2.6552673443855936</v>
      </c>
      <c r="CF235" s="184"/>
    </row>
    <row r="236" spans="3:84" s="183" customFormat="1" ht="15.75" x14ac:dyDescent="0.25">
      <c r="C236" s="171">
        <v>97</v>
      </c>
      <c r="D236" s="379"/>
      <c r="E236" s="379"/>
      <c r="F236" s="172" t="s">
        <v>128</v>
      </c>
      <c r="G236" s="395"/>
      <c r="H236" s="173">
        <v>0.29027777777777902</v>
      </c>
      <c r="I236" s="185">
        <v>-8.7335309999999993</v>
      </c>
      <c r="J236" s="171">
        <v>116.071335</v>
      </c>
      <c r="K236" s="171">
        <f t="shared" si="349"/>
        <v>-0.15242887127499288</v>
      </c>
      <c r="L236" s="171">
        <f t="shared" si="349"/>
        <v>2.0258269629353327</v>
      </c>
      <c r="M236" s="171">
        <v>3443</v>
      </c>
      <c r="N236" s="235">
        <f t="shared" si="350"/>
        <v>0.11153019234908608</v>
      </c>
      <c r="O236" s="357">
        <f t="shared" ref="O236" si="397">SUM(N236:N240)</f>
        <v>0.50636040408446192</v>
      </c>
      <c r="P236" s="174">
        <f t="shared" si="351"/>
        <v>5.0000000000017142E-2</v>
      </c>
      <c r="Q236" s="357">
        <f t="shared" ref="Q236" si="398">SUM(P236:P240)</f>
        <v>0.25000000000000844</v>
      </c>
      <c r="R236" s="175">
        <f t="shared" si="352"/>
        <v>2.2306038469809568</v>
      </c>
      <c r="S236" s="346">
        <f t="shared" ref="S236" si="399">AVERAGE(R236:R240)</f>
        <v>2.0254416163377358</v>
      </c>
      <c r="T236" s="171">
        <f t="shared" si="200"/>
        <v>1.147422618887004</v>
      </c>
      <c r="U236" s="176">
        <f t="shared" si="353"/>
        <v>1.1973626525447512E-5</v>
      </c>
      <c r="V236" s="171">
        <f t="shared" si="354"/>
        <v>3.0508355325142844E-5</v>
      </c>
      <c r="W236" s="171">
        <f t="shared" si="355"/>
        <v>1.1967977865167587</v>
      </c>
      <c r="X236" s="171">
        <f t="shared" si="366"/>
        <v>68.571462098009178</v>
      </c>
      <c r="Y236" s="176">
        <f t="shared" si="367"/>
        <v>1.183333232851469E-5</v>
      </c>
      <c r="Z236" s="177">
        <f t="shared" si="368"/>
        <v>1.7480000000063001E-3</v>
      </c>
      <c r="AA236" s="178">
        <f t="shared" si="369"/>
        <v>68.571462098009178</v>
      </c>
      <c r="AB236" s="100">
        <v>200</v>
      </c>
      <c r="AC236" s="171">
        <v>13</v>
      </c>
      <c r="AD236" s="171">
        <v>4</v>
      </c>
      <c r="AE236" s="179">
        <f t="shared" si="356"/>
        <v>131.42853790199081</v>
      </c>
      <c r="AF236" s="180">
        <f t="shared" si="324"/>
        <v>4.3874301350556838E-2</v>
      </c>
      <c r="AG236" s="382"/>
      <c r="AH236" s="385"/>
      <c r="AI236" s="388"/>
      <c r="AJ236" s="171">
        <f t="shared" si="325"/>
        <v>2.0716421897293129</v>
      </c>
      <c r="AK236" s="171">
        <f t="shared" si="326"/>
        <v>0.33</v>
      </c>
      <c r="AL236" s="180">
        <f t="shared" ref="AL236:AL240" si="400">IF($T$21="ALL SHIP TYPE LOADED",(0.5*AD236+AD236^6.5)/(2.2*$G$5^(2/3)),IF($T$22="ALL SHIP TYPE BALLAST",(0.7*AD236+AD236^6.5)/(2.7*J114^(2/3)),IF($T$23="CONTAINER NORMAL",(0.7*AD236+AD236^6.5)/(2.2*$G$5^(2/3)))))</f>
        <v>17.587905559497941</v>
      </c>
      <c r="AM236" s="180">
        <f t="shared" si="328"/>
        <v>12.02382957139012</v>
      </c>
      <c r="AN236" s="180">
        <f t="shared" ref="AN236:AN240" si="401">R236/(1-(0.01*AM236))</f>
        <v>2.5354636785321629</v>
      </c>
      <c r="AO236" s="180">
        <f t="shared" si="330"/>
        <v>1.3042425162369444</v>
      </c>
      <c r="AP236" s="180">
        <f t="shared" si="331"/>
        <v>4.9870665132167313E-2</v>
      </c>
      <c r="AQ236" s="175">
        <f t="shared" si="332"/>
        <v>4.3988085214320016E-2</v>
      </c>
      <c r="AR236" s="171">
        <f t="shared" si="333"/>
        <v>76541909.286228776</v>
      </c>
      <c r="AS236" s="171">
        <f t="shared" si="334"/>
        <v>2.1663608665475897E-3</v>
      </c>
      <c r="AT236" s="180">
        <f t="shared" ref="AT236:AT240" si="402">0.5*1024*(AO236^2)*$W$5*$W$6*AS236</f>
        <v>60.877452177876748</v>
      </c>
      <c r="AU236" s="171">
        <f t="shared" si="336"/>
        <v>2350.9682484076861</v>
      </c>
      <c r="AV236" s="297"/>
      <c r="AW236" s="297"/>
      <c r="AX236" s="297"/>
      <c r="AY236" s="297"/>
      <c r="AZ236" s="297"/>
      <c r="BA236" s="392"/>
      <c r="BB236" s="392"/>
      <c r="BC236" s="392"/>
      <c r="BD236" s="297"/>
      <c r="BE236" s="297"/>
      <c r="BF236" s="297"/>
      <c r="BG236" s="297"/>
      <c r="BH236" s="390"/>
      <c r="BI236" s="392"/>
      <c r="BJ236" s="392"/>
      <c r="BK236" s="392"/>
      <c r="BL236" s="180">
        <f t="shared" si="337"/>
        <v>-3.9556213167400053E-18</v>
      </c>
      <c r="BM236" s="175">
        <f t="shared" ref="BM236:BM240" si="403">$BC$140*$BD$140*$BG$140*($D$3*$D$4*$AI$140*$AH$140)*1025*9.81*(EXP(($BK$140*(AP236^-0.9))+(BL236*COS($Y$10*(AP236^-2)))))</f>
        <v>1.0410476757621195E-8</v>
      </c>
      <c r="BN236" s="171">
        <f t="shared" si="339"/>
        <v>639.51628672406218</v>
      </c>
      <c r="BO236" s="180">
        <f t="shared" ref="BO236:BO240" si="404">((AU236*$U$8)+AT236+BM236+BN236)/1000</f>
        <v>5.99484529757102</v>
      </c>
      <c r="BP236" s="181">
        <f t="shared" si="357"/>
        <v>6.8940720922066729</v>
      </c>
      <c r="BQ236" s="180">
        <f t="shared" si="358"/>
        <v>8.9915419326585262</v>
      </c>
      <c r="BR236" s="180">
        <f t="shared" si="341"/>
        <v>0.94895510873561628</v>
      </c>
      <c r="BS236" s="180">
        <f t="shared" si="342"/>
        <v>21.495656962943972</v>
      </c>
      <c r="BT236" s="180">
        <f t="shared" ref="BT236:BT240" si="405">BS236/$AG$4</f>
        <v>21.934343839738748</v>
      </c>
      <c r="BU236" s="171">
        <f t="shared" ref="BU236:BU240" si="406">((BT236/$AG$5)/85%)</f>
        <v>26.331745305808823</v>
      </c>
      <c r="BV236" s="171">
        <f t="shared" si="359"/>
        <v>13.165872652904412</v>
      </c>
      <c r="BW236" s="171">
        <f t="shared" si="360"/>
        <v>13.165872652904412</v>
      </c>
      <c r="BX236" s="180">
        <f t="shared" si="345"/>
        <v>1.2538926336099441</v>
      </c>
      <c r="BY236" s="180">
        <f t="shared" si="346"/>
        <v>1.0378216184929058E-4</v>
      </c>
      <c r="BZ236" s="180">
        <f t="shared" si="347"/>
        <v>1.0378216184929058E-4</v>
      </c>
      <c r="CA236" s="182">
        <f t="shared" si="348"/>
        <v>2.0756432369858116E-4</v>
      </c>
      <c r="CB236" s="402"/>
      <c r="CC236" s="277"/>
      <c r="CD236" s="277"/>
      <c r="CE236" s="277"/>
      <c r="CF236" s="184"/>
    </row>
    <row r="237" spans="3:84" s="183" customFormat="1" ht="15.75" x14ac:dyDescent="0.25">
      <c r="C237" s="171">
        <v>98</v>
      </c>
      <c r="D237" s="379"/>
      <c r="E237" s="379"/>
      <c r="F237" s="172" t="s">
        <v>128</v>
      </c>
      <c r="G237" s="395"/>
      <c r="H237" s="173">
        <v>0.29236111111111202</v>
      </c>
      <c r="I237" s="185">
        <v>-8.732863</v>
      </c>
      <c r="J237" s="171">
        <v>116.072812</v>
      </c>
      <c r="K237" s="171">
        <f t="shared" si="349"/>
        <v>-0.15241721247558956</v>
      </c>
      <c r="L237" s="171">
        <f t="shared" si="349"/>
        <v>2.0258527414483845</v>
      </c>
      <c r="M237" s="171">
        <v>3443</v>
      </c>
      <c r="N237" s="235">
        <f t="shared" ref="N237:N240" si="407">2*M237*ASIN(((SIN((K237-K236)/2))^2+COS(K236)*COS(K237)*(SIN((L237-L236)/2))^2)^0.5)</f>
        <v>9.6474040215860729E-2</v>
      </c>
      <c r="O237" s="331"/>
      <c r="P237" s="174">
        <f t="shared" si="351"/>
        <v>4.9999999999991829E-2</v>
      </c>
      <c r="Q237" s="331"/>
      <c r="R237" s="175">
        <f t="shared" si="352"/>
        <v>1.92948080431753</v>
      </c>
      <c r="S237" s="347"/>
      <c r="T237" s="171">
        <f t="shared" si="200"/>
        <v>0.99252492574093731</v>
      </c>
      <c r="U237" s="176">
        <f t="shared" si="353"/>
        <v>1.1797002963922789E-5</v>
      </c>
      <c r="V237" s="171">
        <f t="shared" si="354"/>
        <v>2.5778513051744056E-5</v>
      </c>
      <c r="W237" s="171">
        <f t="shared" ref="W237:W240" si="408">ATAN2(U237,V237)</f>
        <v>1.1416160125624335</v>
      </c>
      <c r="X237" s="171">
        <f t="shared" si="366"/>
        <v>65.409779344381406</v>
      </c>
      <c r="Y237" s="176">
        <f t="shared" si="367"/>
        <v>1.1658799403319042E-5</v>
      </c>
      <c r="Z237" s="177">
        <f t="shared" si="368"/>
        <v>1.4769999999941774E-3</v>
      </c>
      <c r="AA237" s="178">
        <f t="shared" si="369"/>
        <v>65.409779344381406</v>
      </c>
      <c r="AB237" s="100">
        <v>200</v>
      </c>
      <c r="AC237" s="171">
        <v>13</v>
      </c>
      <c r="AD237" s="171">
        <v>4</v>
      </c>
      <c r="AE237" s="179">
        <f t="shared" si="356"/>
        <v>134.59022065561859</v>
      </c>
      <c r="AF237" s="180">
        <f t="shared" si="324"/>
        <v>3.7951437398137333E-2</v>
      </c>
      <c r="AG237" s="382"/>
      <c r="AH237" s="385"/>
      <c r="AI237" s="388"/>
      <c r="AJ237" s="171">
        <f t="shared" si="325"/>
        <v>2.0911503839789853</v>
      </c>
      <c r="AK237" s="171">
        <f t="shared" si="326"/>
        <v>0.33</v>
      </c>
      <c r="AL237" s="180">
        <f t="shared" si="400"/>
        <v>17.587905559497941</v>
      </c>
      <c r="AM237" s="180">
        <f t="shared" si="328"/>
        <v>12.137055303162983</v>
      </c>
      <c r="AN237" s="180">
        <f t="shared" si="401"/>
        <v>2.1960119945615588</v>
      </c>
      <c r="AO237" s="180">
        <f t="shared" si="330"/>
        <v>1.1296285700024657</v>
      </c>
      <c r="AP237" s="180">
        <f t="shared" si="331"/>
        <v>4.319390560956643E-2</v>
      </c>
      <c r="AQ237" s="175">
        <f t="shared" si="332"/>
        <v>4.3931472348411327E-2</v>
      </c>
      <c r="AR237" s="171">
        <f t="shared" si="333"/>
        <v>66294363.55266998</v>
      </c>
      <c r="AS237" s="171">
        <f t="shared" si="334"/>
        <v>2.2130689774862459E-3</v>
      </c>
      <c r="AT237" s="180">
        <f t="shared" si="402"/>
        <v>46.652534789211515</v>
      </c>
      <c r="AU237" s="171">
        <f t="shared" si="336"/>
        <v>1801.6297343834822</v>
      </c>
      <c r="AV237" s="297"/>
      <c r="AW237" s="297"/>
      <c r="AX237" s="297"/>
      <c r="AY237" s="297"/>
      <c r="AZ237" s="297"/>
      <c r="BA237" s="392"/>
      <c r="BB237" s="392"/>
      <c r="BC237" s="392"/>
      <c r="BD237" s="297"/>
      <c r="BE237" s="297"/>
      <c r="BF237" s="297"/>
      <c r="BG237" s="297"/>
      <c r="BH237" s="390"/>
      <c r="BI237" s="392"/>
      <c r="BJ237" s="392"/>
      <c r="BK237" s="392"/>
      <c r="BL237" s="180">
        <f t="shared" si="337"/>
        <v>-6.0471782028140866E-24</v>
      </c>
      <c r="BM237" s="175">
        <f t="shared" si="403"/>
        <v>5.7903021086721965E-11</v>
      </c>
      <c r="BN237" s="171">
        <f t="shared" si="339"/>
        <v>479.74033938215041</v>
      </c>
      <c r="BO237" s="180">
        <f t="shared" si="404"/>
        <v>4.5837174942691048</v>
      </c>
      <c r="BP237" s="181">
        <f t="shared" si="357"/>
        <v>5.2712751184094708</v>
      </c>
      <c r="BQ237" s="180">
        <f t="shared" si="358"/>
        <v>5.9545829740984688</v>
      </c>
      <c r="BR237" s="180">
        <f t="shared" si="341"/>
        <v>0.82190757403801906</v>
      </c>
      <c r="BS237" s="180">
        <f t="shared" si="342"/>
        <v>14.23534182760157</v>
      </c>
      <c r="BT237" s="180">
        <f t="shared" si="405"/>
        <v>14.525859007756704</v>
      </c>
      <c r="BU237" s="171">
        <f t="shared" si="406"/>
        <v>17.43800601171273</v>
      </c>
      <c r="BV237" s="171">
        <f t="shared" si="359"/>
        <v>8.719003005856365</v>
      </c>
      <c r="BW237" s="171">
        <f t="shared" si="360"/>
        <v>8.719003005856365</v>
      </c>
      <c r="BX237" s="180">
        <f t="shared" si="345"/>
        <v>0.83038123865298719</v>
      </c>
      <c r="BY237" s="180">
        <f t="shared" si="346"/>
        <v>6.864052419078295E-5</v>
      </c>
      <c r="BZ237" s="180">
        <f t="shared" si="347"/>
        <v>6.864052419078295E-5</v>
      </c>
      <c r="CA237" s="182">
        <f t="shared" si="348"/>
        <v>1.372810483815659E-4</v>
      </c>
      <c r="CB237" s="402"/>
      <c r="CC237" s="277"/>
      <c r="CD237" s="277"/>
      <c r="CE237" s="277"/>
      <c r="CF237" s="184"/>
    </row>
    <row r="238" spans="3:84" s="183" customFormat="1" ht="15.75" x14ac:dyDescent="0.25">
      <c r="C238" s="171">
        <v>99</v>
      </c>
      <c r="D238" s="379"/>
      <c r="E238" s="379"/>
      <c r="F238" s="172" t="s">
        <v>128</v>
      </c>
      <c r="G238" s="395"/>
      <c r="H238" s="173">
        <v>0.29444444444444501</v>
      </c>
      <c r="I238" s="185">
        <v>-8.7321989999999996</v>
      </c>
      <c r="J238" s="171">
        <v>116.074276</v>
      </c>
      <c r="K238" s="171">
        <f t="shared" si="349"/>
        <v>-0.15240562348935632</v>
      </c>
      <c r="L238" s="171">
        <f t="shared" si="349"/>
        <v>2.0258782930686334</v>
      </c>
      <c r="M238" s="171">
        <v>3443</v>
      </c>
      <c r="N238" s="235">
        <f t="shared" si="407"/>
        <v>9.5672101196749113E-2</v>
      </c>
      <c r="O238" s="331"/>
      <c r="P238" s="174">
        <f t="shared" si="351"/>
        <v>4.9999999999991829E-2</v>
      </c>
      <c r="Q238" s="331"/>
      <c r="R238" s="175">
        <f t="shared" si="352"/>
        <v>1.9134420239352949</v>
      </c>
      <c r="S238" s="347"/>
      <c r="T238" s="171">
        <f t="shared" si="200"/>
        <v>0.9842745771123157</v>
      </c>
      <c r="U238" s="176">
        <f t="shared" si="353"/>
        <v>1.1726341179269694E-5</v>
      </c>
      <c r="V238" s="171">
        <f t="shared" si="354"/>
        <v>2.5551620248975837E-5</v>
      </c>
      <c r="W238" s="171">
        <f t="shared" si="408"/>
        <v>1.1405431402940076</v>
      </c>
      <c r="X238" s="171">
        <f t="shared" si="366"/>
        <v>65.348308291443985</v>
      </c>
      <c r="Y238" s="176">
        <f t="shared" si="367"/>
        <v>1.1588986233240783E-5</v>
      </c>
      <c r="Z238" s="177">
        <f t="shared" si="368"/>
        <v>1.4639999999985776E-3</v>
      </c>
      <c r="AA238" s="178">
        <f t="shared" si="369"/>
        <v>65.348308291443985</v>
      </c>
      <c r="AB238" s="100">
        <v>200</v>
      </c>
      <c r="AC238" s="171">
        <v>13</v>
      </c>
      <c r="AD238" s="171">
        <v>4</v>
      </c>
      <c r="AE238" s="179">
        <f t="shared" si="356"/>
        <v>134.65169170855603</v>
      </c>
      <c r="AF238" s="180">
        <f t="shared" si="324"/>
        <v>3.7635966641311559E-2</v>
      </c>
      <c r="AG238" s="382"/>
      <c r="AH238" s="385"/>
      <c r="AI238" s="388"/>
      <c r="AJ238" s="171">
        <f t="shared" si="325"/>
        <v>2.0921703633419697</v>
      </c>
      <c r="AK238" s="171">
        <f t="shared" si="326"/>
        <v>0.33</v>
      </c>
      <c r="AL238" s="180">
        <f t="shared" si="400"/>
        <v>17.587905559497941</v>
      </c>
      <c r="AM238" s="180">
        <f t="shared" si="328"/>
        <v>12.142975272396889</v>
      </c>
      <c r="AN238" s="180">
        <f t="shared" si="401"/>
        <v>2.1779044189896468</v>
      </c>
      <c r="AO238" s="180">
        <f t="shared" si="330"/>
        <v>1.1203140331282742</v>
      </c>
      <c r="AP238" s="180">
        <f t="shared" si="331"/>
        <v>4.2837743206078548E-2</v>
      </c>
      <c r="AQ238" s="175">
        <f t="shared" si="332"/>
        <v>4.3928512363794379E-2</v>
      </c>
      <c r="AR238" s="171">
        <f t="shared" si="333"/>
        <v>65747722.550255299</v>
      </c>
      <c r="AS238" s="171">
        <f t="shared" si="334"/>
        <v>2.2158055120722639E-3</v>
      </c>
      <c r="AT238" s="180">
        <f t="shared" si="402"/>
        <v>45.943084565312731</v>
      </c>
      <c r="AU238" s="171">
        <f t="shared" si="336"/>
        <v>1774.2321530041177</v>
      </c>
      <c r="AV238" s="297"/>
      <c r="AW238" s="297"/>
      <c r="AX238" s="297"/>
      <c r="AY238" s="297"/>
      <c r="AZ238" s="297"/>
      <c r="BA238" s="392"/>
      <c r="BB238" s="392"/>
      <c r="BC238" s="392"/>
      <c r="BD238" s="297"/>
      <c r="BE238" s="297"/>
      <c r="BF238" s="297"/>
      <c r="BG238" s="297"/>
      <c r="BH238" s="390"/>
      <c r="BI238" s="392"/>
      <c r="BJ238" s="392"/>
      <c r="BK238" s="392"/>
      <c r="BL238" s="180">
        <f t="shared" si="337"/>
        <v>-2.4709984878679618E-24</v>
      </c>
      <c r="BM238" s="175">
        <f t="shared" si="403"/>
        <v>4.2045027062547364E-11</v>
      </c>
      <c r="BN238" s="171">
        <f t="shared" si="339"/>
        <v>471.86140274312851</v>
      </c>
      <c r="BO238" s="180">
        <f t="shared" si="404"/>
        <v>4.5134289259870011</v>
      </c>
      <c r="BP238" s="181">
        <f t="shared" si="357"/>
        <v>5.1904432648850509</v>
      </c>
      <c r="BQ238" s="180">
        <f t="shared" si="358"/>
        <v>5.8149264278068582</v>
      </c>
      <c r="BR238" s="180">
        <f t="shared" si="341"/>
        <v>0.8151304008955782</v>
      </c>
      <c r="BS238" s="180">
        <f t="shared" si="342"/>
        <v>13.901471482092726</v>
      </c>
      <c r="BT238" s="180">
        <f t="shared" si="405"/>
        <v>14.185174981727272</v>
      </c>
      <c r="BU238" s="171">
        <f t="shared" si="406"/>
        <v>17.029021586707412</v>
      </c>
      <c r="BV238" s="171">
        <f t="shared" si="359"/>
        <v>8.5145107933537059</v>
      </c>
      <c r="BW238" s="171">
        <f t="shared" si="360"/>
        <v>8.5145107933537059</v>
      </c>
      <c r="BX238" s="180">
        <f t="shared" si="345"/>
        <v>0.81090578984321005</v>
      </c>
      <c r="BY238" s="180">
        <f t="shared" si="346"/>
        <v>6.7026138844223802E-5</v>
      </c>
      <c r="BZ238" s="180">
        <f t="shared" si="347"/>
        <v>6.7026138844223802E-5</v>
      </c>
      <c r="CA238" s="182">
        <f t="shared" si="348"/>
        <v>1.340522776884476E-4</v>
      </c>
      <c r="CB238" s="402"/>
      <c r="CC238" s="277"/>
      <c r="CD238" s="277"/>
      <c r="CE238" s="277"/>
      <c r="CF238" s="184"/>
    </row>
    <row r="239" spans="3:84" s="183" customFormat="1" ht="15.75" x14ac:dyDescent="0.25">
      <c r="C239" s="171">
        <v>100</v>
      </c>
      <c r="D239" s="379"/>
      <c r="E239" s="379"/>
      <c r="F239" s="172" t="s">
        <v>128</v>
      </c>
      <c r="G239" s="396"/>
      <c r="H239" s="173">
        <v>0.296527777777779</v>
      </c>
      <c r="I239" s="185">
        <v>-8.7313980000000004</v>
      </c>
      <c r="J239" s="171">
        <v>116.075996</v>
      </c>
      <c r="K239" s="171">
        <f t="shared" si="349"/>
        <v>-0.15239164340204786</v>
      </c>
      <c r="L239" s="171">
        <f t="shared" si="349"/>
        <v>2.0259083127317679</v>
      </c>
      <c r="M239" s="171">
        <v>3443</v>
      </c>
      <c r="N239" s="235">
        <f t="shared" si="407"/>
        <v>0.11293115226010711</v>
      </c>
      <c r="O239" s="331"/>
      <c r="P239" s="174">
        <f t="shared" si="351"/>
        <v>5.000000000001581E-2</v>
      </c>
      <c r="Q239" s="331"/>
      <c r="R239" s="175">
        <f t="shared" si="352"/>
        <v>2.258623045201428</v>
      </c>
      <c r="S239" s="347"/>
      <c r="T239" s="171">
        <f t="shared" si="200"/>
        <v>1.1618356944516144</v>
      </c>
      <c r="U239" s="176">
        <f t="shared" si="353"/>
        <v>1.4145754129928044E-5</v>
      </c>
      <c r="V239" s="171">
        <f t="shared" si="354"/>
        <v>3.0019663134428498E-5</v>
      </c>
      <c r="W239" s="171">
        <f t="shared" si="408"/>
        <v>1.1304396863245532</v>
      </c>
      <c r="X239" s="171">
        <f t="shared" si="366"/>
        <v>64.76942302048954</v>
      </c>
      <c r="Y239" s="176">
        <f t="shared" si="367"/>
        <v>1.3980087308462785E-5</v>
      </c>
      <c r="Z239" s="177">
        <f t="shared" si="368"/>
        <v>1.720000000005939E-3</v>
      </c>
      <c r="AA239" s="178">
        <f t="shared" si="369"/>
        <v>64.76942302048954</v>
      </c>
      <c r="AB239" s="100">
        <v>200</v>
      </c>
      <c r="AC239" s="171">
        <v>13</v>
      </c>
      <c r="AD239" s="171">
        <v>4</v>
      </c>
      <c r="AE239" s="179">
        <f t="shared" si="356"/>
        <v>135.23057697951046</v>
      </c>
      <c r="AF239" s="180">
        <f t="shared" si="324"/>
        <v>4.4425417922865175E-2</v>
      </c>
      <c r="AG239" s="382"/>
      <c r="AH239" s="385"/>
      <c r="AI239" s="388"/>
      <c r="AJ239" s="171">
        <f t="shared" si="325"/>
        <v>2.069792362943911</v>
      </c>
      <c r="AK239" s="171">
        <f t="shared" si="326"/>
        <v>0.33</v>
      </c>
      <c r="AL239" s="180">
        <f t="shared" si="400"/>
        <v>17.587905559497941</v>
      </c>
      <c r="AM239" s="180">
        <f t="shared" si="328"/>
        <v>12.013093160385106</v>
      </c>
      <c r="AN239" s="180">
        <f t="shared" si="401"/>
        <v>2.5669990301153693</v>
      </c>
      <c r="AO239" s="180">
        <f t="shared" si="330"/>
        <v>1.3204643010913459</v>
      </c>
      <c r="AP239" s="180">
        <f t="shared" si="331"/>
        <v>5.0490941798698667E-2</v>
      </c>
      <c r="AQ239" s="175">
        <f t="shared" si="332"/>
        <v>4.399345341982136E-2</v>
      </c>
      <c r="AR239" s="171">
        <f t="shared" si="333"/>
        <v>77493915.043845668</v>
      </c>
      <c r="AS239" s="171">
        <f t="shared" si="334"/>
        <v>2.1624132114691037E-3</v>
      </c>
      <c r="AT239" s="180">
        <f t="shared" si="402"/>
        <v>62.287510661445147</v>
      </c>
      <c r="AU239" s="171">
        <f t="shared" si="336"/>
        <v>2405.4219517851066</v>
      </c>
      <c r="AV239" s="297"/>
      <c r="AW239" s="297"/>
      <c r="AX239" s="297"/>
      <c r="AY239" s="297"/>
      <c r="AZ239" s="297"/>
      <c r="BA239" s="392"/>
      <c r="BB239" s="392"/>
      <c r="BC239" s="392"/>
      <c r="BD239" s="297"/>
      <c r="BE239" s="297"/>
      <c r="BF239" s="297"/>
      <c r="BG239" s="297"/>
      <c r="BH239" s="390"/>
      <c r="BI239" s="392"/>
      <c r="BJ239" s="392"/>
      <c r="BK239" s="392"/>
      <c r="BL239" s="180">
        <f t="shared" si="337"/>
        <v>-1.0558872788407305E-17</v>
      </c>
      <c r="BM239" s="175">
        <f t="shared" si="403"/>
        <v>1.5779783223945102E-8</v>
      </c>
      <c r="BN239" s="171">
        <f t="shared" si="339"/>
        <v>655.52344867338309</v>
      </c>
      <c r="BO239" s="180">
        <f t="shared" si="404"/>
        <v>6.1348939039995356</v>
      </c>
      <c r="BP239" s="181">
        <f t="shared" si="357"/>
        <v>7.0551279895994661</v>
      </c>
      <c r="BQ239" s="180">
        <f t="shared" si="358"/>
        <v>9.3160446498964511</v>
      </c>
      <c r="BR239" s="180">
        <f t="shared" si="341"/>
        <v>0.96075793330141024</v>
      </c>
      <c r="BS239" s="180">
        <f t="shared" si="342"/>
        <v>22.271430367053231</v>
      </c>
      <c r="BT239" s="180">
        <f t="shared" si="405"/>
        <v>22.725949354135949</v>
      </c>
      <c r="BU239" s="171">
        <f t="shared" si="406"/>
        <v>27.282052045781452</v>
      </c>
      <c r="BV239" s="171">
        <f t="shared" si="359"/>
        <v>13.641026022890726</v>
      </c>
      <c r="BW239" s="171">
        <f t="shared" si="360"/>
        <v>13.641026022890726</v>
      </c>
      <c r="BX239" s="180">
        <f t="shared" si="345"/>
        <v>1.2991453355134024</v>
      </c>
      <c r="BY239" s="180">
        <f t="shared" si="346"/>
        <v>1.0754075905424125E-4</v>
      </c>
      <c r="BZ239" s="180">
        <f t="shared" si="347"/>
        <v>1.0754075905424125E-4</v>
      </c>
      <c r="CA239" s="182">
        <f t="shared" si="348"/>
        <v>2.1508151810848249E-4</v>
      </c>
      <c r="CB239" s="402"/>
      <c r="CC239" s="277"/>
      <c r="CD239" s="277"/>
      <c r="CE239" s="277"/>
      <c r="CF239" s="184"/>
    </row>
    <row r="240" spans="3:84" s="109" customFormat="1" ht="15.75" x14ac:dyDescent="0.25">
      <c r="C240" s="100">
        <v>101</v>
      </c>
      <c r="D240" s="380"/>
      <c r="E240" s="380"/>
      <c r="F240" s="100" t="s">
        <v>128</v>
      </c>
      <c r="G240" s="101">
        <v>0.29861111111111099</v>
      </c>
      <c r="H240" s="101">
        <v>0.29861111111111199</v>
      </c>
      <c r="I240" s="100">
        <v>-8.7302199999999992</v>
      </c>
      <c r="J240" s="100">
        <v>116.076925</v>
      </c>
      <c r="K240" s="100">
        <f t="shared" si="349"/>
        <v>-0.15237108342345934</v>
      </c>
      <c r="L240" s="100">
        <f t="shared" si="349"/>
        <v>2.025924526840519</v>
      </c>
      <c r="M240" s="100">
        <v>3443</v>
      </c>
      <c r="N240" s="234">
        <f t="shared" si="407"/>
        <v>8.975291806265881E-2</v>
      </c>
      <c r="O240" s="399"/>
      <c r="P240" s="102">
        <f t="shared" si="351"/>
        <v>4.9999999999991829E-2</v>
      </c>
      <c r="Q240" s="399"/>
      <c r="R240" s="103">
        <f t="shared" si="352"/>
        <v>1.7950583612534696</v>
      </c>
      <c r="S240" s="354"/>
      <c r="T240" s="100">
        <f t="shared" si="200"/>
        <v>0.92337802102878475</v>
      </c>
      <c r="U240" s="165">
        <f t="shared" si="353"/>
        <v>2.0803562962475181E-5</v>
      </c>
      <c r="V240" s="100">
        <f t="shared" si="354"/>
        <v>1.6214108751189116E-5</v>
      </c>
      <c r="W240" s="100">
        <f t="shared" si="408"/>
        <v>0.66204751524213523</v>
      </c>
      <c r="X240" s="100">
        <f t="shared" si="366"/>
        <v>37.932528460497387</v>
      </c>
      <c r="Y240" s="165">
        <f t="shared" si="367"/>
        <v>2.0559978588519101E-5</v>
      </c>
      <c r="Z240" s="166">
        <f t="shared" si="368"/>
        <v>9.289999999992915E-4</v>
      </c>
      <c r="AA240" s="167">
        <f t="shared" si="369"/>
        <v>37.932528460497387</v>
      </c>
      <c r="AB240" s="100">
        <v>210</v>
      </c>
      <c r="AC240" s="100">
        <v>13</v>
      </c>
      <c r="AD240" s="100">
        <v>4</v>
      </c>
      <c r="AE240" s="169">
        <f t="shared" si="356"/>
        <v>172.06747153950261</v>
      </c>
      <c r="AF240" s="104">
        <f t="shared" si="324"/>
        <v>3.5307448962784746E-2</v>
      </c>
      <c r="AG240" s="383"/>
      <c r="AH240" s="386"/>
      <c r="AI240" s="389"/>
      <c r="AJ240" s="100">
        <f t="shared" si="325"/>
        <v>2.0996392028561197</v>
      </c>
      <c r="AK240" s="100">
        <f t="shared" si="326"/>
        <v>-3.999999999999998E-2</v>
      </c>
      <c r="AL240" s="104">
        <f t="shared" si="400"/>
        <v>17.587905559497941</v>
      </c>
      <c r="AM240" s="104">
        <f t="shared" si="328"/>
        <v>-1.4771302403541182</v>
      </c>
      <c r="AN240" s="104">
        <f t="shared" si="401"/>
        <v>1.768928976412494</v>
      </c>
      <c r="AO240" s="104">
        <f t="shared" si="330"/>
        <v>0.90993706546658693</v>
      </c>
      <c r="AP240" s="104">
        <f t="shared" si="331"/>
        <v>3.4793503599438738E-2</v>
      </c>
      <c r="AQ240" s="103">
        <f t="shared" si="332"/>
        <v>5.073856512016877E-2</v>
      </c>
      <c r="AR240" s="100">
        <f t="shared" si="333"/>
        <v>53401357.074352242</v>
      </c>
      <c r="AS240" s="100">
        <f t="shared" si="334"/>
        <v>2.286246940110365E-3</v>
      </c>
      <c r="AT240" s="104">
        <f t="shared" si="402"/>
        <v>31.271938883198857</v>
      </c>
      <c r="AU240" s="100">
        <f t="shared" si="336"/>
        <v>1207.6611742181881</v>
      </c>
      <c r="AV240" s="397"/>
      <c r="AW240" s="397"/>
      <c r="AX240" s="397"/>
      <c r="AY240" s="397"/>
      <c r="AZ240" s="397"/>
      <c r="BA240" s="393"/>
      <c r="BB240" s="393"/>
      <c r="BC240" s="393"/>
      <c r="BD240" s="397"/>
      <c r="BE240" s="397"/>
      <c r="BF240" s="397"/>
      <c r="BG240" s="397"/>
      <c r="BH240" s="391"/>
      <c r="BI240" s="393"/>
      <c r="BJ240" s="393"/>
      <c r="BK240" s="393"/>
      <c r="BL240" s="104">
        <f t="shared" si="337"/>
        <v>-1.5294636395778675E-36</v>
      </c>
      <c r="BM240" s="103">
        <f t="shared" si="403"/>
        <v>5.8872384171095459E-15</v>
      </c>
      <c r="BN240" s="100">
        <f t="shared" si="339"/>
        <v>311.28458478231335</v>
      </c>
      <c r="BO240" s="104">
        <f t="shared" si="404"/>
        <v>3.0622459922500602</v>
      </c>
      <c r="BP240" s="170">
        <f t="shared" si="357"/>
        <v>3.5215828910875691</v>
      </c>
      <c r="BQ240" s="104">
        <f t="shared" si="358"/>
        <v>3.2044188017135617</v>
      </c>
      <c r="BR240" s="104">
        <f t="shared" si="341"/>
        <v>0.6620620138912422</v>
      </c>
      <c r="BS240" s="104">
        <f t="shared" si="342"/>
        <v>7.6606535167296554</v>
      </c>
      <c r="BT240" s="104">
        <f t="shared" si="405"/>
        <v>7.8169933844180157</v>
      </c>
      <c r="BU240" s="100">
        <f t="shared" si="406"/>
        <v>9.3841457195894549</v>
      </c>
      <c r="BV240" s="100">
        <f t="shared" si="359"/>
        <v>4.6920728597947274</v>
      </c>
      <c r="BW240" s="100">
        <f t="shared" si="360"/>
        <v>4.6920728597947274</v>
      </c>
      <c r="BX240" s="104">
        <f t="shared" si="345"/>
        <v>0.44686408188521209</v>
      </c>
      <c r="BY240" s="104">
        <f t="shared" si="346"/>
        <v>4.266197274667261E-5</v>
      </c>
      <c r="BZ240" s="104">
        <f t="shared" si="347"/>
        <v>4.266197274667261E-5</v>
      </c>
      <c r="CA240" s="108">
        <f t="shared" si="348"/>
        <v>8.532394549334522E-5</v>
      </c>
      <c r="CB240" s="402"/>
      <c r="CC240" s="187">
        <f>SUM(CA240)</f>
        <v>8.532394549334522E-5</v>
      </c>
      <c r="CD240" s="105">
        <v>53</v>
      </c>
      <c r="CE240" s="105">
        <v>0</v>
      </c>
      <c r="CF240" s="117"/>
    </row>
    <row r="241" spans="3:84" ht="15.75" x14ac:dyDescent="0.25">
      <c r="C241" s="13">
        <v>22</v>
      </c>
      <c r="D241" s="379"/>
      <c r="E241" s="379"/>
      <c r="F241" s="19" t="s">
        <v>128</v>
      </c>
      <c r="G241" s="54"/>
      <c r="H241" s="54"/>
      <c r="I241" s="13"/>
      <c r="J241" s="13"/>
      <c r="K241" s="13"/>
      <c r="L241" s="13"/>
      <c r="M241" s="13"/>
      <c r="N241" s="13"/>
      <c r="O241" s="13"/>
      <c r="Q241" s="13"/>
      <c r="R241" s="16"/>
      <c r="S241" s="16"/>
      <c r="T241" s="13">
        <f t="shared" si="200"/>
        <v>0</v>
      </c>
      <c r="U241" s="13"/>
      <c r="V241" s="13"/>
      <c r="W241" s="13"/>
      <c r="X241" s="16"/>
      <c r="Y241" s="16"/>
      <c r="Z241" s="16"/>
      <c r="AA241" s="16"/>
      <c r="AB241" s="16"/>
      <c r="AC241" s="16"/>
      <c r="AD241" s="13"/>
      <c r="AE241" s="16"/>
      <c r="AF241" s="15"/>
      <c r="AG241" s="91"/>
      <c r="AH241" s="92"/>
      <c r="AI241" s="97"/>
      <c r="AJ241" s="13"/>
      <c r="AK241" s="13"/>
      <c r="AL241" s="15"/>
      <c r="AM241" s="15"/>
      <c r="AN241" s="15"/>
      <c r="AO241" s="15"/>
      <c r="AP241" s="15"/>
      <c r="AQ241" s="20"/>
      <c r="AR241" s="13"/>
      <c r="AS241" s="13"/>
      <c r="AT241" s="15"/>
      <c r="AU241" s="13"/>
      <c r="AV241" s="94"/>
      <c r="AW241" s="93"/>
      <c r="AX241" s="97"/>
      <c r="AY241" s="90"/>
      <c r="AZ241" s="90"/>
      <c r="BA241" s="96"/>
      <c r="BB241" s="98"/>
      <c r="BC241" s="92"/>
      <c r="BD241" s="93"/>
      <c r="BE241" s="93"/>
      <c r="BF241" s="93"/>
      <c r="BG241" s="93"/>
      <c r="BH241" s="95"/>
      <c r="BI241" s="92"/>
      <c r="BJ241" s="92"/>
      <c r="BK241" s="92"/>
      <c r="CF241" s="115"/>
    </row>
    <row r="242" spans="3:84" ht="15.75" x14ac:dyDescent="0.25">
      <c r="C242" s="13">
        <v>23</v>
      </c>
      <c r="D242" s="379"/>
      <c r="E242" s="379"/>
      <c r="F242" s="19" t="s">
        <v>128</v>
      </c>
      <c r="G242" s="54"/>
      <c r="H242" s="54"/>
      <c r="I242" s="13"/>
      <c r="J242" s="13"/>
      <c r="K242" s="13"/>
      <c r="L242" s="13"/>
      <c r="M242" s="13"/>
      <c r="N242" s="13"/>
      <c r="O242" s="13"/>
      <c r="Q242" s="13"/>
      <c r="R242" s="16"/>
      <c r="S242" s="16"/>
      <c r="T242" s="13">
        <f t="shared" si="200"/>
        <v>0</v>
      </c>
      <c r="U242" s="13"/>
      <c r="V242" s="13"/>
      <c r="W242" s="13"/>
      <c r="X242" s="16"/>
      <c r="Y242" s="16"/>
      <c r="Z242" s="16"/>
      <c r="AA242" s="16"/>
      <c r="AB242" s="16"/>
      <c r="AC242" s="16"/>
      <c r="AD242" s="13"/>
      <c r="AE242" s="16"/>
      <c r="AF242" s="15"/>
      <c r="AG242" s="91"/>
      <c r="AH242" s="92"/>
      <c r="AI242" s="97"/>
      <c r="AJ242" s="13"/>
      <c r="AK242" s="13"/>
      <c r="AL242" s="15"/>
      <c r="AM242" s="15"/>
      <c r="AN242" s="15"/>
      <c r="AO242" s="15"/>
      <c r="AP242" s="15"/>
      <c r="AQ242" s="20"/>
      <c r="AR242" s="13"/>
      <c r="AS242" s="13"/>
      <c r="AT242" s="15"/>
      <c r="AU242" s="13"/>
      <c r="AV242" s="94"/>
      <c r="AW242" s="93"/>
      <c r="AX242" s="97"/>
      <c r="AY242" s="90"/>
      <c r="AZ242" s="90"/>
      <c r="BA242" s="96"/>
      <c r="BB242" s="98"/>
      <c r="BC242" s="92"/>
      <c r="BD242" s="93"/>
      <c r="BE242" s="93"/>
      <c r="BF242" s="93"/>
      <c r="BG242" s="93"/>
      <c r="BH242" s="95"/>
      <c r="BI242" s="92"/>
      <c r="BJ242" s="92"/>
      <c r="BK242" s="92"/>
      <c r="BY242" s="89"/>
      <c r="BZ242" s="89"/>
      <c r="CA242" s="89">
        <f>SUM(CA142:CA240)</f>
        <v>0.9316986403041988</v>
      </c>
      <c r="CC242" s="186">
        <f>SUM(CC140:CC240)</f>
        <v>931.6134016826511</v>
      </c>
      <c r="CD242" s="89">
        <f>SUM(CD140:CD240)</f>
        <v>908</v>
      </c>
      <c r="CF242" s="115"/>
    </row>
    <row r="243" spans="3:84" ht="15.75" x14ac:dyDescent="0.25">
      <c r="C243" s="13">
        <v>24</v>
      </c>
      <c r="D243" s="379"/>
      <c r="E243" s="379"/>
      <c r="F243" s="19" t="s">
        <v>128</v>
      </c>
      <c r="G243" s="54"/>
      <c r="H243" s="54"/>
      <c r="I243" s="13"/>
      <c r="J243" s="13"/>
      <c r="K243" s="13"/>
      <c r="L243" s="13"/>
      <c r="M243" s="13"/>
      <c r="N243" s="13">
        <f>SUM(N140:N240)</f>
        <v>37.72275284840493</v>
      </c>
      <c r="O243" s="13">
        <f>SUM(O140:O239)</f>
        <v>37.722752848404923</v>
      </c>
      <c r="Q243" s="13"/>
      <c r="R243" s="16"/>
      <c r="S243" s="16"/>
      <c r="T243" s="13">
        <f t="shared" si="200"/>
        <v>0</v>
      </c>
      <c r="U243" s="13"/>
      <c r="V243" s="13"/>
      <c r="W243" s="13"/>
      <c r="X243" s="16"/>
      <c r="Y243" s="16"/>
      <c r="Z243" s="16"/>
      <c r="AA243" s="16"/>
      <c r="AB243" s="16"/>
      <c r="AC243" s="16"/>
      <c r="AD243" s="13"/>
      <c r="AE243" s="16"/>
      <c r="AF243" s="15"/>
      <c r="AG243" s="91"/>
      <c r="AH243" s="92"/>
      <c r="AI243" s="97"/>
      <c r="AJ243" s="13"/>
      <c r="AK243" s="13"/>
      <c r="AL243" s="15"/>
      <c r="AM243" s="15"/>
      <c r="AN243" s="15"/>
      <c r="AO243" s="15"/>
      <c r="AP243" s="15"/>
      <c r="AQ243" s="20"/>
      <c r="AR243" s="13"/>
      <c r="AS243" s="13"/>
      <c r="AT243" s="15"/>
      <c r="AU243" s="13"/>
      <c r="AV243" s="94"/>
      <c r="AW243" s="93"/>
      <c r="AX243" s="97"/>
      <c r="AY243" s="90"/>
      <c r="AZ243" s="90"/>
      <c r="BA243" s="96"/>
      <c r="BB243" s="98"/>
      <c r="BC243" s="92"/>
      <c r="BD243" s="93"/>
      <c r="BE243" s="93"/>
      <c r="BF243" s="93"/>
      <c r="BG243" s="93"/>
      <c r="BH243" s="95"/>
      <c r="BI243" s="92"/>
      <c r="BJ243" s="92"/>
      <c r="BK243" s="92"/>
    </row>
    <row r="244" spans="3:84" ht="15.75" x14ac:dyDescent="0.25">
      <c r="C244" s="13">
        <v>25</v>
      </c>
      <c r="D244" s="379"/>
      <c r="E244" s="379"/>
      <c r="F244" s="19" t="s">
        <v>128</v>
      </c>
      <c r="G244" s="54"/>
      <c r="H244" s="54"/>
      <c r="I244" s="13"/>
      <c r="J244" s="13"/>
      <c r="K244" s="13"/>
      <c r="L244" s="13"/>
      <c r="M244" s="13"/>
      <c r="N244" s="13"/>
      <c r="O244" s="13"/>
      <c r="P244" s="13"/>
      <c r="Q244" s="13"/>
      <c r="R244" s="16"/>
      <c r="S244" s="16"/>
      <c r="T244" s="13">
        <f t="shared" si="200"/>
        <v>0</v>
      </c>
      <c r="U244" s="13"/>
      <c r="V244" s="13"/>
      <c r="W244" s="13"/>
      <c r="X244" s="16"/>
      <c r="Y244" s="16"/>
      <c r="Z244" s="16"/>
      <c r="AA244" s="16"/>
      <c r="AB244" s="16"/>
      <c r="AC244" s="16"/>
      <c r="AD244" s="13"/>
      <c r="AE244" s="16"/>
      <c r="AF244" s="15"/>
      <c r="AG244" s="91"/>
      <c r="AH244" s="92"/>
      <c r="AI244" s="97"/>
      <c r="AJ244" s="13"/>
      <c r="AK244" s="13"/>
      <c r="AL244" s="15"/>
      <c r="AM244" s="15"/>
      <c r="AN244" s="15"/>
      <c r="AO244" s="15"/>
      <c r="AP244" s="15"/>
      <c r="AQ244" s="20"/>
      <c r="AR244" s="13"/>
      <c r="AS244" s="13"/>
      <c r="AT244" s="15"/>
      <c r="AU244" s="13"/>
      <c r="AV244" s="94"/>
      <c r="AW244" s="93"/>
      <c r="AX244" s="97"/>
      <c r="AY244" s="90"/>
      <c r="AZ244" s="90"/>
      <c r="BA244" s="96"/>
      <c r="BB244" s="98"/>
      <c r="BC244" s="92"/>
      <c r="BD244" s="93"/>
      <c r="BE244" s="93"/>
      <c r="BF244" s="93"/>
      <c r="BG244" s="93"/>
      <c r="BH244" s="95"/>
      <c r="BI244" s="92"/>
      <c r="BJ244" s="92"/>
      <c r="BK244" s="92"/>
    </row>
    <row r="245" spans="3:84" ht="15.75" x14ac:dyDescent="0.25">
      <c r="C245" s="13">
        <v>26</v>
      </c>
      <c r="D245" s="379"/>
      <c r="E245" s="379"/>
      <c r="F245" s="13" t="s">
        <v>128</v>
      </c>
      <c r="G245" s="54"/>
      <c r="H245" s="54"/>
      <c r="I245" s="13"/>
      <c r="J245" s="13"/>
      <c r="K245" s="13"/>
      <c r="L245" s="13"/>
      <c r="M245" s="13"/>
      <c r="N245" s="13"/>
      <c r="O245" s="13"/>
      <c r="P245" s="13"/>
      <c r="Q245" s="13"/>
      <c r="R245" s="16"/>
      <c r="S245" s="16"/>
      <c r="T245" s="13">
        <f t="shared" si="200"/>
        <v>0</v>
      </c>
      <c r="U245" s="13"/>
      <c r="V245" s="13"/>
      <c r="W245" s="13"/>
      <c r="X245" s="16"/>
      <c r="Y245" s="16"/>
      <c r="Z245" s="16"/>
      <c r="AA245" s="16"/>
      <c r="AB245" s="16"/>
      <c r="AC245" s="16"/>
      <c r="AD245" s="13"/>
      <c r="AE245" s="16"/>
      <c r="AF245" s="15"/>
      <c r="AG245" s="91"/>
      <c r="AH245" s="92"/>
      <c r="AI245" s="97"/>
      <c r="AJ245" s="13"/>
      <c r="AK245" s="13"/>
      <c r="AL245" s="15"/>
      <c r="AM245" s="15"/>
      <c r="AN245" s="15"/>
      <c r="AO245" s="15"/>
      <c r="AP245" s="15"/>
      <c r="AQ245" s="20"/>
      <c r="AR245" s="13"/>
      <c r="AS245" s="13"/>
      <c r="AT245" s="15"/>
      <c r="AU245" s="13"/>
      <c r="AV245" s="94"/>
      <c r="AW245" s="93"/>
      <c r="AX245" s="97"/>
      <c r="AY245" s="90"/>
      <c r="AZ245" s="90"/>
      <c r="BA245" s="96"/>
      <c r="BB245" s="98"/>
      <c r="BC245" s="92"/>
      <c r="BD245" s="93"/>
      <c r="BE245" s="93"/>
      <c r="BF245" s="93"/>
      <c r="BG245" s="93"/>
      <c r="BH245" s="95"/>
      <c r="BI245" s="92"/>
      <c r="BJ245" s="92"/>
      <c r="BK245" s="92"/>
      <c r="CE245">
        <f>24/CD242</f>
        <v>2.643171806167401E-2</v>
      </c>
    </row>
  </sheetData>
  <mergeCells count="489">
    <mergeCell ref="CE85:CE89"/>
    <mergeCell ref="CE90:CE94"/>
    <mergeCell ref="CE95:CE99"/>
    <mergeCell ref="CE100:CE104"/>
    <mergeCell ref="CE105:CE109"/>
    <mergeCell ref="CE110:CE114"/>
    <mergeCell ref="CE115:CE119"/>
    <mergeCell ref="CE120:CE124"/>
    <mergeCell ref="CE125:CE129"/>
    <mergeCell ref="CE38:CE42"/>
    <mergeCell ref="CE43:CE47"/>
    <mergeCell ref="CE48:CE54"/>
    <mergeCell ref="CE55:CE59"/>
    <mergeCell ref="CE60:CE64"/>
    <mergeCell ref="CE65:CE69"/>
    <mergeCell ref="CE70:CE74"/>
    <mergeCell ref="CE75:CE79"/>
    <mergeCell ref="CE80:CE84"/>
    <mergeCell ref="CE225:CE229"/>
    <mergeCell ref="CE230:CE234"/>
    <mergeCell ref="CE235:CE239"/>
    <mergeCell ref="CD33:CD37"/>
    <mergeCell ref="CD38:CD42"/>
    <mergeCell ref="CD43:CD47"/>
    <mergeCell ref="CD48:CD54"/>
    <mergeCell ref="CD55:CD59"/>
    <mergeCell ref="CD60:CD64"/>
    <mergeCell ref="CD65:CD69"/>
    <mergeCell ref="CD70:CD74"/>
    <mergeCell ref="CD75:CD79"/>
    <mergeCell ref="CD80:CD84"/>
    <mergeCell ref="CD85:CD89"/>
    <mergeCell ref="CD90:CD94"/>
    <mergeCell ref="CD95:CD99"/>
    <mergeCell ref="CD100:CD104"/>
    <mergeCell ref="CD105:CD109"/>
    <mergeCell ref="CD110:CD114"/>
    <mergeCell ref="CD115:CD119"/>
    <mergeCell ref="CD120:CD124"/>
    <mergeCell ref="CD125:CD129"/>
    <mergeCell ref="CD130:CD134"/>
    <mergeCell ref="CE33:CE37"/>
    <mergeCell ref="CE180:CE184"/>
    <mergeCell ref="CE185:CE189"/>
    <mergeCell ref="CE190:CE194"/>
    <mergeCell ref="CE195:CE199"/>
    <mergeCell ref="CE200:CE204"/>
    <mergeCell ref="CE205:CE209"/>
    <mergeCell ref="CE210:CE214"/>
    <mergeCell ref="CE215:CE219"/>
    <mergeCell ref="CE220:CE224"/>
    <mergeCell ref="CC130:CC134"/>
    <mergeCell ref="CE140:CE144"/>
    <mergeCell ref="CE145:CE149"/>
    <mergeCell ref="CE150:CE154"/>
    <mergeCell ref="CE155:CE159"/>
    <mergeCell ref="CE160:CE164"/>
    <mergeCell ref="CE165:CE169"/>
    <mergeCell ref="CE170:CE174"/>
    <mergeCell ref="CE175:CE179"/>
    <mergeCell ref="CE130:CE134"/>
    <mergeCell ref="CD140:CD144"/>
    <mergeCell ref="CD145:CD149"/>
    <mergeCell ref="CD150:CD154"/>
    <mergeCell ref="CD155:CD159"/>
    <mergeCell ref="CD160:CD164"/>
    <mergeCell ref="CD165:CD169"/>
    <mergeCell ref="CD170:CD174"/>
    <mergeCell ref="CD175:CD179"/>
    <mergeCell ref="CC80:CC84"/>
    <mergeCell ref="CC85:CC89"/>
    <mergeCell ref="CC90:CC94"/>
    <mergeCell ref="CC95:CC99"/>
    <mergeCell ref="CC100:CC104"/>
    <mergeCell ref="CC105:CC109"/>
    <mergeCell ref="CC110:CC114"/>
    <mergeCell ref="CC115:CC119"/>
    <mergeCell ref="CC120:CC124"/>
    <mergeCell ref="CC33:CC37"/>
    <mergeCell ref="CC38:CC42"/>
    <mergeCell ref="CC43:CC47"/>
    <mergeCell ref="CC48:CC54"/>
    <mergeCell ref="CC55:CC59"/>
    <mergeCell ref="CC60:CC64"/>
    <mergeCell ref="CC65:CC69"/>
    <mergeCell ref="CC70:CC74"/>
    <mergeCell ref="CC75:CC79"/>
    <mergeCell ref="CC230:CC234"/>
    <mergeCell ref="CC235:CC239"/>
    <mergeCell ref="CB140:CB240"/>
    <mergeCell ref="CC185:CC189"/>
    <mergeCell ref="CC190:CC194"/>
    <mergeCell ref="CC195:CC199"/>
    <mergeCell ref="CC200:CC204"/>
    <mergeCell ref="CC205:CC209"/>
    <mergeCell ref="CC210:CC214"/>
    <mergeCell ref="CC215:CC219"/>
    <mergeCell ref="CC220:CC224"/>
    <mergeCell ref="CC225:CC229"/>
    <mergeCell ref="CC140:CC144"/>
    <mergeCell ref="CC145:CC149"/>
    <mergeCell ref="CC150:CC154"/>
    <mergeCell ref="CC155:CC159"/>
    <mergeCell ref="CC160:CC164"/>
    <mergeCell ref="CC165:CC169"/>
    <mergeCell ref="CC170:CC174"/>
    <mergeCell ref="CC175:CC179"/>
    <mergeCell ref="CC180:CC184"/>
    <mergeCell ref="G225:G229"/>
    <mergeCell ref="O226:O230"/>
    <mergeCell ref="O236:O240"/>
    <mergeCell ref="Q236:Q240"/>
    <mergeCell ref="S236:S240"/>
    <mergeCell ref="Q226:Q230"/>
    <mergeCell ref="S226:S230"/>
    <mergeCell ref="G230:G234"/>
    <mergeCell ref="O231:O235"/>
    <mergeCell ref="Q231:Q235"/>
    <mergeCell ref="S231:S235"/>
    <mergeCell ref="G235:G239"/>
    <mergeCell ref="G195:G199"/>
    <mergeCell ref="O196:O200"/>
    <mergeCell ref="Q196:Q200"/>
    <mergeCell ref="S196:S200"/>
    <mergeCell ref="G200:G204"/>
    <mergeCell ref="O201:O205"/>
    <mergeCell ref="Q201:Q205"/>
    <mergeCell ref="S201:S205"/>
    <mergeCell ref="G205:G209"/>
    <mergeCell ref="O206:O210"/>
    <mergeCell ref="Q206:Q210"/>
    <mergeCell ref="S206:S210"/>
    <mergeCell ref="G210:G214"/>
    <mergeCell ref="O211:O215"/>
    <mergeCell ref="Q211:Q215"/>
    <mergeCell ref="S211:S215"/>
    <mergeCell ref="G215:G219"/>
    <mergeCell ref="O216:O220"/>
    <mergeCell ref="Q216:Q220"/>
    <mergeCell ref="S216:S220"/>
    <mergeCell ref="G220:G224"/>
    <mergeCell ref="O221:O225"/>
    <mergeCell ref="Q221:Q225"/>
    <mergeCell ref="S221:S225"/>
    <mergeCell ref="O161:O165"/>
    <mergeCell ref="Q161:Q165"/>
    <mergeCell ref="S161:S165"/>
    <mergeCell ref="G165:G169"/>
    <mergeCell ref="O166:O170"/>
    <mergeCell ref="S166:S170"/>
    <mergeCell ref="G170:G174"/>
    <mergeCell ref="O171:O175"/>
    <mergeCell ref="Q171:Q175"/>
    <mergeCell ref="S171:S175"/>
    <mergeCell ref="G175:G179"/>
    <mergeCell ref="O176:O180"/>
    <mergeCell ref="Q176:Q180"/>
    <mergeCell ref="S176:S180"/>
    <mergeCell ref="G180:G184"/>
    <mergeCell ref="O181:O185"/>
    <mergeCell ref="Q181:Q185"/>
    <mergeCell ref="S181:S185"/>
    <mergeCell ref="G185:G189"/>
    <mergeCell ref="O186:O190"/>
    <mergeCell ref="Q186:Q190"/>
    <mergeCell ref="S186:S190"/>
    <mergeCell ref="G190:G194"/>
    <mergeCell ref="O191:O195"/>
    <mergeCell ref="G145:G149"/>
    <mergeCell ref="O146:O150"/>
    <mergeCell ref="Q146:Q150"/>
    <mergeCell ref="BB140:BB240"/>
    <mergeCell ref="BC140:BC240"/>
    <mergeCell ref="BD140:BD240"/>
    <mergeCell ref="BE140:BE240"/>
    <mergeCell ref="BF140:BF240"/>
    <mergeCell ref="BG140:BG240"/>
    <mergeCell ref="AV140:AV240"/>
    <mergeCell ref="AW140:AW240"/>
    <mergeCell ref="AX140:AX240"/>
    <mergeCell ref="AY140:AY240"/>
    <mergeCell ref="AZ140:AZ240"/>
    <mergeCell ref="BA140:BA240"/>
    <mergeCell ref="Q140:Q145"/>
    <mergeCell ref="G150:G154"/>
    <mergeCell ref="O151:O155"/>
    <mergeCell ref="Q151:Q155"/>
    <mergeCell ref="S151:S155"/>
    <mergeCell ref="G155:G159"/>
    <mergeCell ref="O156:O160"/>
    <mergeCell ref="G160:G164"/>
    <mergeCell ref="S156:S160"/>
    <mergeCell ref="Q166:Q170"/>
    <mergeCell ref="BT138:BT139"/>
    <mergeCell ref="BE138:BE139"/>
    <mergeCell ref="BF138:BF139"/>
    <mergeCell ref="BG138:BG139"/>
    <mergeCell ref="AR138:AR139"/>
    <mergeCell ref="AV138:AV139"/>
    <mergeCell ref="AW138:AW139"/>
    <mergeCell ref="AX138:AX139"/>
    <mergeCell ref="AZ138:AZ139"/>
    <mergeCell ref="BA138:BA139"/>
    <mergeCell ref="AL138:AL139"/>
    <mergeCell ref="AM138:AM139"/>
    <mergeCell ref="AN138:AN139"/>
    <mergeCell ref="AO138:AO139"/>
    <mergeCell ref="AP138:AP139"/>
    <mergeCell ref="AQ138:AQ139"/>
    <mergeCell ref="BH140:BH240"/>
    <mergeCell ref="BI140:BI240"/>
    <mergeCell ref="BJ140:BJ240"/>
    <mergeCell ref="BK140:BK240"/>
    <mergeCell ref="Q191:Q195"/>
    <mergeCell ref="S191:S195"/>
    <mergeCell ref="AJ138:AJ139"/>
    <mergeCell ref="D140:D245"/>
    <mergeCell ref="E140:E245"/>
    <mergeCell ref="G140:G144"/>
    <mergeCell ref="O140:O145"/>
    <mergeCell ref="BN138:BN139"/>
    <mergeCell ref="BO138:BO139"/>
    <mergeCell ref="BP138:BP139"/>
    <mergeCell ref="BQ138:BQ139"/>
    <mergeCell ref="BR138:BR139"/>
    <mergeCell ref="BH138:BH139"/>
    <mergeCell ref="BI138:BI139"/>
    <mergeCell ref="BJ138:BJ139"/>
    <mergeCell ref="BK138:BK139"/>
    <mergeCell ref="BL138:BL139"/>
    <mergeCell ref="BM138:BM139"/>
    <mergeCell ref="BB138:BB139"/>
    <mergeCell ref="BC138:BC139"/>
    <mergeCell ref="BD138:BD139"/>
    <mergeCell ref="S140:S145"/>
    <mergeCell ref="AG140:AG240"/>
    <mergeCell ref="AH140:AH240"/>
    <mergeCell ref="AI140:AI240"/>
    <mergeCell ref="S146:S150"/>
    <mergeCell ref="Q156:Q160"/>
    <mergeCell ref="S61:S65"/>
    <mergeCell ref="G55:G59"/>
    <mergeCell ref="O56:O60"/>
    <mergeCell ref="Q56:Q60"/>
    <mergeCell ref="S56:S60"/>
    <mergeCell ref="O86:O90"/>
    <mergeCell ref="Q86:Q90"/>
    <mergeCell ref="S86:S90"/>
    <mergeCell ref="G90:G94"/>
    <mergeCell ref="S71:S75"/>
    <mergeCell ref="C138:C139"/>
    <mergeCell ref="D138:D139"/>
    <mergeCell ref="E138:E139"/>
    <mergeCell ref="F138:F139"/>
    <mergeCell ref="I138:J138"/>
    <mergeCell ref="K138:L138"/>
    <mergeCell ref="G138:H138"/>
    <mergeCell ref="D31:D115"/>
    <mergeCell ref="E31:E115"/>
    <mergeCell ref="G75:G79"/>
    <mergeCell ref="G33:G37"/>
    <mergeCell ref="CB138:CB139"/>
    <mergeCell ref="AB138:AB139"/>
    <mergeCell ref="AD138:AD139"/>
    <mergeCell ref="BU138:BU139"/>
    <mergeCell ref="U138:Y138"/>
    <mergeCell ref="BS138:BS139"/>
    <mergeCell ref="AF138:AF139"/>
    <mergeCell ref="AG138:AG139"/>
    <mergeCell ref="AH138:AH139"/>
    <mergeCell ref="AI138:AI139"/>
    <mergeCell ref="AK138:AK139"/>
    <mergeCell ref="BY137:BZ137"/>
    <mergeCell ref="BX138:BX139"/>
    <mergeCell ref="BY138:BY139"/>
    <mergeCell ref="S96:S100"/>
    <mergeCell ref="O91:O95"/>
    <mergeCell ref="Q91:Q95"/>
    <mergeCell ref="S91:S95"/>
    <mergeCell ref="Q106:Q110"/>
    <mergeCell ref="S106:S110"/>
    <mergeCell ref="BI31:BI134"/>
    <mergeCell ref="BJ31:BJ134"/>
    <mergeCell ref="AI31:AI134"/>
    <mergeCell ref="AV31:AV134"/>
    <mergeCell ref="AG31:AG134"/>
    <mergeCell ref="BK31:BK134"/>
    <mergeCell ref="O131:O134"/>
    <mergeCell ref="Q131:Q134"/>
    <mergeCell ref="S131:S134"/>
    <mergeCell ref="O126:O130"/>
    <mergeCell ref="O76:O80"/>
    <mergeCell ref="S32:S33"/>
    <mergeCell ref="O34:O38"/>
    <mergeCell ref="Q34:Q38"/>
    <mergeCell ref="S34:S38"/>
    <mergeCell ref="CC125:CC129"/>
    <mergeCell ref="G110:G114"/>
    <mergeCell ref="O111:O115"/>
    <mergeCell ref="Q111:Q115"/>
    <mergeCell ref="S111:S115"/>
    <mergeCell ref="G115:G119"/>
    <mergeCell ref="O116:O120"/>
    <mergeCell ref="G100:G104"/>
    <mergeCell ref="O101:O105"/>
    <mergeCell ref="S101:S105"/>
    <mergeCell ref="G105:G109"/>
    <mergeCell ref="O106:O110"/>
    <mergeCell ref="BG31:BG134"/>
    <mergeCell ref="Q126:Q130"/>
    <mergeCell ref="S126:S130"/>
    <mergeCell ref="O121:O125"/>
    <mergeCell ref="Q121:Q125"/>
    <mergeCell ref="S121:S125"/>
    <mergeCell ref="G95:G99"/>
    <mergeCell ref="O96:O100"/>
    <mergeCell ref="Q71:Q75"/>
    <mergeCell ref="BF31:BF134"/>
    <mergeCell ref="G70:G74"/>
    <mergeCell ref="O71:O75"/>
    <mergeCell ref="BB31:BB134"/>
    <mergeCell ref="G65:G69"/>
    <mergeCell ref="O66:O70"/>
    <mergeCell ref="Q66:Q70"/>
    <mergeCell ref="S66:S70"/>
    <mergeCell ref="G38:G42"/>
    <mergeCell ref="O39:O43"/>
    <mergeCell ref="Q39:Q43"/>
    <mergeCell ref="S39:S43"/>
    <mergeCell ref="G43:G47"/>
    <mergeCell ref="O44:O48"/>
    <mergeCell ref="Q76:Q80"/>
    <mergeCell ref="S76:S80"/>
    <mergeCell ref="G80:G84"/>
    <mergeCell ref="O81:O85"/>
    <mergeCell ref="Q81:Q85"/>
    <mergeCell ref="S81:S85"/>
    <mergeCell ref="G85:G89"/>
    <mergeCell ref="AH31:AH134"/>
    <mergeCell ref="Q96:Q100"/>
    <mergeCell ref="Q116:Q120"/>
    <mergeCell ref="S116:S120"/>
    <mergeCell ref="G130:G134"/>
    <mergeCell ref="G125:G129"/>
    <mergeCell ref="BP29:BP30"/>
    <mergeCell ref="CB31:CB115"/>
    <mergeCell ref="O32:O33"/>
    <mergeCell ref="Q32:Q33"/>
    <mergeCell ref="BH31:BH134"/>
    <mergeCell ref="AW31:AW134"/>
    <mergeCell ref="G48:G54"/>
    <mergeCell ref="O49:O55"/>
    <mergeCell ref="Q49:Q55"/>
    <mergeCell ref="S49:S55"/>
    <mergeCell ref="O61:O65"/>
    <mergeCell ref="Q44:Q48"/>
    <mergeCell ref="S44:S48"/>
    <mergeCell ref="AX31:AX134"/>
    <mergeCell ref="AY31:AY134"/>
    <mergeCell ref="AZ31:AZ134"/>
    <mergeCell ref="Q101:Q105"/>
    <mergeCell ref="Q61:Q65"/>
    <mergeCell ref="G60:G64"/>
    <mergeCell ref="BC31:BC134"/>
    <mergeCell ref="BD31:BD134"/>
    <mergeCell ref="BE31:BE134"/>
    <mergeCell ref="G120:G124"/>
    <mergeCell ref="BA31:BA134"/>
    <mergeCell ref="BY29:BY30"/>
    <mergeCell ref="BZ29:BZ30"/>
    <mergeCell ref="CA29:CA30"/>
    <mergeCell ref="AB29:AB30"/>
    <mergeCell ref="AD29:AD30"/>
    <mergeCell ref="AF29:AF30"/>
    <mergeCell ref="AG29:AG30"/>
    <mergeCell ref="AH29:AH30"/>
    <mergeCell ref="AX29:AX30"/>
    <mergeCell ref="AZ29:AZ30"/>
    <mergeCell ref="BA29:BA30"/>
    <mergeCell ref="BB29:BB30"/>
    <mergeCell ref="BC29:BC30"/>
    <mergeCell ref="BD29:BD30"/>
    <mergeCell ref="BH29:BH30"/>
    <mergeCell ref="BI29:BI30"/>
    <mergeCell ref="BJ29:BJ30"/>
    <mergeCell ref="BT29:BT30"/>
    <mergeCell ref="BU29:BU30"/>
    <mergeCell ref="BX29:BX30"/>
    <mergeCell ref="BQ29:BQ30"/>
    <mergeCell ref="BR29:BR30"/>
    <mergeCell ref="BN29:BN30"/>
    <mergeCell ref="BO29:BO30"/>
    <mergeCell ref="AJ27:AM27"/>
    <mergeCell ref="D28:AK28"/>
    <mergeCell ref="AL28:CB28"/>
    <mergeCell ref="AO29:AO30"/>
    <mergeCell ref="AP29:AP30"/>
    <mergeCell ref="AQ29:AQ30"/>
    <mergeCell ref="AR29:AR30"/>
    <mergeCell ref="AV29:AV30"/>
    <mergeCell ref="AW29:AW30"/>
    <mergeCell ref="AI29:AI30"/>
    <mergeCell ref="AJ29:AJ30"/>
    <mergeCell ref="AK29:AK30"/>
    <mergeCell ref="AL29:AL30"/>
    <mergeCell ref="AM29:AM30"/>
    <mergeCell ref="AN29:AN30"/>
    <mergeCell ref="BG29:BG30"/>
    <mergeCell ref="X27:AD27"/>
    <mergeCell ref="CB29:CB30"/>
    <mergeCell ref="BE29:BE30"/>
    <mergeCell ref="BF29:BF30"/>
    <mergeCell ref="BS29:BS30"/>
    <mergeCell ref="BK29:BK30"/>
    <mergeCell ref="BL29:BL30"/>
    <mergeCell ref="BM29:BM30"/>
    <mergeCell ref="E22:G22"/>
    <mergeCell ref="T17:V17"/>
    <mergeCell ref="X17:Y17"/>
    <mergeCell ref="T23:W23"/>
    <mergeCell ref="X23:Y23"/>
    <mergeCell ref="C29:C30"/>
    <mergeCell ref="D29:D30"/>
    <mergeCell ref="E29:E30"/>
    <mergeCell ref="F29:F30"/>
    <mergeCell ref="G29:H29"/>
    <mergeCell ref="I29:J29"/>
    <mergeCell ref="K29:L29"/>
    <mergeCell ref="E23:G23"/>
    <mergeCell ref="T18:V18"/>
    <mergeCell ref="E24:G24"/>
    <mergeCell ref="G27:T27"/>
    <mergeCell ref="E21:G21"/>
    <mergeCell ref="T14:V14"/>
    <mergeCell ref="X18:Y18"/>
    <mergeCell ref="X21:Y21"/>
    <mergeCell ref="X20:Y20"/>
    <mergeCell ref="X14:Y14"/>
    <mergeCell ref="X15:Y15"/>
    <mergeCell ref="T16:V16"/>
    <mergeCell ref="X16:Y16"/>
    <mergeCell ref="T22:W22"/>
    <mergeCell ref="X22:Y22"/>
    <mergeCell ref="AA20:AB20"/>
    <mergeCell ref="AE21:AF21"/>
    <mergeCell ref="T20:W20"/>
    <mergeCell ref="E20:G20"/>
    <mergeCell ref="T15:V15"/>
    <mergeCell ref="T21:W21"/>
    <mergeCell ref="E16:G16"/>
    <mergeCell ref="E17:G17"/>
    <mergeCell ref="E18:G18"/>
    <mergeCell ref="E19:G19"/>
    <mergeCell ref="C2:K2"/>
    <mergeCell ref="U29:AA29"/>
    <mergeCell ref="AC5:AE5"/>
    <mergeCell ref="AA17:AB17"/>
    <mergeCell ref="AE17:AF17"/>
    <mergeCell ref="AC6:AE6"/>
    <mergeCell ref="AA18:AB18"/>
    <mergeCell ref="AE18:AF18"/>
    <mergeCell ref="AA14:AH14"/>
    <mergeCell ref="AA3:AH3"/>
    <mergeCell ref="AA15:AD15"/>
    <mergeCell ref="AE15:AH15"/>
    <mergeCell ref="AA16:AB16"/>
    <mergeCell ref="AE16:AF16"/>
    <mergeCell ref="AA22:AB22"/>
    <mergeCell ref="AE22:AF22"/>
    <mergeCell ref="AA23:AB23"/>
    <mergeCell ref="AE23:AF23"/>
    <mergeCell ref="E14:G14"/>
    <mergeCell ref="E15:G15"/>
    <mergeCell ref="AA19:AB19"/>
    <mergeCell ref="AE19:AF19"/>
    <mergeCell ref="AE20:AF20"/>
    <mergeCell ref="AC9:AF9"/>
    <mergeCell ref="CD180:CD184"/>
    <mergeCell ref="CD230:CD234"/>
    <mergeCell ref="CD235:CD239"/>
    <mergeCell ref="CD185:CD189"/>
    <mergeCell ref="CD190:CD194"/>
    <mergeCell ref="CD195:CD199"/>
    <mergeCell ref="CD200:CD204"/>
    <mergeCell ref="CD205:CD209"/>
    <mergeCell ref="CD210:CD214"/>
    <mergeCell ref="CD215:CD219"/>
    <mergeCell ref="CD220:CD224"/>
    <mergeCell ref="CD225:CD229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5F39-BECC-44DC-BB1B-DE49B7452F2C}">
  <dimension ref="B3:P210"/>
  <sheetViews>
    <sheetView topLeftCell="A73" zoomScale="70" zoomScaleNormal="70" workbookViewId="0">
      <selection activeCell="V173" sqref="V173"/>
    </sheetView>
  </sheetViews>
  <sheetFormatPr defaultRowHeight="15" x14ac:dyDescent="0.25"/>
  <cols>
    <col min="4" max="4" width="9" bestFit="1" customWidth="1"/>
    <col min="5" max="5" width="10.140625" customWidth="1"/>
    <col min="6" max="6" width="13" bestFit="1" customWidth="1"/>
    <col min="7" max="7" width="11.85546875" customWidth="1"/>
    <col min="8" max="8" width="9.7109375" bestFit="1" customWidth="1"/>
    <col min="9" max="9" width="9.85546875" customWidth="1"/>
    <col min="10" max="10" width="12.140625" customWidth="1"/>
  </cols>
  <sheetData>
    <row r="3" spans="2:16" x14ac:dyDescent="0.25">
      <c r="B3" s="31" t="s">
        <v>318</v>
      </c>
      <c r="C3" s="127" t="s">
        <v>326</v>
      </c>
      <c r="D3" s="31" t="s">
        <v>319</v>
      </c>
      <c r="E3" s="31" t="s">
        <v>320</v>
      </c>
      <c r="F3" s="31" t="s">
        <v>321</v>
      </c>
      <c r="G3" s="31" t="s">
        <v>322</v>
      </c>
      <c r="H3" s="31" t="s">
        <v>323</v>
      </c>
      <c r="I3" s="31" t="s">
        <v>324</v>
      </c>
      <c r="J3" s="127" t="s">
        <v>325</v>
      </c>
    </row>
    <row r="4" spans="2:16" x14ac:dyDescent="0.25">
      <c r="B4" s="31">
        <v>1</v>
      </c>
      <c r="C4" s="233">
        <f>SUM(P4)</f>
        <v>0</v>
      </c>
      <c r="D4" s="232">
        <v>0</v>
      </c>
      <c r="E4" s="31">
        <v>0</v>
      </c>
      <c r="F4" s="31">
        <v>0</v>
      </c>
      <c r="G4" s="232">
        <v>0</v>
      </c>
      <c r="H4" s="232">
        <v>0</v>
      </c>
      <c r="I4" s="232">
        <v>0</v>
      </c>
      <c r="J4" s="232">
        <f t="shared" ref="J4:J35" si="0">I4*1000</f>
        <v>0</v>
      </c>
      <c r="P4">
        <v>0</v>
      </c>
    </row>
    <row r="5" spans="2:16" x14ac:dyDescent="0.25">
      <c r="B5" s="31">
        <v>2</v>
      </c>
      <c r="C5" s="233">
        <f>SUM($P$4:P5)</f>
        <v>0</v>
      </c>
      <c r="D5" s="232">
        <v>0</v>
      </c>
      <c r="E5" s="31">
        <v>0</v>
      </c>
      <c r="F5" s="31">
        <v>0</v>
      </c>
      <c r="G5" s="232">
        <v>0</v>
      </c>
      <c r="H5" s="232">
        <v>0</v>
      </c>
      <c r="I5" s="232">
        <v>0</v>
      </c>
      <c r="J5" s="232">
        <f t="shared" si="0"/>
        <v>0</v>
      </c>
      <c r="P5">
        <v>0</v>
      </c>
    </row>
    <row r="6" spans="2:16" x14ac:dyDescent="0.25">
      <c r="B6" s="31">
        <v>3</v>
      </c>
      <c r="C6" s="233">
        <f>SUM($P$4:P6)</f>
        <v>6.3954858739204715E-2</v>
      </c>
      <c r="D6" s="232">
        <v>1.0414988629446162</v>
      </c>
      <c r="E6" s="232">
        <v>454.41164481246574</v>
      </c>
      <c r="F6" s="232">
        <v>11.766821263910169</v>
      </c>
      <c r="G6" s="232">
        <v>9.5701622711639867E-29</v>
      </c>
      <c r="H6" s="232">
        <v>107.90819362349332</v>
      </c>
      <c r="I6" s="232">
        <v>1.1430237746077876</v>
      </c>
      <c r="J6" s="232">
        <f t="shared" si="0"/>
        <v>1143.0237746077876</v>
      </c>
      <c r="P6">
        <v>6.3954858739204715E-2</v>
      </c>
    </row>
    <row r="7" spans="2:16" x14ac:dyDescent="0.25">
      <c r="B7" s="31">
        <v>4</v>
      </c>
      <c r="C7" s="233">
        <f>SUM($P$4:P7)</f>
        <v>9.7587286753705593E-2</v>
      </c>
      <c r="D7" s="232">
        <v>0.91361637619652847</v>
      </c>
      <c r="E7" s="232">
        <v>357.02257102882203</v>
      </c>
      <c r="F7" s="232">
        <v>9.2449672635734697</v>
      </c>
      <c r="G7" s="232">
        <v>2.6945189440529431E-33</v>
      </c>
      <c r="H7" s="232">
        <v>83.035646871159813</v>
      </c>
      <c r="I7" s="232">
        <v>0.8963062358929742</v>
      </c>
      <c r="J7" s="232">
        <f t="shared" si="0"/>
        <v>896.3062358929742</v>
      </c>
      <c r="P7">
        <v>3.3632428014500879E-2</v>
      </c>
    </row>
    <row r="8" spans="2:16" x14ac:dyDescent="0.25">
      <c r="B8" s="31">
        <v>5</v>
      </c>
      <c r="C8" s="233">
        <f>SUM($P$4:P8)</f>
        <v>0.13102923810754422</v>
      </c>
      <c r="D8" s="232">
        <v>0.90847316516955123</v>
      </c>
      <c r="E8" s="232">
        <v>353.33254453406749</v>
      </c>
      <c r="F8" s="232">
        <v>9.1494153939888143</v>
      </c>
      <c r="G8" s="232">
        <v>1.6675277877383775E-33</v>
      </c>
      <c r="H8" s="232">
        <v>82.103378647740769</v>
      </c>
      <c r="I8" s="232">
        <v>0.88696836459452477</v>
      </c>
      <c r="J8" s="232">
        <f t="shared" si="0"/>
        <v>886.96836459452481</v>
      </c>
      <c r="P8">
        <v>3.344195135383863E-2</v>
      </c>
    </row>
    <row r="9" spans="2:16" x14ac:dyDescent="0.25">
      <c r="B9" s="31">
        <v>6</v>
      </c>
      <c r="C9" s="233">
        <f>SUM($P$4:P9)</f>
        <v>0.16314641936258187</v>
      </c>
      <c r="D9" s="232">
        <v>0.87269183931685168</v>
      </c>
      <c r="E9" s="232">
        <v>328.15050121888657</v>
      </c>
      <c r="F9" s="232">
        <v>8.4973357078001701</v>
      </c>
      <c r="G9" s="232">
        <v>5.1012668195472365E-35</v>
      </c>
      <c r="H9" s="232">
        <v>75.763259711970989</v>
      </c>
      <c r="I9" s="232">
        <v>0.82326544324350748</v>
      </c>
      <c r="J9" s="232">
        <f t="shared" si="0"/>
        <v>823.26544324350743</v>
      </c>
      <c r="P9">
        <v>3.2117181255037659E-2</v>
      </c>
    </row>
    <row r="10" spans="2:16" x14ac:dyDescent="0.25">
      <c r="B10" s="31">
        <v>7</v>
      </c>
      <c r="C10" s="233">
        <f>SUM($P$4:P10)</f>
        <v>0.19686386447023752</v>
      </c>
      <c r="D10" s="232">
        <v>0.91591187123152262</v>
      </c>
      <c r="E10" s="232">
        <v>358.67518229579105</v>
      </c>
      <c r="F10" s="232">
        <v>9.2877610203337611</v>
      </c>
      <c r="G10" s="232">
        <v>3.3325697460948441E-33</v>
      </c>
      <c r="H10" s="232">
        <v>83.453431347929765</v>
      </c>
      <c r="I10" s="232">
        <v>0.90048854465357009</v>
      </c>
      <c r="J10" s="232">
        <f t="shared" si="0"/>
        <v>900.4885446535701</v>
      </c>
      <c r="P10">
        <v>3.3717445107655633E-2</v>
      </c>
    </row>
    <row r="11" spans="2:16" x14ac:dyDescent="0.25">
      <c r="B11" s="31">
        <v>8</v>
      </c>
      <c r="C11" s="233">
        <f>SUM($P$4:P11)</f>
        <v>0.23416902510135743</v>
      </c>
      <c r="D11" s="232">
        <v>1.0127144941098167</v>
      </c>
      <c r="E11" s="232">
        <v>431.55001888320965</v>
      </c>
      <c r="F11" s="232">
        <v>11.174827926629055</v>
      </c>
      <c r="G11" s="232">
        <v>1.1272521000222766E-29</v>
      </c>
      <c r="H11" s="232">
        <v>102.02600316963604</v>
      </c>
      <c r="I11" s="232">
        <v>1.0850645181804697</v>
      </c>
      <c r="J11" s="232">
        <f t="shared" si="0"/>
        <v>1085.0645181804696</v>
      </c>
      <c r="P11">
        <v>3.7305160631119903E-2</v>
      </c>
    </row>
    <row r="12" spans="2:16" x14ac:dyDescent="0.25">
      <c r="B12" s="31">
        <v>9</v>
      </c>
      <c r="C12" s="233">
        <f>SUM($P$4:P12)</f>
        <v>0.27069622350358963</v>
      </c>
      <c r="D12" s="232">
        <v>0.99173492910758487</v>
      </c>
      <c r="E12" s="232">
        <v>415.23036600954725</v>
      </c>
      <c r="F12" s="232">
        <v>10.752236558987731</v>
      </c>
      <c r="G12" s="232">
        <v>2.2016843737364955E-30</v>
      </c>
      <c r="H12" s="232">
        <v>97.842612688509178</v>
      </c>
      <c r="I12" s="232">
        <v>1.0437061847624058</v>
      </c>
      <c r="J12" s="232">
        <f t="shared" si="0"/>
        <v>1043.7061847624059</v>
      </c>
      <c r="P12">
        <v>3.6527198402232182E-2</v>
      </c>
    </row>
    <row r="13" spans="2:16" x14ac:dyDescent="0.25">
      <c r="B13" s="31">
        <v>10</v>
      </c>
      <c r="C13" s="233">
        <f>SUM($P$4:P13)</f>
        <v>0.33164347214123219</v>
      </c>
      <c r="D13" s="232">
        <v>1.6472384998486951</v>
      </c>
      <c r="E13" s="232">
        <v>1058.6300125873556</v>
      </c>
      <c r="F13" s="232">
        <v>27.412832142246771</v>
      </c>
      <c r="G13" s="232">
        <v>1.8809222555243114E-16</v>
      </c>
      <c r="H13" s="232">
        <v>269.92915221517393</v>
      </c>
      <c r="I13" s="232">
        <v>2.6814087721509843</v>
      </c>
      <c r="J13" s="232">
        <f t="shared" si="0"/>
        <v>2681.4087721509841</v>
      </c>
      <c r="P13">
        <v>6.0947248637642545E-2</v>
      </c>
    </row>
    <row r="14" spans="2:16" x14ac:dyDescent="0.25">
      <c r="B14" s="31">
        <v>11</v>
      </c>
      <c r="C14" s="233">
        <f>SUM($P$4:P14)</f>
        <v>0.69125465540991093</v>
      </c>
      <c r="D14" s="232">
        <v>9.0044663402159166</v>
      </c>
      <c r="E14" s="232">
        <v>24795.667306691012</v>
      </c>
      <c r="F14" s="232">
        <v>642.07462253223048</v>
      </c>
      <c r="G14" s="232">
        <v>1353.6998082499447</v>
      </c>
      <c r="H14" s="232">
        <v>8065.8990121430343</v>
      </c>
      <c r="I14" s="232">
        <v>65.902265721790656</v>
      </c>
      <c r="J14" s="232">
        <f t="shared" si="0"/>
        <v>65902.265721790653</v>
      </c>
      <c r="P14">
        <v>0.35961118326867875</v>
      </c>
    </row>
    <row r="15" spans="2:16" x14ac:dyDescent="0.25">
      <c r="B15" s="31">
        <v>12</v>
      </c>
      <c r="C15" s="233">
        <f>SUM($P$4:P15)</f>
        <v>1.033171602564515</v>
      </c>
      <c r="D15" s="232">
        <v>8.608721643030707</v>
      </c>
      <c r="E15" s="232">
        <v>22802.168982007588</v>
      </c>
      <c r="F15" s="232">
        <v>590.45372165031119</v>
      </c>
      <c r="G15" s="232">
        <v>814.09667179997598</v>
      </c>
      <c r="H15" s="232">
        <v>7372.4893375193888</v>
      </c>
      <c r="I15" s="232">
        <v>60.128213524727052</v>
      </c>
      <c r="J15" s="232">
        <f t="shared" si="0"/>
        <v>60128.213524727049</v>
      </c>
      <c r="P15">
        <v>0.34191694715460402</v>
      </c>
    </row>
    <row r="16" spans="2:16" x14ac:dyDescent="0.25">
      <c r="B16" s="31">
        <v>13</v>
      </c>
      <c r="C16" s="233">
        <f>SUM($P$4:P16)</f>
        <v>1.4182746672606108</v>
      </c>
      <c r="D16" s="232">
        <v>9.5646324055583527</v>
      </c>
      <c r="E16" s="232">
        <v>27750.152548059352</v>
      </c>
      <c r="F16" s="232">
        <v>718.57992374736352</v>
      </c>
      <c r="G16" s="232">
        <v>2614.5271623123649</v>
      </c>
      <c r="H16" s="232">
        <v>9100.6704766279036</v>
      </c>
      <c r="I16" s="232">
        <v>74.927959911002645</v>
      </c>
      <c r="J16" s="232">
        <f t="shared" si="0"/>
        <v>74927.959911002647</v>
      </c>
      <c r="P16">
        <v>0.38510306469609584</v>
      </c>
    </row>
    <row r="17" spans="2:16" x14ac:dyDescent="0.25">
      <c r="B17" s="31">
        <v>14</v>
      </c>
      <c r="C17" s="233">
        <f>SUM($P$4:P17)</f>
        <v>1.702246580445375</v>
      </c>
      <c r="D17" s="232">
        <v>6.2077836537595825</v>
      </c>
      <c r="E17" s="232">
        <v>12399.828644985388</v>
      </c>
      <c r="F17" s="232">
        <v>321.08897083584122</v>
      </c>
      <c r="G17" s="232">
        <v>11.265318421783006</v>
      </c>
      <c r="H17" s="232">
        <v>3833.6279989047957</v>
      </c>
      <c r="I17" s="232">
        <v>32.090771209071214</v>
      </c>
      <c r="J17" s="232">
        <f t="shared" si="0"/>
        <v>32090.771209071212</v>
      </c>
      <c r="P17">
        <v>0.28397191318476422</v>
      </c>
    </row>
    <row r="18" spans="2:16" x14ac:dyDescent="0.25">
      <c r="B18" s="31">
        <v>15</v>
      </c>
      <c r="C18" s="233">
        <f>SUM($P$4:P18)</f>
        <v>2.0159660288298134</v>
      </c>
      <c r="D18" s="232">
        <v>6.2122928363153376</v>
      </c>
      <c r="E18" s="232">
        <v>12416.600602132881</v>
      </c>
      <c r="F18" s="232">
        <v>321.52327445515527</v>
      </c>
      <c r="G18" s="232">
        <v>11.389632341575924</v>
      </c>
      <c r="H18" s="232">
        <v>3839.1993292599282</v>
      </c>
      <c r="I18" s="232">
        <v>32.134672111431321</v>
      </c>
      <c r="J18" s="232">
        <f t="shared" si="0"/>
        <v>32134.672111431322</v>
      </c>
      <c r="P18">
        <v>0.31371944838443833</v>
      </c>
    </row>
    <row r="19" spans="2:16" x14ac:dyDescent="0.25">
      <c r="B19" s="31">
        <v>16</v>
      </c>
      <c r="C19" s="233">
        <f>SUM($P$4:P19)</f>
        <v>2.3816274556787751</v>
      </c>
      <c r="D19" s="232">
        <v>7.2451300273645449</v>
      </c>
      <c r="E19" s="232">
        <v>16534.521214759374</v>
      </c>
      <c r="F19" s="232">
        <v>428.15530376361318</v>
      </c>
      <c r="G19" s="232">
        <v>99.086066593985493</v>
      </c>
      <c r="H19" s="232">
        <v>5221.9076913819017</v>
      </c>
      <c r="I19" s="232">
        <v>42.985390630059015</v>
      </c>
      <c r="J19" s="232">
        <f t="shared" si="0"/>
        <v>42985.390630059017</v>
      </c>
      <c r="P19">
        <v>0.36566142684896175</v>
      </c>
    </row>
    <row r="20" spans="2:16" x14ac:dyDescent="0.25">
      <c r="B20" s="31">
        <v>17</v>
      </c>
      <c r="C20" s="233">
        <f>SUM($P$4:P20)</f>
        <v>2.765096711803988</v>
      </c>
      <c r="D20" s="232">
        <v>7.5995902754440241</v>
      </c>
      <c r="E20" s="232">
        <v>18073.499226665335</v>
      </c>
      <c r="F20" s="232">
        <v>468.0065694649108</v>
      </c>
      <c r="G20" s="232">
        <v>182.65626985552481</v>
      </c>
      <c r="H20" s="232">
        <v>5745.3591069300264</v>
      </c>
      <c r="I20" s="232">
        <v>47.098088516415764</v>
      </c>
      <c r="J20" s="232">
        <f t="shared" si="0"/>
        <v>47098.088516415766</v>
      </c>
      <c r="P20">
        <v>0.38346925612521304</v>
      </c>
    </row>
    <row r="21" spans="2:16" x14ac:dyDescent="0.25">
      <c r="B21" s="31">
        <v>18</v>
      </c>
      <c r="C21" s="233">
        <f>SUM($P$4:P21)</f>
        <v>3.1557339628892787</v>
      </c>
      <c r="D21" s="232">
        <v>8.4465846724439757</v>
      </c>
      <c r="E21" s="232">
        <v>22007.967383677442</v>
      </c>
      <c r="F21" s="232">
        <v>569.88816537166588</v>
      </c>
      <c r="G21" s="232">
        <v>653.52874001407793</v>
      </c>
      <c r="H21" s="232">
        <v>7097.3970591013376</v>
      </c>
      <c r="I21" s="232">
        <v>57.883421752295121</v>
      </c>
      <c r="J21" s="232">
        <f t="shared" si="0"/>
        <v>57883.421752295122</v>
      </c>
      <c r="P21">
        <v>0.39063725108529074</v>
      </c>
    </row>
    <row r="22" spans="2:16" x14ac:dyDescent="0.25">
      <c r="B22" s="31">
        <v>19</v>
      </c>
      <c r="C22" s="233">
        <f>SUM($P$4:P22)</f>
        <v>3.6899993693765287</v>
      </c>
      <c r="D22" s="232">
        <v>11.354429476056627</v>
      </c>
      <c r="E22" s="232">
        <v>38220.901799309955</v>
      </c>
      <c r="F22" s="232">
        <v>989.71609806247034</v>
      </c>
      <c r="G22" s="232">
        <v>14113.767969880229</v>
      </c>
      <c r="H22" s="232">
        <v>12825.297756385702</v>
      </c>
      <c r="I22" s="232">
        <v>114.00340798814597</v>
      </c>
      <c r="J22" s="232">
        <f t="shared" si="0"/>
        <v>114003.40798814596</v>
      </c>
      <c r="P22">
        <v>0.53426540648724996</v>
      </c>
    </row>
    <row r="23" spans="2:16" x14ac:dyDescent="0.25">
      <c r="B23" s="31">
        <v>20</v>
      </c>
      <c r="C23" s="233">
        <f>SUM($P$4:P23)</f>
        <v>4.1283945221423179</v>
      </c>
      <c r="D23" s="232">
        <v>9.4279444975874114</v>
      </c>
      <c r="E23" s="232">
        <v>27014.921251588956</v>
      </c>
      <c r="F23" s="232">
        <v>699.54138159739182</v>
      </c>
      <c r="G23" s="232">
        <v>2240.6653160239134</v>
      </c>
      <c r="H23" s="232">
        <v>8842.4142433519646</v>
      </c>
      <c r="I23" s="232">
        <v>72.62104018563565</v>
      </c>
      <c r="J23" s="232">
        <f t="shared" si="0"/>
        <v>72621.040185635648</v>
      </c>
      <c r="P23">
        <v>0.43839515276578939</v>
      </c>
    </row>
    <row r="24" spans="2:16" x14ac:dyDescent="0.25">
      <c r="B24" s="31">
        <v>21</v>
      </c>
      <c r="C24" s="233">
        <f>SUM($P$4:P24)</f>
        <v>4.4971784064742053</v>
      </c>
      <c r="D24" s="232">
        <v>7.9930225532350416</v>
      </c>
      <c r="E24" s="232">
        <v>19856.178301654603</v>
      </c>
      <c r="F24" s="232">
        <v>514.16838394695014</v>
      </c>
      <c r="G24" s="232">
        <v>339.89339510084983</v>
      </c>
      <c r="H24" s="232">
        <v>6355.634283144087</v>
      </c>
      <c r="I24" s="232">
        <v>51.926409794673262</v>
      </c>
      <c r="J24" s="232">
        <f t="shared" si="0"/>
        <v>51926.409794673265</v>
      </c>
      <c r="P24">
        <v>0.36878388433188691</v>
      </c>
    </row>
    <row r="25" spans="2:16" x14ac:dyDescent="0.25">
      <c r="B25" s="31">
        <v>22</v>
      </c>
      <c r="C25" s="233">
        <f>SUM($P$4:P25)</f>
        <v>4.9484819724972811</v>
      </c>
      <c r="D25" s="232">
        <v>9.6907959250374969</v>
      </c>
      <c r="E25" s="232">
        <v>28436.941656416951</v>
      </c>
      <c r="F25" s="232">
        <v>736.36407337534945</v>
      </c>
      <c r="G25" s="232">
        <v>3004.2509000687842</v>
      </c>
      <c r="H25" s="232">
        <v>9342.341066268662</v>
      </c>
      <c r="I25" s="232">
        <v>77.123808219777544</v>
      </c>
      <c r="J25" s="232">
        <f t="shared" si="0"/>
        <v>77123.808219777551</v>
      </c>
      <c r="P25">
        <v>0.45130356602307603</v>
      </c>
    </row>
    <row r="26" spans="2:16" x14ac:dyDescent="0.25">
      <c r="B26" s="31">
        <v>23</v>
      </c>
      <c r="C26" s="233">
        <f>SUM($P$4:P26)</f>
        <v>5.4133210795136195</v>
      </c>
      <c r="D26" s="232">
        <v>9.9652891737397891</v>
      </c>
      <c r="E26" s="232">
        <v>29958.210917394084</v>
      </c>
      <c r="F26" s="232">
        <v>775.75677752928038</v>
      </c>
      <c r="G26" s="232">
        <v>4019.1561450805007</v>
      </c>
      <c r="H26" s="232">
        <v>9879.0829835536661</v>
      </c>
      <c r="I26" s="232">
        <v>82.14079244569588</v>
      </c>
      <c r="J26" s="232">
        <f t="shared" si="0"/>
        <v>82140.792445695886</v>
      </c>
      <c r="P26">
        <v>0.46483910701633846</v>
      </c>
    </row>
    <row r="27" spans="2:16" x14ac:dyDescent="0.25">
      <c r="B27" s="31">
        <v>24</v>
      </c>
      <c r="C27" s="233">
        <f>SUM($P$4:P27)</f>
        <v>5.8149032816022306</v>
      </c>
      <c r="D27" s="232">
        <v>8.6726982937022363</v>
      </c>
      <c r="E27" s="232">
        <v>23119.157964727179</v>
      </c>
      <c r="F27" s="232">
        <v>598.66203396992501</v>
      </c>
      <c r="G27" s="232">
        <v>886.15646422552277</v>
      </c>
      <c r="H27" s="232">
        <v>7482.475423142223</v>
      </c>
      <c r="I27" s="232">
        <v>61.032336485876641</v>
      </c>
      <c r="J27" s="232">
        <f t="shared" si="0"/>
        <v>61032.336485876644</v>
      </c>
      <c r="P27">
        <v>0.40158220208861145</v>
      </c>
    </row>
    <row r="28" spans="2:16" x14ac:dyDescent="0.25">
      <c r="B28" s="31">
        <v>25</v>
      </c>
      <c r="C28" s="233">
        <f>SUM($P$4:P28)</f>
        <v>6.1778969879112138</v>
      </c>
      <c r="D28" s="232">
        <v>11.556282921015018</v>
      </c>
      <c r="E28" s="232">
        <v>39499.35983013636</v>
      </c>
      <c r="F28" s="232">
        <v>1022.8212953299239</v>
      </c>
      <c r="G28" s="232">
        <v>16485.981509593996</v>
      </c>
      <c r="H28" s="232">
        <v>13285.354691207669</v>
      </c>
      <c r="I28" s="232">
        <v>119.74790978960787</v>
      </c>
      <c r="J28" s="232">
        <f t="shared" si="0"/>
        <v>119747.90978960787</v>
      </c>
      <c r="P28">
        <v>0.36299370630898325</v>
      </c>
    </row>
    <row r="29" spans="2:16" x14ac:dyDescent="0.25">
      <c r="B29" s="31">
        <v>26</v>
      </c>
      <c r="C29" s="233">
        <f>SUM($P$4:P29)</f>
        <v>6.5423621251104178</v>
      </c>
      <c r="D29" s="232">
        <v>7.9030636748962895</v>
      </c>
      <c r="E29" s="232">
        <v>19441.678429578948</v>
      </c>
      <c r="F29" s="232">
        <v>503.43506325786285</v>
      </c>
      <c r="G29" s="232">
        <v>296.31594190586901</v>
      </c>
      <c r="H29" s="232">
        <v>6213.3781288535574</v>
      </c>
      <c r="I29" s="232">
        <v>50.796376625403688</v>
      </c>
      <c r="J29" s="232">
        <f t="shared" si="0"/>
        <v>50796.376625403689</v>
      </c>
      <c r="P29">
        <v>0.36446513719920365</v>
      </c>
    </row>
    <row r="30" spans="2:16" x14ac:dyDescent="0.25">
      <c r="B30" s="31">
        <v>27</v>
      </c>
      <c r="C30" s="233">
        <f>SUM($P$4:P30)</f>
        <v>7.0017085566684418</v>
      </c>
      <c r="D30" s="232">
        <v>9.8540411038830111</v>
      </c>
      <c r="E30" s="232">
        <v>29337.205326355812</v>
      </c>
      <c r="F30" s="232">
        <v>759.67606772121223</v>
      </c>
      <c r="G30" s="232">
        <v>3578.5219395579625</v>
      </c>
      <c r="H30" s="232">
        <v>9659.7427598890081</v>
      </c>
      <c r="I30" s="232">
        <v>80.066213944407139</v>
      </c>
      <c r="J30" s="232">
        <f t="shared" si="0"/>
        <v>80066.213944407136</v>
      </c>
      <c r="P30">
        <v>0.45934643155802407</v>
      </c>
    </row>
    <row r="31" spans="2:16" x14ac:dyDescent="0.25">
      <c r="B31" s="31">
        <v>28</v>
      </c>
      <c r="C31" s="233">
        <f>SUM($P$4:P31)</f>
        <v>7.3302350736752278</v>
      </c>
      <c r="D31" s="232">
        <v>7.1504352455764533</v>
      </c>
      <c r="E31" s="232">
        <v>16134.197323618971</v>
      </c>
      <c r="F31" s="232">
        <v>417.78906485117034</v>
      </c>
      <c r="G31" s="232">
        <v>83.341950076972793</v>
      </c>
      <c r="H31" s="232">
        <v>5086.2977298046353</v>
      </c>
      <c r="I31" s="232">
        <v>41.922128809524061</v>
      </c>
      <c r="J31" s="232">
        <f t="shared" si="0"/>
        <v>41922.12880952406</v>
      </c>
      <c r="P31">
        <v>0.32852651700678559</v>
      </c>
    </row>
    <row r="32" spans="2:16" x14ac:dyDescent="0.25">
      <c r="B32" s="31">
        <v>29</v>
      </c>
      <c r="C32" s="233">
        <f>SUM($P$4:P32)</f>
        <v>8.007907620648961</v>
      </c>
      <c r="D32" s="232">
        <v>14.117039352411082</v>
      </c>
      <c r="E32" s="232">
        <v>57408.597076310332</v>
      </c>
      <c r="F32" s="232">
        <v>1486.5743616397924</v>
      </c>
      <c r="G32" s="232">
        <v>75694.632889925444</v>
      </c>
      <c r="H32" s="232">
        <v>19825.496525528826</v>
      </c>
      <c r="I32" s="232">
        <v>226.29259969548536</v>
      </c>
      <c r="J32" s="232">
        <f t="shared" si="0"/>
        <v>226292.59969548538</v>
      </c>
      <c r="P32">
        <v>0.67767254697373258</v>
      </c>
    </row>
    <row r="33" spans="2:16" x14ac:dyDescent="0.25">
      <c r="B33" s="31">
        <v>30</v>
      </c>
      <c r="C33" s="233">
        <f>SUM($P$4:P33)</f>
        <v>8.4384460627118933</v>
      </c>
      <c r="D33" s="232">
        <v>9.2674522341485588</v>
      </c>
      <c r="E33" s="232">
        <v>26163.416361818494</v>
      </c>
      <c r="F33" s="232">
        <v>677.49197780755367</v>
      </c>
      <c r="G33" s="232">
        <v>1859.7978972127451</v>
      </c>
      <c r="H33" s="232">
        <v>8543.9271135480394</v>
      </c>
      <c r="I33" s="232">
        <v>70.002021482838344</v>
      </c>
      <c r="J33" s="232">
        <f t="shared" si="0"/>
        <v>70002.021482838347</v>
      </c>
      <c r="P33">
        <v>0.43053844206293324</v>
      </c>
    </row>
    <row r="34" spans="2:16" x14ac:dyDescent="0.25">
      <c r="B34" s="31">
        <v>31</v>
      </c>
      <c r="C34" s="233">
        <f>SUM($P$4:P34)</f>
        <v>8.9253220341412085</v>
      </c>
      <c r="D34" s="232">
        <v>10.409669441546205</v>
      </c>
      <c r="E34" s="232">
        <v>32499.247482877407</v>
      </c>
      <c r="F34" s="232">
        <v>841.55597839140205</v>
      </c>
      <c r="G34" s="232">
        <v>6239.0405538646555</v>
      </c>
      <c r="H34" s="232">
        <v>10779.799909434614</v>
      </c>
      <c r="I34" s="232">
        <v>91.049684135173763</v>
      </c>
      <c r="J34" s="232">
        <f t="shared" si="0"/>
        <v>91049.684135173768</v>
      </c>
      <c r="P34">
        <v>0.48687597142931444</v>
      </c>
    </row>
    <row r="35" spans="2:16" x14ac:dyDescent="0.25">
      <c r="B35" s="31">
        <v>32</v>
      </c>
      <c r="C35" s="233">
        <f>SUM($P$4:P35)</f>
        <v>9.3593819700926986</v>
      </c>
      <c r="D35" s="232">
        <v>9.3394344277648109</v>
      </c>
      <c r="E35" s="232">
        <v>26543.750347445632</v>
      </c>
      <c r="F35" s="232">
        <v>687.34058551942712</v>
      </c>
      <c r="G35" s="232">
        <v>2023.2793464484923</v>
      </c>
      <c r="H35" s="232">
        <v>8677.1674166303474</v>
      </c>
      <c r="I35" s="232">
        <v>71.165115474941288</v>
      </c>
      <c r="J35" s="232">
        <f t="shared" si="0"/>
        <v>71165.115474941282</v>
      </c>
      <c r="P35">
        <v>0.43405993595149017</v>
      </c>
    </row>
    <row r="36" spans="2:16" x14ac:dyDescent="0.25">
      <c r="B36" s="31">
        <v>33</v>
      </c>
      <c r="C36" s="233">
        <f>SUM($P$4:P36)</f>
        <v>9.9384686215033025</v>
      </c>
      <c r="D36" s="232">
        <v>12.233836766746105</v>
      </c>
      <c r="E36" s="232">
        <v>43933.950694732877</v>
      </c>
      <c r="F36" s="232">
        <v>1137.6533835432685</v>
      </c>
      <c r="G36" s="232">
        <v>26594.539965248478</v>
      </c>
      <c r="H36" s="232">
        <v>14888.885335226303</v>
      </c>
      <c r="I36" s="232">
        <v>141.56166364993842</v>
      </c>
      <c r="J36" s="232">
        <f t="shared" ref="J36:J67" si="1">I36*1000</f>
        <v>141561.66364993842</v>
      </c>
      <c r="P36">
        <v>0.57908665141060378</v>
      </c>
    </row>
    <row r="37" spans="2:16" x14ac:dyDescent="0.25">
      <c r="B37" s="31">
        <v>34</v>
      </c>
      <c r="C37" s="233">
        <f>SUM($P$4:P37)</f>
        <v>10.368980251490324</v>
      </c>
      <c r="D37" s="232">
        <v>9.266903880387984</v>
      </c>
      <c r="E37" s="232">
        <v>26160.528841561259</v>
      </c>
      <c r="F37" s="232">
        <v>677.41720653980417</v>
      </c>
      <c r="G37" s="232">
        <v>1858.5965143013659</v>
      </c>
      <c r="H37" s="232">
        <v>8542.9160576858103</v>
      </c>
      <c r="I37" s="232">
        <v>69.993231489895976</v>
      </c>
      <c r="J37" s="232">
        <f t="shared" si="1"/>
        <v>69993.231489895974</v>
      </c>
      <c r="P37">
        <v>0.43051162998702092</v>
      </c>
    </row>
    <row r="38" spans="2:16" x14ac:dyDescent="0.25">
      <c r="B38" s="31">
        <v>35</v>
      </c>
      <c r="C38" s="233">
        <f>SUM($P$4:P38)</f>
        <v>10.808870944951959</v>
      </c>
      <c r="D38" s="232">
        <v>9.4584511925369839</v>
      </c>
      <c r="E38" s="232">
        <v>27178.215304584362</v>
      </c>
      <c r="F38" s="232">
        <v>703.76982062837089</v>
      </c>
      <c r="G38" s="232">
        <v>2319.9762149425501</v>
      </c>
      <c r="H38" s="232">
        <v>8899.7309285685642</v>
      </c>
      <c r="I38" s="232">
        <v>73.129639352073482</v>
      </c>
      <c r="J38" s="232">
        <f t="shared" si="1"/>
        <v>73129.639352073485</v>
      </c>
      <c r="P38">
        <v>0.43989069346163567</v>
      </c>
    </row>
    <row r="39" spans="2:16" x14ac:dyDescent="0.25">
      <c r="B39" s="31">
        <v>36</v>
      </c>
      <c r="C39" s="233">
        <f>SUM($P$4:P39)</f>
        <v>11.256247051490442</v>
      </c>
      <c r="D39" s="232">
        <v>9.6109323149984558</v>
      </c>
      <c r="E39" s="232">
        <v>28001.282705915793</v>
      </c>
      <c r="F39" s="232">
        <v>725.08284618610037</v>
      </c>
      <c r="G39" s="232">
        <v>2752.3600393267225</v>
      </c>
      <c r="H39" s="232">
        <v>9188.9917102880481</v>
      </c>
      <c r="I39" s="232">
        <v>75.72616965057621</v>
      </c>
      <c r="J39" s="232">
        <f t="shared" si="1"/>
        <v>75726.169650576208</v>
      </c>
      <c r="P39">
        <v>0.44737610653848381</v>
      </c>
    </row>
    <row r="40" spans="2:16" x14ac:dyDescent="0.25">
      <c r="B40" s="31">
        <v>37</v>
      </c>
      <c r="C40" s="233">
        <f>SUM($P$4:P40)</f>
        <v>11.965719865130266</v>
      </c>
      <c r="D40" s="232">
        <v>14.708856572795041</v>
      </c>
      <c r="E40" s="232">
        <v>30988.898554703199</v>
      </c>
      <c r="F40" s="232">
        <v>805.17957223759004</v>
      </c>
      <c r="G40" s="232">
        <v>49474.286914924101</v>
      </c>
      <c r="H40" s="232">
        <v>11522.595747752401</v>
      </c>
      <c r="I40" s="232">
        <v>131.20293553244599</v>
      </c>
      <c r="J40" s="232">
        <f t="shared" si="1"/>
        <v>131202.93553244599</v>
      </c>
      <c r="P40">
        <v>0.7094728136398234</v>
      </c>
    </row>
    <row r="41" spans="2:16" x14ac:dyDescent="0.25">
      <c r="B41" s="31">
        <v>38</v>
      </c>
      <c r="C41" s="233">
        <f>SUM($P$4:P41)</f>
        <v>12.433581689359659</v>
      </c>
      <c r="D41" s="232">
        <v>10.026428708550057</v>
      </c>
      <c r="E41" s="232">
        <v>30302.085646611846</v>
      </c>
      <c r="F41" s="232">
        <v>784.66128629808804</v>
      </c>
      <c r="G41" s="232">
        <v>4279.5281033979345</v>
      </c>
      <c r="H41" s="232">
        <v>10000.676121599088</v>
      </c>
      <c r="I41" s="232">
        <v>83.306078335404507</v>
      </c>
      <c r="J41" s="232">
        <f t="shared" si="1"/>
        <v>83306.078335404512</v>
      </c>
      <c r="P41">
        <v>0.46786182422939343</v>
      </c>
    </row>
    <row r="42" spans="2:16" x14ac:dyDescent="0.25">
      <c r="B42" s="31">
        <v>39</v>
      </c>
      <c r="C42" s="233">
        <f>SUM($P$4:P42)</f>
        <v>12.875880789034554</v>
      </c>
      <c r="D42" s="232">
        <v>9.5075496583432724</v>
      </c>
      <c r="E42" s="232">
        <v>27441.98984671892</v>
      </c>
      <c r="F42" s="232">
        <v>710.60016471549932</v>
      </c>
      <c r="G42" s="232">
        <v>2452.5368005535188</v>
      </c>
      <c r="H42" s="232">
        <v>8992.3670812313685</v>
      </c>
      <c r="I42" s="232">
        <v>73.955694676493664</v>
      </c>
      <c r="J42" s="232">
        <f t="shared" si="1"/>
        <v>73955.694676493658</v>
      </c>
      <c r="P42">
        <v>0.44229909967489522</v>
      </c>
    </row>
    <row r="43" spans="2:16" x14ac:dyDescent="0.25">
      <c r="B43" s="31">
        <v>40</v>
      </c>
      <c r="C43" s="233">
        <f>SUM($P$4:P43)</f>
        <v>13.355789526109151</v>
      </c>
      <c r="D43" s="232">
        <v>10.269513283101128</v>
      </c>
      <c r="E43" s="232">
        <v>31687.393754026605</v>
      </c>
      <c r="F43" s="232">
        <v>820.53332672989188</v>
      </c>
      <c r="G43" s="232">
        <v>5453.2256013139367</v>
      </c>
      <c r="H43" s="232">
        <v>10491.47485788925</v>
      </c>
      <c r="I43" s="232">
        <v>88.126202341959385</v>
      </c>
      <c r="J43" s="232">
        <f t="shared" si="1"/>
        <v>88126.20234195939</v>
      </c>
      <c r="P43">
        <v>0.47990873707459653</v>
      </c>
    </row>
    <row r="44" spans="2:16" x14ac:dyDescent="0.25">
      <c r="B44" s="31">
        <v>41</v>
      </c>
      <c r="C44" s="233">
        <f>SUM($P$4:P44)</f>
        <v>13.791327580663873</v>
      </c>
      <c r="D44" s="232">
        <v>9.3696255546926306</v>
      </c>
      <c r="E44" s="232">
        <v>26704.033917797857</v>
      </c>
      <c r="F44" s="232">
        <v>691.49106921720806</v>
      </c>
      <c r="G44" s="232">
        <v>2095.3500864011503</v>
      </c>
      <c r="H44" s="232">
        <v>8733.3585916303982</v>
      </c>
      <c r="I44" s="232">
        <v>71.658491318952414</v>
      </c>
      <c r="J44" s="232">
        <f t="shared" si="1"/>
        <v>71658.491318952409</v>
      </c>
      <c r="P44">
        <v>0.43553805455472266</v>
      </c>
    </row>
    <row r="45" spans="2:16" x14ac:dyDescent="0.25">
      <c r="B45" s="31">
        <v>42</v>
      </c>
      <c r="C45" s="233">
        <f>SUM($P$4:P45)</f>
        <v>14.248210978889658</v>
      </c>
      <c r="D45" s="232">
        <v>9.8040927114093996</v>
      </c>
      <c r="E45" s="232">
        <v>29060.360272157712</v>
      </c>
      <c r="F45" s="232">
        <v>752.50726756449319</v>
      </c>
      <c r="G45" s="232">
        <v>3393.9842289480866</v>
      </c>
      <c r="H45" s="232">
        <v>9562.0638903324616</v>
      </c>
      <c r="I45" s="232">
        <v>79.153365133772326</v>
      </c>
      <c r="J45" s="232">
        <f t="shared" si="1"/>
        <v>79153.365133772328</v>
      </c>
      <c r="P45">
        <v>0.45688339822578417</v>
      </c>
    </row>
    <row r="46" spans="2:16" x14ac:dyDescent="0.25">
      <c r="B46" s="31">
        <v>43</v>
      </c>
      <c r="C46" s="233">
        <f>SUM($P$4:P46)</f>
        <v>14.668958531360573</v>
      </c>
      <c r="D46" s="232">
        <v>9.0669183957905926</v>
      </c>
      <c r="E46" s="232">
        <v>25117.368502283047</v>
      </c>
      <c r="F46" s="232">
        <v>650.40495585914141</v>
      </c>
      <c r="G46" s="232">
        <v>1461.8286506468573</v>
      </c>
      <c r="H46" s="232">
        <v>8178.1719253823949</v>
      </c>
      <c r="I46" s="232">
        <v>66.855478627361293</v>
      </c>
      <c r="J46" s="232">
        <f t="shared" si="1"/>
        <v>66855.478627361299</v>
      </c>
      <c r="P46">
        <v>0.42074755247091572</v>
      </c>
    </row>
    <row r="47" spans="2:16" x14ac:dyDescent="0.25">
      <c r="B47" s="31">
        <v>44</v>
      </c>
      <c r="C47" s="233">
        <f>SUM($P$4:P47)</f>
        <v>15.149927383109311</v>
      </c>
      <c r="D47" s="232">
        <v>10.290859459248745</v>
      </c>
      <c r="E47" s="232">
        <v>31810.422442444047</v>
      </c>
      <c r="F47" s="232">
        <v>823.71910905626407</v>
      </c>
      <c r="G47" s="232">
        <v>5567.5151110016022</v>
      </c>
      <c r="H47" s="232">
        <v>10535.135276456382</v>
      </c>
      <c r="I47" s="232">
        <v>88.564402377672408</v>
      </c>
      <c r="J47" s="232">
        <f t="shared" si="1"/>
        <v>88564.402377672406</v>
      </c>
      <c r="P47">
        <v>0.48096885174873732</v>
      </c>
    </row>
    <row r="48" spans="2:16" x14ac:dyDescent="0.25">
      <c r="B48" s="31">
        <v>45</v>
      </c>
      <c r="C48" s="233">
        <f>SUM($P$4:P48)</f>
        <v>15.422071524789148</v>
      </c>
      <c r="D48" s="232">
        <v>5.9558428938332053</v>
      </c>
      <c r="E48" s="232">
        <v>11479.530186786424</v>
      </c>
      <c r="F48" s="232">
        <v>297.25818306730059</v>
      </c>
      <c r="G48" s="232">
        <v>5.949653382642647</v>
      </c>
      <c r="H48" s="232">
        <v>3528.7694802355495</v>
      </c>
      <c r="I48" s="232">
        <v>29.684226291662309</v>
      </c>
      <c r="J48" s="232">
        <f t="shared" si="1"/>
        <v>29684.226291662308</v>
      </c>
      <c r="P48">
        <v>0.27214414167983736</v>
      </c>
    </row>
    <row r="49" spans="2:16" x14ac:dyDescent="0.25">
      <c r="B49" s="31">
        <v>46</v>
      </c>
      <c r="C49" s="233">
        <f>SUM($P$4:P49)</f>
        <v>15.903612502327386</v>
      </c>
      <c r="D49" s="232">
        <v>10.302376587834305</v>
      </c>
      <c r="E49" s="232">
        <v>31876.893818335251</v>
      </c>
      <c r="F49" s="232">
        <v>825.44036071917151</v>
      </c>
      <c r="G49" s="232">
        <v>5629.9689595649788</v>
      </c>
      <c r="H49" s="232">
        <v>10558.729497046128</v>
      </c>
      <c r="I49" s="232">
        <v>88.801867246240619</v>
      </c>
      <c r="J49" s="232">
        <f t="shared" si="1"/>
        <v>88801.867246240625</v>
      </c>
      <c r="P49">
        <v>0.48154097753823755</v>
      </c>
    </row>
    <row r="50" spans="2:16" x14ac:dyDescent="0.25">
      <c r="B50" s="31">
        <v>47</v>
      </c>
      <c r="C50" s="233">
        <f>SUM($P$4:P50)</f>
        <v>16.359312731183334</v>
      </c>
      <c r="D50" s="232">
        <v>9.7800852739544499</v>
      </c>
      <c r="E50" s="232">
        <v>28927.732046316298</v>
      </c>
      <c r="F50" s="232">
        <v>749.07290877144442</v>
      </c>
      <c r="G50" s="232">
        <v>3308.1090919167409</v>
      </c>
      <c r="H50" s="232">
        <v>9515.2916711926446</v>
      </c>
      <c r="I50" s="232">
        <v>78.718600645230126</v>
      </c>
      <c r="J50" s="232">
        <f t="shared" si="1"/>
        <v>78718.600645230123</v>
      </c>
      <c r="P50">
        <v>0.45570022885594791</v>
      </c>
    </row>
    <row r="51" spans="2:16" x14ac:dyDescent="0.25">
      <c r="B51" s="31">
        <v>48</v>
      </c>
      <c r="C51" s="233">
        <f>SUM($P$4:P51)</f>
        <v>16.800625606076885</v>
      </c>
      <c r="D51" s="232">
        <v>9.4874485644274635</v>
      </c>
      <c r="E51" s="232">
        <v>27333.855876237834</v>
      </c>
      <c r="F51" s="232">
        <v>707.8000755942511</v>
      </c>
      <c r="G51" s="232">
        <v>2397.5225795735828</v>
      </c>
      <c r="H51" s="232">
        <v>8954.3835119842024</v>
      </c>
      <c r="I51" s="232">
        <v>73.61637582703213</v>
      </c>
      <c r="J51" s="232">
        <f t="shared" si="1"/>
        <v>73616.375827032127</v>
      </c>
      <c r="P51">
        <v>0.44131287489355281</v>
      </c>
    </row>
    <row r="52" spans="2:16" x14ac:dyDescent="0.25">
      <c r="B52" s="31">
        <v>49</v>
      </c>
      <c r="C52" s="233">
        <f>SUM($P$4:P52)</f>
        <v>17.252479296665815</v>
      </c>
      <c r="D52" s="232">
        <v>9.7019747760005064</v>
      </c>
      <c r="E52" s="232">
        <v>28498.173028874095</v>
      </c>
      <c r="F52" s="232">
        <v>737.94963708981925</v>
      </c>
      <c r="G52" s="232">
        <v>3040.9819505563537</v>
      </c>
      <c r="H52" s="232">
        <v>9363.9072773116841</v>
      </c>
      <c r="I52" s="232">
        <v>77.321585946650515</v>
      </c>
      <c r="J52" s="232">
        <f t="shared" si="1"/>
        <v>77321.585946650521</v>
      </c>
      <c r="P52">
        <v>0.45185369058892932</v>
      </c>
    </row>
    <row r="53" spans="2:16" x14ac:dyDescent="0.25">
      <c r="B53" s="31">
        <v>50</v>
      </c>
      <c r="C53" s="233">
        <f>SUM($P$4:P53)</f>
        <v>17.669559323893964</v>
      </c>
      <c r="D53" s="232">
        <v>8.9916508268092166</v>
      </c>
      <c r="E53" s="232">
        <v>24729.891644538733</v>
      </c>
      <c r="F53" s="232">
        <v>640.37138611895466</v>
      </c>
      <c r="G53" s="232">
        <v>1332.371916344156</v>
      </c>
      <c r="H53" s="232">
        <v>8042.9559361508009</v>
      </c>
      <c r="I53" s="232">
        <v>65.708162738096746</v>
      </c>
      <c r="J53" s="232">
        <f t="shared" si="1"/>
        <v>65708.16273809674</v>
      </c>
      <c r="P53">
        <v>0.41708002722815002</v>
      </c>
    </row>
    <row r="54" spans="2:16" x14ac:dyDescent="0.25">
      <c r="B54" s="31">
        <v>51</v>
      </c>
      <c r="C54" s="233">
        <f>SUM($P$4:P54)</f>
        <v>18.096320523967012</v>
      </c>
      <c r="D54" s="232">
        <v>9.1901575117911172</v>
      </c>
      <c r="E54" s="232">
        <v>25757.864934624569</v>
      </c>
      <c r="F54" s="232">
        <v>666.99037378487515</v>
      </c>
      <c r="G54" s="232">
        <v>1696.7710919244601</v>
      </c>
      <c r="H54" s="232">
        <v>8402.0010611902271</v>
      </c>
      <c r="I54" s="232">
        <v>68.773252948434887</v>
      </c>
      <c r="J54" s="232">
        <f t="shared" si="1"/>
        <v>68773.252948434892</v>
      </c>
      <c r="P54">
        <v>0.42676120007304957</v>
      </c>
    </row>
    <row r="55" spans="2:16" x14ac:dyDescent="0.25">
      <c r="B55" s="31">
        <v>52</v>
      </c>
      <c r="C55" s="233">
        <f>SUM($P$4:P55)</f>
        <v>18.47707452927612</v>
      </c>
      <c r="D55" s="232">
        <v>8.241801718429711</v>
      </c>
      <c r="E55" s="232">
        <v>21023.659459299368</v>
      </c>
      <c r="F55" s="232">
        <v>544.39987618051373</v>
      </c>
      <c r="G55" s="232">
        <v>490.14516724385675</v>
      </c>
      <c r="H55" s="232">
        <v>6757.4236327350791</v>
      </c>
      <c r="I55" s="232">
        <v>55.137885265371658</v>
      </c>
      <c r="J55" s="232">
        <f t="shared" si="1"/>
        <v>55137.88526537166</v>
      </c>
      <c r="P55">
        <v>0.3807540053091068</v>
      </c>
    </row>
    <row r="56" spans="2:16" x14ac:dyDescent="0.25">
      <c r="B56" s="31">
        <v>53</v>
      </c>
      <c r="C56" s="233">
        <f>SUM($P$4:P56)</f>
        <v>18.886905407286172</v>
      </c>
      <c r="D56" s="232">
        <v>8.8426393226644162</v>
      </c>
      <c r="E56" s="232">
        <v>23971.076320644956</v>
      </c>
      <c r="F56" s="232">
        <v>620.72214431253235</v>
      </c>
      <c r="G56" s="232">
        <v>1104.5967724170478</v>
      </c>
      <c r="H56" s="232">
        <v>7778.5857670626483</v>
      </c>
      <c r="I56" s="232">
        <v>63.487493136985265</v>
      </c>
      <c r="J56" s="232">
        <f t="shared" si="1"/>
        <v>63487.493136985264</v>
      </c>
      <c r="P56">
        <v>0.40983087801005219</v>
      </c>
    </row>
    <row r="57" spans="2:16" x14ac:dyDescent="0.25">
      <c r="B57" s="31">
        <v>54</v>
      </c>
      <c r="C57" s="233">
        <f>SUM($P$4:P57)</f>
        <v>19.340622303138158</v>
      </c>
      <c r="D57" s="232">
        <v>9.7398220036818621</v>
      </c>
      <c r="E57" s="232">
        <v>28705.93470276221</v>
      </c>
      <c r="F57" s="232">
        <v>743.32954869648836</v>
      </c>
      <c r="G57" s="232">
        <v>3168.1012572269742</v>
      </c>
      <c r="H57" s="232">
        <v>9437.1066390623891</v>
      </c>
      <c r="I57" s="232">
        <v>77.995170096333268</v>
      </c>
      <c r="J57" s="232">
        <f t="shared" si="1"/>
        <v>77995.17009633327</v>
      </c>
      <c r="P57">
        <v>0.45371689585198555</v>
      </c>
    </row>
    <row r="58" spans="2:16" x14ac:dyDescent="0.25">
      <c r="B58" s="31">
        <v>55</v>
      </c>
      <c r="C58" s="233">
        <f>SUM($P$4:P58)</f>
        <v>19.809304235549963</v>
      </c>
      <c r="D58" s="232">
        <v>10.04300666869425</v>
      </c>
      <c r="E58" s="232">
        <v>30395.642712143883</v>
      </c>
      <c r="F58" s="232">
        <v>787.08391186382551</v>
      </c>
      <c r="G58" s="232">
        <v>4352.4378739025524</v>
      </c>
      <c r="H58" s="232">
        <v>10033.774221913478</v>
      </c>
      <c r="I58" s="232">
        <v>83.625202171337818</v>
      </c>
      <c r="J58" s="232">
        <f t="shared" si="1"/>
        <v>83625.20217133782</v>
      </c>
      <c r="P58">
        <v>0.46868193241180617</v>
      </c>
    </row>
    <row r="59" spans="2:16" x14ac:dyDescent="0.25">
      <c r="B59" s="31">
        <v>56</v>
      </c>
      <c r="C59" s="233">
        <f>SUM($P$4:P59)</f>
        <v>20.157803958457698</v>
      </c>
      <c r="D59" s="232">
        <v>7.5695953224291124</v>
      </c>
      <c r="E59" s="232">
        <v>17940.799114514255</v>
      </c>
      <c r="F59" s="232">
        <v>464.5703492024943</v>
      </c>
      <c r="G59" s="232">
        <v>173.79946063739473</v>
      </c>
      <c r="H59" s="232">
        <v>5700.0956965059431</v>
      </c>
      <c r="I59" s="232">
        <v>46.741687412790846</v>
      </c>
      <c r="J59" s="232">
        <f t="shared" si="1"/>
        <v>46741.687412790845</v>
      </c>
      <c r="P59">
        <v>0.34849972290773412</v>
      </c>
    </row>
    <row r="60" spans="2:16" x14ac:dyDescent="0.25">
      <c r="B60" s="31">
        <v>57</v>
      </c>
      <c r="C60" s="233">
        <f>SUM($P$4:P60)</f>
        <v>20.546228736737206</v>
      </c>
      <c r="D60" s="232">
        <v>8.4007912207392224</v>
      </c>
      <c r="E60" s="232">
        <v>21786.034680531073</v>
      </c>
      <c r="F60" s="232">
        <v>564.14130021019423</v>
      </c>
      <c r="G60" s="232">
        <v>613.43106570307657</v>
      </c>
      <c r="H60" s="232">
        <v>7020.6481046184126</v>
      </c>
      <c r="I60" s="232">
        <v>57.261029102444503</v>
      </c>
      <c r="J60" s="232">
        <f t="shared" si="1"/>
        <v>57261.029102444503</v>
      </c>
      <c r="P60">
        <v>0.38842477827950667</v>
      </c>
    </row>
    <row r="61" spans="2:16" x14ac:dyDescent="0.25">
      <c r="B61" s="31">
        <v>58</v>
      </c>
      <c r="C61" s="233">
        <f>SUM($P$4:P61)</f>
        <v>21.18813395027674</v>
      </c>
      <c r="D61" s="232">
        <v>13.442149359446852</v>
      </c>
      <c r="E61" s="232">
        <v>52386.450709784265</v>
      </c>
      <c r="F61" s="232">
        <v>1356.5277412885553</v>
      </c>
      <c r="G61" s="232">
        <v>54190.213147032722</v>
      </c>
      <c r="H61" s="232">
        <v>17975.221701791914</v>
      </c>
      <c r="I61" s="232">
        <v>191.49783308554311</v>
      </c>
      <c r="J61" s="232">
        <f t="shared" si="1"/>
        <v>191497.8330855431</v>
      </c>
      <c r="P61">
        <v>0.64190521353953522</v>
      </c>
    </row>
    <row r="62" spans="2:16" x14ac:dyDescent="0.25">
      <c r="B62" s="31">
        <v>59</v>
      </c>
      <c r="C62" s="233">
        <f>SUM($P$4:P62)</f>
        <v>21.60818294046701</v>
      </c>
      <c r="D62" s="232">
        <v>9.0525882997694875</v>
      </c>
      <c r="E62" s="232">
        <v>25043.380748695832</v>
      </c>
      <c r="F62" s="232">
        <v>648.4890703792737</v>
      </c>
      <c r="G62" s="232">
        <v>1436.3918899511027</v>
      </c>
      <c r="H62" s="232">
        <v>8152.3414563309907</v>
      </c>
      <c r="I62" s="232">
        <v>66.635672854611443</v>
      </c>
      <c r="J62" s="232">
        <f t="shared" si="1"/>
        <v>66635.672854611446</v>
      </c>
      <c r="P62">
        <v>0.42004899019026948</v>
      </c>
    </row>
    <row r="63" spans="2:16" x14ac:dyDescent="0.25">
      <c r="B63" s="31">
        <v>60</v>
      </c>
      <c r="C63" s="233">
        <f>SUM($P$4:P63)</f>
        <v>22.023161942012642</v>
      </c>
      <c r="D63" s="232">
        <v>8.9484953544333461</v>
      </c>
      <c r="E63" s="232">
        <v>24508.995436867997</v>
      </c>
      <c r="F63" s="232">
        <v>634.65136062398778</v>
      </c>
      <c r="G63" s="232">
        <v>1262.6369652969945</v>
      </c>
      <c r="H63" s="232">
        <v>7965.9367944686965</v>
      </c>
      <c r="I63" s="232">
        <v>65.058223683118797</v>
      </c>
      <c r="J63" s="232">
        <f t="shared" si="1"/>
        <v>65058.223683118798</v>
      </c>
      <c r="P63">
        <v>0.41497900154563272</v>
      </c>
    </row>
    <row r="64" spans="2:16" x14ac:dyDescent="0.25">
      <c r="B64" s="31">
        <v>61</v>
      </c>
      <c r="C64" s="233">
        <f>SUM($P$4:P64)</f>
        <v>22.488211053207579</v>
      </c>
      <c r="D64" s="232">
        <v>9.9695387527825829</v>
      </c>
      <c r="E64" s="232">
        <v>29982.053123999667</v>
      </c>
      <c r="F64" s="232">
        <v>776.3741626400448</v>
      </c>
      <c r="G64" s="232">
        <v>4036.8263330217992</v>
      </c>
      <c r="H64" s="232">
        <v>9887.5104149361759</v>
      </c>
      <c r="I64" s="232">
        <v>82.221200820089962</v>
      </c>
      <c r="J64" s="232">
        <f t="shared" si="1"/>
        <v>82221.200820089958</v>
      </c>
      <c r="P64">
        <v>0.46504911119493492</v>
      </c>
    </row>
    <row r="65" spans="2:16" x14ac:dyDescent="0.25">
      <c r="B65" s="31">
        <v>62</v>
      </c>
      <c r="C65" s="233">
        <f>SUM($P$4:P65)</f>
        <v>22.871853174012791</v>
      </c>
      <c r="D65" s="232">
        <v>8.3017028343304204</v>
      </c>
      <c r="E65" s="232">
        <v>21309.406397791332</v>
      </c>
      <c r="F65" s="232">
        <v>551.79918733446118</v>
      </c>
      <c r="G65" s="232">
        <v>533.82883743458331</v>
      </c>
      <c r="H65" s="232">
        <v>6856.0060017740961</v>
      </c>
      <c r="I65" s="232">
        <v>55.931061358576059</v>
      </c>
      <c r="J65" s="232">
        <f t="shared" si="1"/>
        <v>55931.061358576058</v>
      </c>
      <c r="P65">
        <v>0.38364212080521165</v>
      </c>
    </row>
    <row r="66" spans="2:16" x14ac:dyDescent="0.25">
      <c r="B66" s="31">
        <v>63</v>
      </c>
      <c r="C66" s="233">
        <f>SUM($P$4:P66)</f>
        <v>23.28154011226232</v>
      </c>
      <c r="D66" s="232">
        <v>8.83967733347672</v>
      </c>
      <c r="E66" s="232">
        <v>23956.104740641676</v>
      </c>
      <c r="F66" s="232">
        <v>620.33446079264888</v>
      </c>
      <c r="G66" s="232">
        <v>1100.4291319667479</v>
      </c>
      <c r="H66" s="232">
        <v>7773.3755063550107</v>
      </c>
      <c r="I66" s="232">
        <v>63.444011101590753</v>
      </c>
      <c r="J66" s="232">
        <f t="shared" si="1"/>
        <v>63444.011101590753</v>
      </c>
      <c r="P66">
        <v>0.40968693824952923</v>
      </c>
    </row>
    <row r="67" spans="2:16" x14ac:dyDescent="0.25">
      <c r="B67" s="31">
        <v>64</v>
      </c>
      <c r="C67" s="233">
        <f>SUM($P$4:P67)</f>
        <v>23.681154989347998</v>
      </c>
      <c r="D67" s="232">
        <v>8.6321071706208077</v>
      </c>
      <c r="E67" s="232">
        <v>22917.802007746228</v>
      </c>
      <c r="F67" s="232">
        <v>593.44799603039053</v>
      </c>
      <c r="G67" s="232">
        <v>839.83217642531872</v>
      </c>
      <c r="H67" s="232">
        <v>7412.598365223108</v>
      </c>
      <c r="I67" s="232">
        <v>60.457461400665018</v>
      </c>
      <c r="J67" s="232">
        <f t="shared" si="1"/>
        <v>60457.461400665015</v>
      </c>
      <c r="P67">
        <v>0.39961487708567817</v>
      </c>
    </row>
    <row r="68" spans="2:16" x14ac:dyDescent="0.25">
      <c r="B68" s="31">
        <v>65</v>
      </c>
      <c r="C68" s="233">
        <f>SUM($P$4:P68)</f>
        <v>24.240735951980604</v>
      </c>
      <c r="D68" s="232">
        <v>11.852857053025643</v>
      </c>
      <c r="E68" s="232">
        <v>41413.321417646825</v>
      </c>
      <c r="F68" s="232">
        <v>1072.382621856932</v>
      </c>
      <c r="G68" s="232">
        <v>20485.805226525394</v>
      </c>
      <c r="H68" s="232">
        <v>13976.000767374939</v>
      </c>
      <c r="I68" s="232">
        <v>128.79824025805331</v>
      </c>
      <c r="J68" s="232">
        <f t="shared" ref="J68:J99" si="2">I68*1000</f>
        <v>128798.24025805331</v>
      </c>
      <c r="P68">
        <v>0.5595809626326036</v>
      </c>
    </row>
    <row r="69" spans="2:16" x14ac:dyDescent="0.25">
      <c r="B69" s="31">
        <v>66</v>
      </c>
      <c r="C69" s="233">
        <f>SUM($P$4:P69)</f>
        <v>24.564491755961978</v>
      </c>
      <c r="D69" s="232">
        <v>7.0499970810272998</v>
      </c>
      <c r="E69" s="232">
        <v>15714.593058936376</v>
      </c>
      <c r="F69" s="232">
        <v>406.92356780579371</v>
      </c>
      <c r="G69" s="232">
        <v>69.030479186051039</v>
      </c>
      <c r="H69" s="232">
        <v>4944.4125103054794</v>
      </c>
      <c r="I69" s="232">
        <v>40.810105134551179</v>
      </c>
      <c r="J69" s="232">
        <f t="shared" si="2"/>
        <v>40810.105134551181</v>
      </c>
      <c r="P69">
        <v>0.32375580398137516</v>
      </c>
    </row>
    <row r="70" spans="2:16" x14ac:dyDescent="0.25">
      <c r="B70" s="31">
        <v>67</v>
      </c>
      <c r="C70" s="233">
        <f>SUM($P$4:P70)</f>
        <v>24.975957406706197</v>
      </c>
      <c r="D70" s="232">
        <v>8.8762709067249439</v>
      </c>
      <c r="E70" s="232">
        <v>24141.375423189067</v>
      </c>
      <c r="F70" s="232">
        <v>625.13197650745303</v>
      </c>
      <c r="G70" s="232">
        <v>1152.869362428683</v>
      </c>
      <c r="H70" s="232">
        <v>7837.8675358695355</v>
      </c>
      <c r="I70" s="232">
        <v>63.982976054597216</v>
      </c>
      <c r="J70" s="232">
        <f t="shared" si="2"/>
        <v>63982.976054597217</v>
      </c>
      <c r="P70">
        <v>0.4114656507442197</v>
      </c>
    </row>
    <row r="71" spans="2:16" x14ac:dyDescent="0.25">
      <c r="B71" s="31">
        <v>68</v>
      </c>
      <c r="C71" s="233">
        <f>SUM($P$4:P71)</f>
        <v>25.404519516320686</v>
      </c>
      <c r="D71" s="232">
        <v>9.2270209378354213</v>
      </c>
      <c r="E71" s="232">
        <v>25950.912019981173</v>
      </c>
      <c r="F71" s="232">
        <v>671.98925657065286</v>
      </c>
      <c r="G71" s="232">
        <v>1772.9509315681519</v>
      </c>
      <c r="H71" s="232">
        <v>8469.5402148226185</v>
      </c>
      <c r="I71" s="232">
        <v>69.356718695997372</v>
      </c>
      <c r="J71" s="232">
        <f t="shared" si="2"/>
        <v>69356.718695997377</v>
      </c>
      <c r="P71">
        <v>0.42856210961449076</v>
      </c>
    </row>
    <row r="72" spans="2:16" x14ac:dyDescent="0.25">
      <c r="B72" s="31">
        <v>69</v>
      </c>
      <c r="C72" s="233">
        <f>SUM($P$4:P72)</f>
        <v>25.977435752882389</v>
      </c>
      <c r="D72" s="232">
        <v>12.113609100402446</v>
      </c>
      <c r="E72" s="232">
        <v>43130.993324993884</v>
      </c>
      <c r="F72" s="232">
        <v>1116.8610998064437</v>
      </c>
      <c r="G72" s="232">
        <v>24543.602042336825</v>
      </c>
      <c r="H72" s="232">
        <v>14597.683137326621</v>
      </c>
      <c r="I72" s="232">
        <v>137.39044697756552</v>
      </c>
      <c r="J72" s="232">
        <f t="shared" si="2"/>
        <v>137390.44697756553</v>
      </c>
      <c r="P72">
        <v>0.57291623656170343</v>
      </c>
    </row>
    <row r="73" spans="2:16" x14ac:dyDescent="0.25">
      <c r="B73" s="31">
        <v>70</v>
      </c>
      <c r="C73" s="233">
        <f>SUM($P$4:P73)</f>
        <v>26.389954959163962</v>
      </c>
      <c r="D73" s="232">
        <v>8.897936805009099</v>
      </c>
      <c r="E73" s="232">
        <v>24251.382027730229</v>
      </c>
      <c r="F73" s="232">
        <v>627.98055679420975</v>
      </c>
      <c r="G73" s="232">
        <v>1184.909346460797</v>
      </c>
      <c r="H73" s="232">
        <v>7876.1767967713622</v>
      </c>
      <c r="I73" s="232">
        <v>64.303912078438913</v>
      </c>
      <c r="J73" s="232">
        <f t="shared" si="2"/>
        <v>64303.912078438916</v>
      </c>
      <c r="P73">
        <v>0.41251920628157246</v>
      </c>
    </row>
    <row r="74" spans="2:16" x14ac:dyDescent="0.25">
      <c r="B74" s="31">
        <v>71</v>
      </c>
      <c r="C74" s="233">
        <f>SUM($P$4:P74)</f>
        <v>26.869361773754285</v>
      </c>
      <c r="D74" s="232">
        <v>10.259404161766714</v>
      </c>
      <c r="E74" s="232">
        <v>31629.207477506658</v>
      </c>
      <c r="F74" s="232">
        <v>819.02661464705045</v>
      </c>
      <c r="G74" s="232">
        <v>5399.7591677618511</v>
      </c>
      <c r="H74" s="232">
        <v>10470.829791695725</v>
      </c>
      <c r="I74" s="232">
        <v>87.919546876598403</v>
      </c>
      <c r="J74" s="232">
        <f t="shared" si="2"/>
        <v>87919.546876598397</v>
      </c>
      <c r="P74">
        <v>0.47940681459032403</v>
      </c>
    </row>
    <row r="75" spans="2:16" x14ac:dyDescent="0.25">
      <c r="B75" s="31">
        <v>72</v>
      </c>
      <c r="C75" s="233">
        <f>SUM($P$4:P75)</f>
        <v>27.260276324415617</v>
      </c>
      <c r="D75" s="232">
        <v>8.4523221593789231</v>
      </c>
      <c r="E75" s="232">
        <v>22035.847381415471</v>
      </c>
      <c r="F75" s="232">
        <v>570.61010758852285</v>
      </c>
      <c r="G75" s="232">
        <v>658.70752874288019</v>
      </c>
      <c r="H75" s="232">
        <v>7107.042390266909</v>
      </c>
      <c r="I75" s="232">
        <v>57.961754412047341</v>
      </c>
      <c r="J75" s="232">
        <f t="shared" si="2"/>
        <v>57961.754412047339</v>
      </c>
      <c r="P75">
        <v>0.39091455066133263</v>
      </c>
    </row>
    <row r="76" spans="2:16" x14ac:dyDescent="0.25">
      <c r="B76" s="31">
        <v>73</v>
      </c>
      <c r="C76" s="233">
        <f>SUM($P$4:P76)</f>
        <v>27.67042074719199</v>
      </c>
      <c r="D76" s="232">
        <v>8.8490910093253738</v>
      </c>
      <c r="E76" s="232">
        <v>24003.701917886625</v>
      </c>
      <c r="F76" s="232">
        <v>621.56697207113757</v>
      </c>
      <c r="G76" s="232">
        <v>1113.7211482429614</v>
      </c>
      <c r="H76" s="232">
        <v>7789.9405908805475</v>
      </c>
      <c r="I76" s="232">
        <v>63.582290995557173</v>
      </c>
      <c r="J76" s="232">
        <f t="shared" si="2"/>
        <v>63582.290995557174</v>
      </c>
      <c r="P76">
        <v>0.41014442277637292</v>
      </c>
    </row>
    <row r="77" spans="2:16" x14ac:dyDescent="0.25">
      <c r="B77" s="31">
        <v>74</v>
      </c>
      <c r="C77" s="233">
        <f>SUM($P$4:P77)</f>
        <v>28.073645408811114</v>
      </c>
      <c r="D77" s="232">
        <v>8.7065689716271262</v>
      </c>
      <c r="E77" s="232">
        <v>23287.805052217798</v>
      </c>
      <c r="F77" s="232">
        <v>603.02908784681256</v>
      </c>
      <c r="G77" s="232">
        <v>926.46687146132297</v>
      </c>
      <c r="H77" s="232">
        <v>7541.0342238122685</v>
      </c>
      <c r="I77" s="232">
        <v>61.515371086421595</v>
      </c>
      <c r="J77" s="232">
        <f t="shared" si="2"/>
        <v>61515.371086421597</v>
      </c>
      <c r="P77">
        <v>0.40322466161912457</v>
      </c>
    </row>
    <row r="78" spans="2:16" x14ac:dyDescent="0.25">
      <c r="B78" s="31">
        <v>75</v>
      </c>
      <c r="C78" s="233">
        <f>SUM($P$4:P78)</f>
        <v>28.494413671058137</v>
      </c>
      <c r="D78" s="232">
        <v>9.0673431845978207</v>
      </c>
      <c r="E78" s="232">
        <v>25119.563284043605</v>
      </c>
      <c r="F78" s="232">
        <v>650.46178892005571</v>
      </c>
      <c r="G78" s="232">
        <v>1462.5884621118823</v>
      </c>
      <c r="H78" s="232">
        <v>8178.9382446818299</v>
      </c>
      <c r="I78" s="232">
        <v>66.862004306053606</v>
      </c>
      <c r="J78" s="232">
        <f t="shared" si="2"/>
        <v>66862.004306053612</v>
      </c>
      <c r="P78">
        <v>0.42076826224702446</v>
      </c>
    </row>
    <row r="79" spans="2:16" x14ac:dyDescent="0.25">
      <c r="B79" s="31">
        <v>76</v>
      </c>
      <c r="C79" s="233">
        <f>SUM($P$4:P79)</f>
        <v>29.008639182837282</v>
      </c>
      <c r="D79" s="232">
        <v>10.956751689770579</v>
      </c>
      <c r="E79" s="232">
        <v>35759.738800732448</v>
      </c>
      <c r="F79" s="232">
        <v>925.98519363645698</v>
      </c>
      <c r="G79" s="232">
        <v>10197.313559401189</v>
      </c>
      <c r="H79" s="232">
        <v>11942.643301465083</v>
      </c>
      <c r="I79" s="232">
        <v>103.59795475139775</v>
      </c>
      <c r="J79" s="232">
        <f t="shared" si="2"/>
        <v>103597.95475139774</v>
      </c>
      <c r="P79">
        <v>0.51422551177914511</v>
      </c>
    </row>
    <row r="80" spans="2:16" x14ac:dyDescent="0.25">
      <c r="B80" s="31">
        <v>77</v>
      </c>
      <c r="C80" s="233">
        <f>SUM($P$4:P80)</f>
        <v>29.440445706070392</v>
      </c>
      <c r="D80" s="232">
        <v>9.2933816525473851</v>
      </c>
      <c r="E80" s="232">
        <v>26300.125153374636</v>
      </c>
      <c r="F80" s="232">
        <v>681.03200133866312</v>
      </c>
      <c r="G80" s="232">
        <v>1917.3571308556477</v>
      </c>
      <c r="H80" s="232">
        <v>8591.8041303429891</v>
      </c>
      <c r="I80" s="232">
        <v>70.418870087719057</v>
      </c>
      <c r="J80" s="232">
        <f t="shared" si="2"/>
        <v>70418.870087719057</v>
      </c>
      <c r="P80">
        <v>0.43180652323310953</v>
      </c>
    </row>
    <row r="81" spans="2:16" x14ac:dyDescent="0.25">
      <c r="B81" s="31">
        <v>78</v>
      </c>
      <c r="C81" s="233">
        <f>SUM($P$4:P81)</f>
        <v>29.83914181540932</v>
      </c>
      <c r="D81" s="232">
        <v>8.6131426985978976</v>
      </c>
      <c r="E81" s="232">
        <v>22824.008602911847</v>
      </c>
      <c r="F81" s="232">
        <v>591.01925054594062</v>
      </c>
      <c r="G81" s="232">
        <v>818.90956497846446</v>
      </c>
      <c r="H81" s="232">
        <v>7380.0636454925352</v>
      </c>
      <c r="I81" s="232">
        <v>60.190349741201828</v>
      </c>
      <c r="J81" s="232">
        <f t="shared" si="2"/>
        <v>60190.349741201826</v>
      </c>
      <c r="P81">
        <v>0.39869610933893002</v>
      </c>
    </row>
    <row r="82" spans="2:16" x14ac:dyDescent="0.25">
      <c r="B82" s="31">
        <v>79</v>
      </c>
      <c r="C82" s="233">
        <f>SUM($P$4:P82)</f>
        <v>30.134174884746699</v>
      </c>
      <c r="D82" s="232">
        <v>6.4427621342839316</v>
      </c>
      <c r="E82" s="232">
        <v>13287.86852014444</v>
      </c>
      <c r="F82" s="232">
        <v>344.08443454261777</v>
      </c>
      <c r="G82" s="232">
        <v>19.567929241130784</v>
      </c>
      <c r="H82" s="232">
        <v>4129.3435584724202</v>
      </c>
      <c r="I82" s="232">
        <v>34.417677485003644</v>
      </c>
      <c r="J82" s="232">
        <f t="shared" si="2"/>
        <v>34417.677485003645</v>
      </c>
      <c r="P82">
        <v>0.29503306933737855</v>
      </c>
    </row>
    <row r="83" spans="2:16" x14ac:dyDescent="0.25">
      <c r="B83" s="31">
        <v>80</v>
      </c>
      <c r="C83" s="233">
        <f>SUM($P$4:P83)</f>
        <v>30.903452056770373</v>
      </c>
      <c r="D83" s="232">
        <v>15.80034322446104</v>
      </c>
      <c r="E83" s="232">
        <v>35865.772347830898</v>
      </c>
      <c r="F83" s="232">
        <v>935.04293181133005</v>
      </c>
      <c r="G83" s="232">
        <v>75679.478259430005</v>
      </c>
      <c r="H83" s="232">
        <v>12835.325957126901</v>
      </c>
      <c r="I83" s="232">
        <v>150.94170855127899</v>
      </c>
      <c r="J83" s="232">
        <f t="shared" si="2"/>
        <v>150941.70855127898</v>
      </c>
      <c r="P83">
        <v>0.76927717202367396</v>
      </c>
    </row>
    <row r="84" spans="2:16" x14ac:dyDescent="0.25">
      <c r="B84" s="31">
        <v>81</v>
      </c>
      <c r="C84" s="233">
        <f>SUM($P$4:P84)</f>
        <v>31.349625442703413</v>
      </c>
      <c r="D84" s="232">
        <v>9.5864560037368065</v>
      </c>
      <c r="E84" s="232">
        <v>27868.391970372566</v>
      </c>
      <c r="F84" s="232">
        <v>721.64168980153624</v>
      </c>
      <c r="G84" s="232">
        <v>2678.7630590957319</v>
      </c>
      <c r="H84" s="232">
        <v>9142.2478108038122</v>
      </c>
      <c r="I84" s="232">
        <v>75.303113661115006</v>
      </c>
      <c r="J84" s="232">
        <f t="shared" si="2"/>
        <v>75303.113661115</v>
      </c>
      <c r="P84">
        <v>0.44617338593304123</v>
      </c>
    </row>
    <row r="85" spans="2:16" x14ac:dyDescent="0.25">
      <c r="B85" s="31">
        <v>82</v>
      </c>
      <c r="C85" s="233">
        <f>SUM($P$4:P85)</f>
        <v>31.822399298948778</v>
      </c>
      <c r="D85" s="232">
        <v>10.125657644795165</v>
      </c>
      <c r="E85" s="232">
        <v>30864.087753171596</v>
      </c>
      <c r="F85" s="232">
        <v>799.21412272585781</v>
      </c>
      <c r="G85" s="232">
        <v>4731.1010462429822</v>
      </c>
      <c r="H85" s="232">
        <v>10199.603781305281</v>
      </c>
      <c r="I85" s="232">
        <v>85.236777506119807</v>
      </c>
      <c r="J85" s="232">
        <f t="shared" si="2"/>
        <v>85236.777506119804</v>
      </c>
      <c r="P85">
        <v>0.47277385624536389</v>
      </c>
    </row>
    <row r="86" spans="2:16" x14ac:dyDescent="0.25">
      <c r="B86" s="31">
        <v>83</v>
      </c>
      <c r="C86" s="233">
        <f>SUM($P$4:P86)</f>
        <v>32.266270786504727</v>
      </c>
      <c r="D86" s="232">
        <v>9.5395852924541842</v>
      </c>
      <c r="E86" s="232">
        <v>27614.73737276937</v>
      </c>
      <c r="F86" s="232">
        <v>715.07339793041206</v>
      </c>
      <c r="G86" s="232">
        <v>2542.3858557548401</v>
      </c>
      <c r="H86" s="232">
        <v>9053.0686347328974</v>
      </c>
      <c r="I86" s="232">
        <v>74.499751168755267</v>
      </c>
      <c r="J86" s="232">
        <f t="shared" si="2"/>
        <v>74499.751168755261</v>
      </c>
      <c r="P86">
        <v>0.44387148755594874</v>
      </c>
    </row>
    <row r="87" spans="2:16" x14ac:dyDescent="0.25">
      <c r="B87" s="31">
        <v>84</v>
      </c>
      <c r="C87" s="233">
        <f>SUM($P$4:P87)</f>
        <v>32.685464238875142</v>
      </c>
      <c r="D87" s="232">
        <v>9.03503401435764</v>
      </c>
      <c r="E87" s="232">
        <v>24952.884935004739</v>
      </c>
      <c r="F87" s="232">
        <v>646.14571479630968</v>
      </c>
      <c r="G87" s="232">
        <v>1405.7441861176608</v>
      </c>
      <c r="H87" s="232">
        <v>8120.7549597757989</v>
      </c>
      <c r="I87" s="232">
        <v>66.367295990770245</v>
      </c>
      <c r="J87" s="232">
        <f t="shared" si="2"/>
        <v>66367.295990770246</v>
      </c>
      <c r="P87">
        <v>0.41919345237041788</v>
      </c>
    </row>
    <row r="88" spans="2:16" x14ac:dyDescent="0.25">
      <c r="B88" s="31">
        <v>85</v>
      </c>
      <c r="C88" s="233">
        <f>SUM($P$4:P88)</f>
        <v>33.119458427398527</v>
      </c>
      <c r="D88" s="232">
        <v>9.3380911980710621</v>
      </c>
      <c r="E88" s="232">
        <v>26536.629651335872</v>
      </c>
      <c r="F88" s="232">
        <v>687.15619773061337</v>
      </c>
      <c r="G88" s="232">
        <v>2020.1218038019256</v>
      </c>
      <c r="H88" s="232">
        <v>8674.6716357862733</v>
      </c>
      <c r="I88" s="232">
        <v>71.143241740783765</v>
      </c>
      <c r="J88" s="232">
        <f t="shared" si="2"/>
        <v>71143.241740783764</v>
      </c>
      <c r="P88">
        <v>0.43399418852338617</v>
      </c>
    </row>
    <row r="89" spans="2:16" x14ac:dyDescent="0.25">
      <c r="B89" s="31">
        <v>86</v>
      </c>
      <c r="C89" s="233">
        <f>SUM($P$4:P89)</f>
        <v>33.662087386699952</v>
      </c>
      <c r="D89" s="232">
        <v>11.519586981508105</v>
      </c>
      <c r="E89" s="232">
        <v>39265.482123844537</v>
      </c>
      <c r="F89" s="232">
        <v>1016.7651187354951</v>
      </c>
      <c r="G89" s="232">
        <v>16034.302087627029</v>
      </c>
      <c r="H89" s="232">
        <v>13201.115746961988</v>
      </c>
      <c r="I89" s="232">
        <v>118.67923558275773</v>
      </c>
      <c r="J89" s="232">
        <f t="shared" si="2"/>
        <v>118679.23558275773</v>
      </c>
      <c r="P89">
        <v>0.54262895930142296</v>
      </c>
    </row>
    <row r="90" spans="2:16" x14ac:dyDescent="0.25">
      <c r="B90" s="31">
        <v>87</v>
      </c>
      <c r="C90" s="233">
        <f>SUM($P$4:P90)</f>
        <v>34.080499801376376</v>
      </c>
      <c r="D90" s="232">
        <v>9.0190044731275467</v>
      </c>
      <c r="E90" s="232">
        <v>24870.382968543941</v>
      </c>
      <c r="F90" s="232">
        <v>644.00935692707844</v>
      </c>
      <c r="G90" s="232">
        <v>1378.2446827000999</v>
      </c>
      <c r="H90" s="232">
        <v>8091.9655819654108</v>
      </c>
      <c r="I90" s="232">
        <v>66.123073829397896</v>
      </c>
      <c r="J90" s="232">
        <f t="shared" si="2"/>
        <v>66123.073829397894</v>
      </c>
      <c r="P90">
        <v>0.41841241467642715</v>
      </c>
    </row>
    <row r="91" spans="2:16" x14ac:dyDescent="0.25">
      <c r="B91" s="31">
        <v>88</v>
      </c>
      <c r="C91" s="233">
        <f>SUM($P$4:P91)</f>
        <v>34.487374096205684</v>
      </c>
      <c r="D91" s="232">
        <v>8.7817738924422883</v>
      </c>
      <c r="E91" s="232">
        <v>23664.304224808711</v>
      </c>
      <c r="F91" s="232">
        <v>612.77839449522742</v>
      </c>
      <c r="G91" s="232">
        <v>1021.6073670783549</v>
      </c>
      <c r="H91" s="232">
        <v>7671.8715739482805</v>
      </c>
      <c r="I91" s="232">
        <v>62.598985756022728</v>
      </c>
      <c r="J91" s="232">
        <f t="shared" si="2"/>
        <v>62598.985756022725</v>
      </c>
      <c r="P91">
        <v>0.40687429482930942</v>
      </c>
    </row>
    <row r="92" spans="2:16" x14ac:dyDescent="0.25">
      <c r="B92" s="31">
        <v>89</v>
      </c>
      <c r="C92" s="233">
        <f>SUM($P$4:P92)</f>
        <v>35.021731397301814</v>
      </c>
      <c r="D92" s="232">
        <v>11.356246757949405</v>
      </c>
      <c r="E92" s="232">
        <v>38232.324076894343</v>
      </c>
      <c r="F92" s="232">
        <v>990.01187371060041</v>
      </c>
      <c r="G92" s="232">
        <v>14133.920114572193</v>
      </c>
      <c r="H92" s="232">
        <v>12829.403475055959</v>
      </c>
      <c r="I92" s="232">
        <v>114.0536849415401</v>
      </c>
      <c r="J92" s="232">
        <f t="shared" si="2"/>
        <v>114053.68494154009</v>
      </c>
      <c r="P92">
        <v>0.53435730109613089</v>
      </c>
    </row>
    <row r="93" spans="2:16" x14ac:dyDescent="0.25">
      <c r="B93" s="31">
        <v>90</v>
      </c>
      <c r="C93" s="233">
        <f>SUM($P$4:P93)</f>
        <v>35.491333483409576</v>
      </c>
      <c r="D93" s="232">
        <v>10.061601841024979</v>
      </c>
      <c r="E93" s="232">
        <v>30500.743972741078</v>
      </c>
      <c r="F93" s="232">
        <v>789.80547008570863</v>
      </c>
      <c r="G93" s="232">
        <v>4435.4139815501649</v>
      </c>
      <c r="H93" s="232">
        <v>10070.964776141984</v>
      </c>
      <c r="I93" s="232">
        <v>83.984781607220071</v>
      </c>
      <c r="J93" s="232">
        <f t="shared" si="2"/>
        <v>83984.781607220066</v>
      </c>
      <c r="P93">
        <v>0.46960208610776527</v>
      </c>
    </row>
    <row r="94" spans="2:16" x14ac:dyDescent="0.25">
      <c r="B94" s="31">
        <v>91</v>
      </c>
      <c r="C94" s="233">
        <f>SUM($P$4:P94)</f>
        <v>35.910097959313454</v>
      </c>
      <c r="D94" s="232">
        <v>9.0262304213039624</v>
      </c>
      <c r="E94" s="232">
        <v>24907.558209000443</v>
      </c>
      <c r="F94" s="232">
        <v>644.97199601190016</v>
      </c>
      <c r="G94" s="232">
        <v>1390.5841345704243</v>
      </c>
      <c r="H94" s="232">
        <v>8104.9372015702684</v>
      </c>
      <c r="I94" s="232">
        <v>66.233067305170295</v>
      </c>
      <c r="J94" s="232">
        <f t="shared" si="2"/>
        <v>66233.067305170291</v>
      </c>
      <c r="P94">
        <v>0.41876447590387833</v>
      </c>
    </row>
    <row r="95" spans="2:16" x14ac:dyDescent="0.25">
      <c r="B95" s="31">
        <v>92</v>
      </c>
      <c r="C95" s="233">
        <f>SUM($P$4:P95)</f>
        <v>36.304874894720328</v>
      </c>
      <c r="D95" s="232">
        <v>8.5321901827957358</v>
      </c>
      <c r="E95" s="232">
        <v>22425.656156854406</v>
      </c>
      <c r="F95" s="232">
        <v>580.70406147385211</v>
      </c>
      <c r="G95" s="232">
        <v>734.53753141647269</v>
      </c>
      <c r="H95" s="232">
        <v>7241.9892680217681</v>
      </c>
      <c r="I95" s="232">
        <v>59.060486391486883</v>
      </c>
      <c r="J95" s="232">
        <f t="shared" si="2"/>
        <v>59060.486391486884</v>
      </c>
      <c r="P95">
        <v>0.39477693540687292</v>
      </c>
    </row>
    <row r="96" spans="2:16" x14ac:dyDescent="0.25">
      <c r="B96" s="31">
        <v>93</v>
      </c>
      <c r="C96" s="233">
        <f>SUM($P$4:P96)</f>
        <v>36.773709911202033</v>
      </c>
      <c r="D96" s="232">
        <v>10.046100686440257</v>
      </c>
      <c r="E96" s="232">
        <v>30413.118582699706</v>
      </c>
      <c r="F96" s="232">
        <v>787.53644306017384</v>
      </c>
      <c r="G96" s="232">
        <v>4366.1561885263818</v>
      </c>
      <c r="H96" s="232">
        <v>10039.957521118395</v>
      </c>
      <c r="I96" s="232">
        <v>83.684912505101678</v>
      </c>
      <c r="J96" s="232">
        <f t="shared" si="2"/>
        <v>83684.912505101674</v>
      </c>
      <c r="P96">
        <v>0.46883501648170484</v>
      </c>
    </row>
    <row r="97" spans="2:16" x14ac:dyDescent="0.25">
      <c r="B97" s="31">
        <v>94</v>
      </c>
      <c r="C97" s="233">
        <f>SUM($P$4:P97)</f>
        <v>37.126506669335853</v>
      </c>
      <c r="D97" s="232">
        <v>7.6594871667357811</v>
      </c>
      <c r="E97" s="232">
        <v>18339.851105570357</v>
      </c>
      <c r="F97" s="232">
        <v>474.90365273326637</v>
      </c>
      <c r="G97" s="232">
        <v>201.50291342507523</v>
      </c>
      <c r="H97" s="232">
        <v>5836.2811910422215</v>
      </c>
      <c r="I97" s="232">
        <v>47.81458680973796</v>
      </c>
      <c r="J97" s="232">
        <f t="shared" si="2"/>
        <v>47814.586809737957</v>
      </c>
      <c r="P97">
        <v>0.35279675813382066</v>
      </c>
    </row>
    <row r="98" spans="2:16" x14ac:dyDescent="0.25">
      <c r="B98" s="31">
        <v>95</v>
      </c>
      <c r="C98" s="233">
        <f>SUM($P$4:P98)</f>
        <v>37.402255002407529</v>
      </c>
      <c r="D98" s="232">
        <v>6.0326882510897333</v>
      </c>
      <c r="E98" s="232">
        <v>11756.731233815131</v>
      </c>
      <c r="F98" s="232">
        <v>304.43620152653637</v>
      </c>
      <c r="G98" s="232">
        <v>7.2676953367120456</v>
      </c>
      <c r="H98" s="232">
        <v>3620.4169400376727</v>
      </c>
      <c r="I98" s="232">
        <v>30.408634948804607</v>
      </c>
      <c r="J98" s="232">
        <f t="shared" si="2"/>
        <v>30408.634948804607</v>
      </c>
      <c r="P98">
        <v>0.27574833307167468</v>
      </c>
    </row>
    <row r="99" spans="2:16" x14ac:dyDescent="0.25">
      <c r="B99" s="31">
        <v>96</v>
      </c>
      <c r="C99" s="233">
        <f>SUM($P$4:P99)</f>
        <v>37.515640870392659</v>
      </c>
      <c r="D99" s="232">
        <v>2.5136977922629327</v>
      </c>
      <c r="E99" s="232">
        <v>2313.7211841959111</v>
      </c>
      <c r="F99" s="232">
        <v>11.766821263910169</v>
      </c>
      <c r="G99" s="232">
        <v>7.7676253827935234E-9</v>
      </c>
      <c r="H99" s="232">
        <v>628.58346069493439</v>
      </c>
      <c r="I99" s="232">
        <v>5.8990664581246008</v>
      </c>
      <c r="J99" s="232">
        <f t="shared" si="2"/>
        <v>5899.066458124601</v>
      </c>
      <c r="P99">
        <v>0.11338586798513042</v>
      </c>
    </row>
    <row r="100" spans="2:16" x14ac:dyDescent="0.25">
      <c r="B100" s="31">
        <v>97</v>
      </c>
      <c r="C100" s="233">
        <f>SUM($P$4:P100)</f>
        <v>37.515640870392659</v>
      </c>
      <c r="D100" s="31">
        <v>0</v>
      </c>
      <c r="E100" s="31">
        <v>0</v>
      </c>
      <c r="F100" s="31">
        <v>0</v>
      </c>
      <c r="G100" s="232">
        <v>0</v>
      </c>
      <c r="H100" s="232">
        <v>0</v>
      </c>
      <c r="I100" s="232">
        <v>0</v>
      </c>
      <c r="J100" s="232">
        <f t="shared" ref="J100:J107" si="3">I100*1000</f>
        <v>0</v>
      </c>
      <c r="P100">
        <v>0</v>
      </c>
    </row>
    <row r="101" spans="2:16" x14ac:dyDescent="0.25">
      <c r="B101" s="31">
        <v>98</v>
      </c>
      <c r="C101" s="233">
        <f>SUM($P$4:P101)</f>
        <v>37.515640870392659</v>
      </c>
      <c r="D101" s="31">
        <v>0</v>
      </c>
      <c r="E101" s="31">
        <v>0</v>
      </c>
      <c r="F101" s="31">
        <v>0</v>
      </c>
      <c r="G101" s="232">
        <v>0</v>
      </c>
      <c r="H101" s="232">
        <v>0</v>
      </c>
      <c r="I101" s="232">
        <v>0</v>
      </c>
      <c r="J101" s="232">
        <f t="shared" si="3"/>
        <v>0</v>
      </c>
      <c r="P101">
        <v>0</v>
      </c>
    </row>
    <row r="102" spans="2:16" x14ac:dyDescent="0.25">
      <c r="B102" s="31">
        <v>99</v>
      </c>
      <c r="C102" s="233">
        <f>SUM($P$4:P102)</f>
        <v>37.515640870392659</v>
      </c>
      <c r="D102" s="31">
        <v>0</v>
      </c>
      <c r="E102" s="31">
        <v>0</v>
      </c>
      <c r="F102" s="31">
        <v>0</v>
      </c>
      <c r="G102" s="232">
        <v>0</v>
      </c>
      <c r="H102" s="232">
        <v>0</v>
      </c>
      <c r="I102" s="232">
        <v>0</v>
      </c>
      <c r="J102" s="232">
        <f t="shared" si="3"/>
        <v>0</v>
      </c>
      <c r="P102">
        <v>0</v>
      </c>
    </row>
    <row r="103" spans="2:16" x14ac:dyDescent="0.25">
      <c r="B103" s="31">
        <v>100</v>
      </c>
      <c r="C103" s="233">
        <f>SUM($P$4:P103)</f>
        <v>37.541218725583732</v>
      </c>
      <c r="D103" s="31">
        <v>0</v>
      </c>
      <c r="E103" s="232">
        <v>150.14254402542232</v>
      </c>
      <c r="F103" s="232">
        <v>3.8878855764909361</v>
      </c>
      <c r="G103" s="232">
        <v>6.3861270902119429E-55</v>
      </c>
      <c r="H103" s="232">
        <v>32.340929909928668</v>
      </c>
      <c r="I103" s="232">
        <v>0.37435436302402553</v>
      </c>
      <c r="J103" s="232">
        <f t="shared" si="3"/>
        <v>374.35436302402553</v>
      </c>
      <c r="P103">
        <v>2.5577855191076023E-2</v>
      </c>
    </row>
    <row r="104" spans="2:16" x14ac:dyDescent="0.25">
      <c r="B104" s="31">
        <v>101</v>
      </c>
      <c r="C104" s="233">
        <f>SUM($P$4:P104)</f>
        <v>37.541218725583732</v>
      </c>
      <c r="D104" s="31">
        <v>0</v>
      </c>
      <c r="E104" s="31">
        <v>0</v>
      </c>
      <c r="F104" s="31">
        <v>0</v>
      </c>
      <c r="G104" s="232">
        <v>0</v>
      </c>
      <c r="H104" s="232">
        <v>0</v>
      </c>
      <c r="I104" s="232">
        <v>0</v>
      </c>
      <c r="J104" s="232">
        <f t="shared" si="3"/>
        <v>0</v>
      </c>
      <c r="P104">
        <v>0</v>
      </c>
    </row>
    <row r="105" spans="2:16" x14ac:dyDescent="0.25">
      <c r="B105" s="31">
        <v>102</v>
      </c>
      <c r="C105" s="233">
        <f>SUM($P$4:P105)</f>
        <v>37.541218725583732</v>
      </c>
      <c r="D105" s="31">
        <v>0</v>
      </c>
      <c r="E105" s="31">
        <v>0</v>
      </c>
      <c r="F105" s="31">
        <v>0</v>
      </c>
      <c r="G105" s="232">
        <v>0</v>
      </c>
      <c r="H105" s="232">
        <v>0</v>
      </c>
      <c r="I105" s="232">
        <v>0</v>
      </c>
      <c r="J105" s="232">
        <f t="shared" si="3"/>
        <v>0</v>
      </c>
      <c r="P105">
        <v>0</v>
      </c>
    </row>
    <row r="106" spans="2:16" x14ac:dyDescent="0.25">
      <c r="B106" s="31">
        <v>103</v>
      </c>
      <c r="C106" s="233">
        <f>SUM($P$4:P106)</f>
        <v>37.541218725583732</v>
      </c>
      <c r="D106" s="232">
        <v>0</v>
      </c>
      <c r="E106" s="31">
        <v>0</v>
      </c>
      <c r="F106" s="31">
        <v>0</v>
      </c>
      <c r="G106" s="232">
        <v>0</v>
      </c>
      <c r="H106" s="232">
        <v>0</v>
      </c>
      <c r="I106" s="232">
        <v>0</v>
      </c>
      <c r="J106" s="232">
        <f t="shared" si="3"/>
        <v>0</v>
      </c>
      <c r="P106">
        <v>0</v>
      </c>
    </row>
    <row r="107" spans="2:16" x14ac:dyDescent="0.25">
      <c r="B107" s="31">
        <v>104</v>
      </c>
      <c r="C107" s="233">
        <f>SUM($P$4:P107)</f>
        <v>37.541218725583732</v>
      </c>
      <c r="D107" s="232">
        <v>0</v>
      </c>
      <c r="E107" s="31">
        <v>0</v>
      </c>
      <c r="F107" s="31">
        <v>0</v>
      </c>
      <c r="G107" s="232">
        <v>0</v>
      </c>
      <c r="H107" s="232">
        <v>0</v>
      </c>
      <c r="I107" s="232">
        <v>0</v>
      </c>
      <c r="J107" s="232">
        <f t="shared" si="3"/>
        <v>0</v>
      </c>
      <c r="P107">
        <v>0</v>
      </c>
    </row>
    <row r="109" spans="2:16" x14ac:dyDescent="0.25">
      <c r="B109" s="31" t="s">
        <v>318</v>
      </c>
      <c r="C109" s="31"/>
      <c r="D109" s="31" t="s">
        <v>319</v>
      </c>
      <c r="E109" s="31" t="s">
        <v>320</v>
      </c>
      <c r="F109" s="31" t="s">
        <v>321</v>
      </c>
      <c r="G109" s="31" t="s">
        <v>322</v>
      </c>
      <c r="H109" s="31" t="s">
        <v>323</v>
      </c>
      <c r="I109" s="31" t="s">
        <v>324</v>
      </c>
    </row>
    <row r="110" spans="2:16" x14ac:dyDescent="0.25">
      <c r="B110" s="31">
        <v>1</v>
      </c>
      <c r="C110" s="232">
        <v>0</v>
      </c>
      <c r="D110" s="232">
        <v>0</v>
      </c>
      <c r="E110" s="232">
        <v>0</v>
      </c>
      <c r="F110" s="232">
        <v>0</v>
      </c>
      <c r="G110" s="232">
        <v>0</v>
      </c>
      <c r="H110" s="232">
        <v>0</v>
      </c>
      <c r="I110" s="232">
        <v>0</v>
      </c>
      <c r="J110" s="233">
        <f>I110*1000</f>
        <v>0</v>
      </c>
      <c r="P110">
        <v>0</v>
      </c>
    </row>
    <row r="111" spans="2:16" x14ac:dyDescent="0.25">
      <c r="B111" s="31">
        <v>2</v>
      </c>
      <c r="C111" s="232">
        <f>SUM($P$110:P111)</f>
        <v>0</v>
      </c>
      <c r="D111" s="232">
        <v>0</v>
      </c>
      <c r="E111" s="232">
        <v>0</v>
      </c>
      <c r="F111" s="232">
        <v>0</v>
      </c>
      <c r="G111" s="232">
        <v>0</v>
      </c>
      <c r="H111" s="232">
        <v>0</v>
      </c>
      <c r="I111" s="232">
        <v>0</v>
      </c>
      <c r="J111" s="233">
        <f t="shared" ref="J111:J174" si="4">I111*1000</f>
        <v>0</v>
      </c>
      <c r="P111">
        <v>0</v>
      </c>
    </row>
    <row r="112" spans="2:16" x14ac:dyDescent="0.25">
      <c r="B112" s="31">
        <v>3</v>
      </c>
      <c r="C112" s="232">
        <f>SUM($P$110:P112)</f>
        <v>3.3240872442874811E-2</v>
      </c>
      <c r="D112" s="232">
        <v>0.7603949321523521</v>
      </c>
      <c r="E112" s="232">
        <v>254.72320688504644</v>
      </c>
      <c r="F112" s="232">
        <v>6.5959631127484029</v>
      </c>
      <c r="G112" s="232">
        <v>1.2033093722495699E-40</v>
      </c>
      <c r="H112" s="232">
        <v>57.519519538476466</v>
      </c>
      <c r="I112" s="232">
        <v>0.63775984413185793</v>
      </c>
      <c r="J112" s="233">
        <f t="shared" si="4"/>
        <v>637.7598441318579</v>
      </c>
      <c r="P112">
        <v>3.3240872442874811E-2</v>
      </c>
    </row>
    <row r="113" spans="2:16" x14ac:dyDescent="0.25">
      <c r="B113" s="31">
        <v>4</v>
      </c>
      <c r="C113" s="232">
        <f>SUM($P$110:P113)</f>
        <v>0.15325606773646264</v>
      </c>
      <c r="D113" s="232">
        <v>2.7263255527581451</v>
      </c>
      <c r="E113" s="232">
        <v>2689.3464474764942</v>
      </c>
      <c r="F113" s="232">
        <v>69.639630333961833</v>
      </c>
      <c r="G113" s="232">
        <v>1.1216989471413179E-7</v>
      </c>
      <c r="H113" s="232">
        <v>739.42179973670238</v>
      </c>
      <c r="I113" s="232">
        <v>6.8655509213781807</v>
      </c>
      <c r="J113" s="233">
        <f t="shared" si="4"/>
        <v>6865.5509213781806</v>
      </c>
      <c r="P113">
        <v>0.12001519529358783</v>
      </c>
    </row>
    <row r="114" spans="2:16" x14ac:dyDescent="0.25">
      <c r="B114" s="31">
        <v>5</v>
      </c>
      <c r="C114" s="232">
        <f>SUM($P$110:P114)</f>
        <v>0.77081548392948873</v>
      </c>
      <c r="D114" s="232">
        <v>13.128537172449432</v>
      </c>
      <c r="E114" s="232">
        <v>50125.974139423422</v>
      </c>
      <c r="F114" s="232">
        <v>1297.9935376026658</v>
      </c>
      <c r="G114" s="232">
        <v>47461.537713911668</v>
      </c>
      <c r="H114" s="232">
        <v>17146.263697960851</v>
      </c>
      <c r="I114" s="232">
        <v>178.79100388052018</v>
      </c>
      <c r="J114" s="233">
        <f t="shared" si="4"/>
        <v>178791.00388052018</v>
      </c>
      <c r="P114">
        <v>0.61755941619302612</v>
      </c>
    </row>
    <row r="115" spans="2:16" x14ac:dyDescent="0.25">
      <c r="B115" s="31">
        <v>6</v>
      </c>
      <c r="C115" s="232">
        <f>SUM($P$110:P115)</f>
        <v>1.2829692961640395</v>
      </c>
      <c r="D115" s="232">
        <v>11.08080386648504</v>
      </c>
      <c r="E115" s="232">
        <v>36519.267924864296</v>
      </c>
      <c r="F115" s="232">
        <v>945.65291903570824</v>
      </c>
      <c r="G115" s="232">
        <v>11826.847227860277</v>
      </c>
      <c r="H115" s="232">
        <v>12214.603050381247</v>
      </c>
      <c r="I115" s="232">
        <v>107.22959844017437</v>
      </c>
      <c r="J115" s="233">
        <f t="shared" si="4"/>
        <v>107229.59844017438</v>
      </c>
      <c r="P115">
        <v>0.51215381223455092</v>
      </c>
    </row>
    <row r="116" spans="2:16" x14ac:dyDescent="0.25">
      <c r="B116" s="31">
        <v>7</v>
      </c>
      <c r="C116" s="232">
        <f>SUM($P$110:P116)</f>
        <v>1.6555438563780682</v>
      </c>
      <c r="D116" s="232">
        <v>8.2275805861720315</v>
      </c>
      <c r="E116" s="232">
        <v>20956.084480908125</v>
      </c>
      <c r="F116" s="232">
        <v>542.65004713955568</v>
      </c>
      <c r="G116" s="232">
        <v>478.54197766604057</v>
      </c>
      <c r="H116" s="232">
        <v>6734.124041138346</v>
      </c>
      <c r="I116" s="232">
        <v>54.949051761215046</v>
      </c>
      <c r="J116" s="233">
        <f t="shared" si="4"/>
        <v>54949.051761215043</v>
      </c>
      <c r="P116">
        <v>0.37257456021402879</v>
      </c>
    </row>
    <row r="117" spans="2:16" x14ac:dyDescent="0.25">
      <c r="B117" s="31">
        <v>8</v>
      </c>
      <c r="C117" s="232">
        <f>SUM($P$110:P117)</f>
        <v>2.1387241213034058</v>
      </c>
      <c r="D117" s="232">
        <v>10.501270851698022</v>
      </c>
      <c r="E117" s="232">
        <v>33035.024676035013</v>
      </c>
      <c r="F117" s="232">
        <v>855.42973039827837</v>
      </c>
      <c r="G117" s="232">
        <v>7051.0713612440222</v>
      </c>
      <c r="H117" s="232">
        <v>10970.351484829907</v>
      </c>
      <c r="I117" s="232">
        <v>93.272726704003603</v>
      </c>
      <c r="J117" s="233">
        <f t="shared" si="4"/>
        <v>93272.726704003609</v>
      </c>
      <c r="P117">
        <v>0.4831802649253375</v>
      </c>
    </row>
    <row r="118" spans="2:16" x14ac:dyDescent="0.25">
      <c r="B118" s="31">
        <v>9</v>
      </c>
      <c r="C118" s="232">
        <f>SUM($P$110:P118)</f>
        <v>2.537231869899057</v>
      </c>
      <c r="D118" s="232">
        <v>8.7690633644716662</v>
      </c>
      <c r="E118" s="232">
        <v>23600.473650216009</v>
      </c>
      <c r="F118" s="232">
        <v>611.12552540399861</v>
      </c>
      <c r="G118" s="232">
        <v>1007.3018814272219</v>
      </c>
      <c r="H118" s="232">
        <v>7649.6794815423182</v>
      </c>
      <c r="I118" s="232">
        <v>62.417086925470549</v>
      </c>
      <c r="J118" s="233">
        <f t="shared" si="4"/>
        <v>62417.086925470547</v>
      </c>
      <c r="P118">
        <v>0.39850774859565136</v>
      </c>
    </row>
    <row r="119" spans="2:16" x14ac:dyDescent="0.25">
      <c r="B119" s="31">
        <v>10</v>
      </c>
      <c r="C119" s="232">
        <f>SUM($P$110:P119)</f>
        <v>2.9428648760618876</v>
      </c>
      <c r="D119" s="232">
        <v>8.9169652526120178</v>
      </c>
      <c r="E119" s="232">
        <v>24348.18959069785</v>
      </c>
      <c r="F119" s="232">
        <v>630.48735278731158</v>
      </c>
      <c r="G119" s="232">
        <v>1219.403766941628</v>
      </c>
      <c r="H119" s="232">
        <v>7909.8995962373683</v>
      </c>
      <c r="I119" s="232">
        <v>64.592649652405854</v>
      </c>
      <c r="J119" s="233">
        <f t="shared" si="4"/>
        <v>64592.649652405853</v>
      </c>
      <c r="P119">
        <v>0.40563300616283049</v>
      </c>
    </row>
    <row r="120" spans="2:16" x14ac:dyDescent="0.25">
      <c r="B120" s="31">
        <v>11</v>
      </c>
      <c r="C120" s="232">
        <f>SUM($P$110:P120)</f>
        <v>3.3685601299794357</v>
      </c>
      <c r="D120" s="232">
        <v>9.3313417462222716</v>
      </c>
      <c r="E120" s="232">
        <v>26500.863114786967</v>
      </c>
      <c r="F120" s="232">
        <v>686.23003651180534</v>
      </c>
      <c r="G120" s="232">
        <v>2029.8437908818717</v>
      </c>
      <c r="H120" s="232">
        <v>8662.1362861228845</v>
      </c>
      <c r="I120" s="232">
        <v>71.058954895550272</v>
      </c>
      <c r="J120" s="233">
        <f t="shared" si="4"/>
        <v>71058.954895550269</v>
      </c>
      <c r="P120">
        <v>0.4256952539175482</v>
      </c>
    </row>
    <row r="121" spans="2:16" x14ac:dyDescent="0.25">
      <c r="B121" s="31">
        <v>12</v>
      </c>
      <c r="C121" s="232">
        <f>SUM($P$110:P121)</f>
        <v>3.899418620510124</v>
      </c>
      <c r="D121" s="232">
        <v>11.451211009664293</v>
      </c>
      <c r="E121" s="232">
        <v>38831.425773218238</v>
      </c>
      <c r="F121" s="232">
        <v>1005.5253902765279</v>
      </c>
      <c r="G121" s="232">
        <v>15945.511831042757</v>
      </c>
      <c r="H121" s="232">
        <v>13044.867045425872</v>
      </c>
      <c r="I121" s="232">
        <v>117.44544887424927</v>
      </c>
      <c r="J121" s="233">
        <f t="shared" si="4"/>
        <v>117445.44887424927</v>
      </c>
      <c r="P121">
        <v>0.53085849053068845</v>
      </c>
    </row>
    <row r="122" spans="2:16" x14ac:dyDescent="0.25">
      <c r="B122" s="31">
        <v>13</v>
      </c>
      <c r="C122" s="232">
        <f>SUM($P$110:P122)</f>
        <v>4.3041592141236826</v>
      </c>
      <c r="D122" s="232">
        <v>8.8984619570504009</v>
      </c>
      <c r="E122" s="232">
        <v>24254.051334248037</v>
      </c>
      <c r="F122" s="232">
        <v>628.04967749798607</v>
      </c>
      <c r="G122" s="232">
        <v>1190.92111712211</v>
      </c>
      <c r="H122" s="232">
        <v>7877.1065206997555</v>
      </c>
      <c r="I122" s="232">
        <v>64.31693405269624</v>
      </c>
      <c r="J122" s="233">
        <f t="shared" si="4"/>
        <v>64316.934052696241</v>
      </c>
      <c r="P122">
        <v>0.40474059361355885</v>
      </c>
    </row>
    <row r="123" spans="2:16" x14ac:dyDescent="0.25">
      <c r="B123" s="31">
        <v>14</v>
      </c>
      <c r="C123" s="232">
        <f>SUM($P$110:P123)</f>
        <v>4.6827225996662305</v>
      </c>
      <c r="D123" s="232">
        <v>8.3530645464692359</v>
      </c>
      <c r="E123" s="232">
        <v>21555.849397613598</v>
      </c>
      <c r="F123" s="232">
        <v>558.1807375516596</v>
      </c>
      <c r="G123" s="232">
        <v>572.40048651556401</v>
      </c>
      <c r="H123" s="232">
        <v>6941.1031264261301</v>
      </c>
      <c r="I123" s="232">
        <v>56.616108767413849</v>
      </c>
      <c r="J123" s="233">
        <f t="shared" si="4"/>
        <v>56616.108767413847</v>
      </c>
      <c r="P123">
        <v>0.37856338554254793</v>
      </c>
    </row>
    <row r="124" spans="2:16" x14ac:dyDescent="0.25">
      <c r="B124" s="31">
        <v>15</v>
      </c>
      <c r="C124" s="232">
        <f>SUM($P$110:P124)</f>
        <v>5.2276762325504622</v>
      </c>
      <c r="D124" s="232">
        <v>11.728369879317986</v>
      </c>
      <c r="E124" s="232">
        <v>40604.784913897667</v>
      </c>
      <c r="F124" s="232">
        <v>1051.4458685109882</v>
      </c>
      <c r="G124" s="232">
        <v>19641.703455925923</v>
      </c>
      <c r="H124" s="232">
        <v>13683.970526270103</v>
      </c>
      <c r="I124" s="232">
        <v>125.82032284674571</v>
      </c>
      <c r="J124" s="233">
        <f t="shared" si="4"/>
        <v>125820.32284674571</v>
      </c>
      <c r="P124">
        <v>0.54495363288423171</v>
      </c>
    </row>
    <row r="125" spans="2:16" x14ac:dyDescent="0.25">
      <c r="B125" s="31">
        <v>16</v>
      </c>
      <c r="C125" s="232">
        <f>SUM($P$110:P125)</f>
        <v>5.7697389950724043</v>
      </c>
      <c r="D125" s="232">
        <v>11.671664313761051</v>
      </c>
      <c r="E125" s="232">
        <v>40238.954807283772</v>
      </c>
      <c r="F125" s="232">
        <v>1041.9728333750613</v>
      </c>
      <c r="G125" s="232">
        <v>18840.592331433389</v>
      </c>
      <c r="H125" s="232">
        <v>13551.968985483132</v>
      </c>
      <c r="I125" s="232">
        <v>124.05387668820711</v>
      </c>
      <c r="J125" s="233">
        <f t="shared" si="4"/>
        <v>124053.87668820711</v>
      </c>
      <c r="P125">
        <v>0.5420627625219423</v>
      </c>
    </row>
    <row r="126" spans="2:16" x14ac:dyDescent="0.25">
      <c r="B126" s="31">
        <v>17</v>
      </c>
      <c r="C126" s="232">
        <f>SUM($P$110:P126)</f>
        <v>6.1124635239067393</v>
      </c>
      <c r="D126" s="232">
        <v>7.5983025326119762</v>
      </c>
      <c r="E126" s="232">
        <v>18067.792785294951</v>
      </c>
      <c r="F126" s="232">
        <v>467.85880327884405</v>
      </c>
      <c r="G126" s="232">
        <v>181.50797026695469</v>
      </c>
      <c r="H126" s="232">
        <v>5743.4121813981501</v>
      </c>
      <c r="I126" s="232">
        <v>47.081994446653262</v>
      </c>
      <c r="J126" s="233">
        <f t="shared" si="4"/>
        <v>47081.994446653262</v>
      </c>
      <c r="P126">
        <v>0.34272452883433513</v>
      </c>
    </row>
    <row r="127" spans="2:16" x14ac:dyDescent="0.25">
      <c r="B127" s="31">
        <v>18</v>
      </c>
      <c r="C127" s="232">
        <f>SUM($P$110:P127)</f>
        <v>6.5887690653758648</v>
      </c>
      <c r="D127" s="232">
        <v>10.362748489791789</v>
      </c>
      <c r="E127" s="232">
        <v>32226.390853956174</v>
      </c>
      <c r="F127" s="232">
        <v>834.49045703022671</v>
      </c>
      <c r="G127" s="232">
        <v>6172.5461056048453</v>
      </c>
      <c r="H127" s="232">
        <v>10682.8403380695</v>
      </c>
      <c r="I127" s="232">
        <v>90.264683218158524</v>
      </c>
      <c r="J127" s="233">
        <f t="shared" si="4"/>
        <v>90264.68321815852</v>
      </c>
      <c r="P127">
        <v>0.47630554146912579</v>
      </c>
    </row>
    <row r="128" spans="2:16" x14ac:dyDescent="0.25">
      <c r="B128" s="31">
        <v>19</v>
      </c>
      <c r="C128" s="232">
        <f>SUM($P$110:P128)</f>
        <v>6.9788020198985006</v>
      </c>
      <c r="D128" s="232">
        <v>8.5926552349140781</v>
      </c>
      <c r="E128" s="232">
        <v>22722.884459417219</v>
      </c>
      <c r="F128" s="232">
        <v>588.40067829861562</v>
      </c>
      <c r="G128" s="232">
        <v>796.71401311997647</v>
      </c>
      <c r="H128" s="232">
        <v>7344.9965466735048</v>
      </c>
      <c r="I128" s="232">
        <v>59.902733890424919</v>
      </c>
      <c r="J128" s="233">
        <f t="shared" si="4"/>
        <v>59902.733890424919</v>
      </c>
      <c r="P128">
        <v>0.39003295452263603</v>
      </c>
    </row>
    <row r="129" spans="2:16" x14ac:dyDescent="0.25">
      <c r="B129" s="31">
        <v>20</v>
      </c>
      <c r="C129" s="232">
        <f>SUM($P$110:P129)</f>
        <v>7.3768880726242978</v>
      </c>
      <c r="D129" s="232">
        <v>8.7602981366534749</v>
      </c>
      <c r="E129" s="232">
        <v>23556.50269156399</v>
      </c>
      <c r="F129" s="232">
        <v>609.98691371310622</v>
      </c>
      <c r="G129" s="232">
        <v>995.80280915909054</v>
      </c>
      <c r="H129" s="232">
        <v>7634.3944574345842</v>
      </c>
      <c r="I129" s="232">
        <v>62.29014028939941</v>
      </c>
      <c r="J129" s="233">
        <f t="shared" si="4"/>
        <v>62290.140289399409</v>
      </c>
      <c r="P129">
        <v>0.3980860527257975</v>
      </c>
    </row>
    <row r="130" spans="2:16" x14ac:dyDescent="0.25">
      <c r="B130" s="31">
        <v>21</v>
      </c>
      <c r="C130" s="232">
        <f>SUM($P$110:P130)</f>
        <v>7.7825636412838284</v>
      </c>
      <c r="D130" s="232">
        <v>8.9178475942950381</v>
      </c>
      <c r="E130" s="232">
        <v>24352.682883202913</v>
      </c>
      <c r="F130" s="232">
        <v>630.6037049327665</v>
      </c>
      <c r="G130" s="232">
        <v>1220.7765280868671</v>
      </c>
      <c r="H130" s="232">
        <v>7911.465056957526</v>
      </c>
      <c r="I130" s="232">
        <v>64.605823256957876</v>
      </c>
      <c r="J130" s="233">
        <f t="shared" si="4"/>
        <v>64605.823256957876</v>
      </c>
      <c r="P130">
        <v>0.40567556865953053</v>
      </c>
    </row>
    <row r="131" spans="2:16" x14ac:dyDescent="0.25">
      <c r="B131" s="31">
        <v>22</v>
      </c>
      <c r="C131" s="232">
        <f>SUM($P$110:P131)</f>
        <v>8.2967242253323548</v>
      </c>
      <c r="D131" s="232">
        <v>11.120685078440768</v>
      </c>
      <c r="E131" s="232">
        <v>36765.029517669187</v>
      </c>
      <c r="F131" s="232">
        <v>952.01682447053167</v>
      </c>
      <c r="G131" s="232">
        <v>12227.594264566549</v>
      </c>
      <c r="H131" s="232">
        <v>12302.685071501823</v>
      </c>
      <c r="I131" s="232">
        <v>108.27825393912345</v>
      </c>
      <c r="J131" s="233">
        <f t="shared" si="4"/>
        <v>108278.25393912345</v>
      </c>
      <c r="P131">
        <v>0.51416058404852727</v>
      </c>
    </row>
    <row r="132" spans="2:16" x14ac:dyDescent="0.25">
      <c r="B132" s="31">
        <v>23</v>
      </c>
      <c r="C132" s="232">
        <f>SUM($P$110:P132)</f>
        <v>8.6798866346641042</v>
      </c>
      <c r="D132" s="232">
        <v>8.4492506203261026</v>
      </c>
      <c r="E132" s="232">
        <v>22020.919897060579</v>
      </c>
      <c r="F132" s="232">
        <v>570.22356590912477</v>
      </c>
      <c r="G132" s="232">
        <v>654.79211648166017</v>
      </c>
      <c r="H132" s="232">
        <v>7101.8779889451343</v>
      </c>
      <c r="I132" s="232">
        <v>57.91867091080131</v>
      </c>
      <c r="J132" s="233">
        <f t="shared" si="4"/>
        <v>57918.670910801309</v>
      </c>
      <c r="P132">
        <v>0.38316240933174994</v>
      </c>
    </row>
    <row r="133" spans="2:16" x14ac:dyDescent="0.25">
      <c r="B133" s="31">
        <v>24</v>
      </c>
      <c r="C133" s="232">
        <f>SUM($P$110:P133)</f>
        <v>9.0892466118167814</v>
      </c>
      <c r="D133" s="232">
        <v>8.9941754354996419</v>
      </c>
      <c r="E133" s="232">
        <v>24742.84276077403</v>
      </c>
      <c r="F133" s="232">
        <v>640.70675047778775</v>
      </c>
      <c r="G133" s="232">
        <v>1344.6860556629308</v>
      </c>
      <c r="H133" s="232">
        <v>8047.4730526251742</v>
      </c>
      <c r="I133" s="232">
        <v>65.754495663486907</v>
      </c>
      <c r="J133" s="233">
        <f t="shared" si="4"/>
        <v>65754.495663486901</v>
      </c>
      <c r="P133">
        <v>0.40935997715267769</v>
      </c>
    </row>
    <row r="134" spans="2:16" x14ac:dyDescent="0.25">
      <c r="B134" s="31">
        <v>25</v>
      </c>
      <c r="C134" s="232">
        <f>SUM($P$110:P134)</f>
        <v>9.6202016436279489</v>
      </c>
      <c r="D134" s="232">
        <v>11.453115119317845</v>
      </c>
      <c r="E134" s="232">
        <v>38843.482718296626</v>
      </c>
      <c r="F134" s="232">
        <v>1005.8376004043841</v>
      </c>
      <c r="G134" s="232">
        <v>15969.054140760991</v>
      </c>
      <c r="H134" s="232">
        <v>13049.205612299647</v>
      </c>
      <c r="I134" s="232">
        <v>117.50079456573364</v>
      </c>
      <c r="J134" s="233">
        <f t="shared" si="4"/>
        <v>117500.79456573364</v>
      </c>
      <c r="P134">
        <v>0.5309550318111681</v>
      </c>
    </row>
    <row r="135" spans="2:16" x14ac:dyDescent="0.25">
      <c r="B135" s="31">
        <v>26</v>
      </c>
      <c r="C135" s="232">
        <f>SUM($P$110:P135)</f>
        <v>10.105766718205381</v>
      </c>
      <c r="D135" s="232">
        <v>10.549233576045467</v>
      </c>
      <c r="E135" s="232">
        <v>33317.189430922539</v>
      </c>
      <c r="F135" s="232">
        <v>862.73628223434946</v>
      </c>
      <c r="G135" s="232">
        <v>7377.1401729670388</v>
      </c>
      <c r="H135" s="232">
        <v>11070.790668219974</v>
      </c>
      <c r="I135" s="232">
        <v>94.341984808016804</v>
      </c>
      <c r="J135" s="233">
        <f t="shared" si="4"/>
        <v>94341.984808016801</v>
      </c>
      <c r="P135">
        <v>0.48556507457743114</v>
      </c>
    </row>
    <row r="136" spans="2:16" x14ac:dyDescent="0.25">
      <c r="B136" s="31">
        <v>27</v>
      </c>
      <c r="C136" s="232">
        <f>SUM($P$110:P136)</f>
        <v>10.470359675022205</v>
      </c>
      <c r="D136" s="232">
        <v>8.0599389468554907</v>
      </c>
      <c r="E136" s="232">
        <v>20167.148459973643</v>
      </c>
      <c r="F136" s="232">
        <v>522.22084103761313</v>
      </c>
      <c r="G136" s="232">
        <v>374.15217450042729</v>
      </c>
      <c r="H136" s="232">
        <v>6462.4965822166041</v>
      </c>
      <c r="I136" s="232">
        <v>52.775897526535232</v>
      </c>
      <c r="J136" s="233">
        <f t="shared" si="4"/>
        <v>52775.897526535235</v>
      </c>
      <c r="P136">
        <v>0.3645929568168253</v>
      </c>
    </row>
    <row r="137" spans="2:16" x14ac:dyDescent="0.25">
      <c r="B137" s="31">
        <v>28</v>
      </c>
      <c r="C137" s="232">
        <f>SUM($P$110:P137)</f>
        <v>10.848771186899368</v>
      </c>
      <c r="D137" s="232">
        <v>8.3498855572536677</v>
      </c>
      <c r="E137" s="232">
        <v>21540.55766544188</v>
      </c>
      <c r="F137" s="232">
        <v>557.78476380993368</v>
      </c>
      <c r="G137" s="232">
        <v>569.83877781601529</v>
      </c>
      <c r="H137" s="232">
        <v>6935.8208751023603</v>
      </c>
      <c r="I137" s="232">
        <v>56.573431390571471</v>
      </c>
      <c r="J137" s="233">
        <f t="shared" si="4"/>
        <v>56573.431390571473</v>
      </c>
      <c r="P137">
        <v>0.3784115118771621</v>
      </c>
    </row>
    <row r="138" spans="2:16" x14ac:dyDescent="0.25">
      <c r="B138" s="31">
        <v>29</v>
      </c>
      <c r="C138" s="232">
        <f>SUM($P$110:P138)</f>
        <v>11.320815675800075</v>
      </c>
      <c r="D138" s="232">
        <v>10.276697684372779</v>
      </c>
      <c r="E138" s="232">
        <v>31728.776209451989</v>
      </c>
      <c r="F138" s="232">
        <v>821.60491008830934</v>
      </c>
      <c r="G138" s="232">
        <v>5672.0817847867729</v>
      </c>
      <c r="H138" s="232">
        <v>10506.159357308741</v>
      </c>
      <c r="I138" s="232">
        <v>88.454009148704884</v>
      </c>
      <c r="J138" s="233">
        <f t="shared" si="4"/>
        <v>88454.009148704878</v>
      </c>
      <c r="P138">
        <v>0.47204448890070766</v>
      </c>
    </row>
    <row r="139" spans="2:16" x14ac:dyDescent="0.25">
      <c r="B139" s="31">
        <v>30</v>
      </c>
      <c r="C139" s="232">
        <f>SUM($P$110:P139)</f>
        <v>11.743680377628371</v>
      </c>
      <c r="D139" s="232">
        <v>9.2730642568285031</v>
      </c>
      <c r="E139" s="232">
        <v>26192.976687368926</v>
      </c>
      <c r="F139" s="232">
        <v>678.2574314908511</v>
      </c>
      <c r="G139" s="232">
        <v>1893.6997011926885</v>
      </c>
      <c r="H139" s="232">
        <v>8554.2780124789042</v>
      </c>
      <c r="I139" s="232">
        <v>70.1136103860986</v>
      </c>
      <c r="J139" s="233">
        <f t="shared" si="4"/>
        <v>70113.610386098604</v>
      </c>
      <c r="P139">
        <v>0.42286470182829561</v>
      </c>
    </row>
    <row r="140" spans="2:16" x14ac:dyDescent="0.25">
      <c r="B140" s="31">
        <v>31</v>
      </c>
      <c r="C140" s="232">
        <f>SUM($P$110:P140)</f>
        <v>12.140903066861974</v>
      </c>
      <c r="D140" s="232">
        <v>8.74234841522828</v>
      </c>
      <c r="E140" s="232">
        <v>23466.576874329337</v>
      </c>
      <c r="F140" s="232">
        <v>607.65831797729959</v>
      </c>
      <c r="G140" s="232">
        <v>972.6087179999638</v>
      </c>
      <c r="H140" s="232">
        <v>7603.1409863721592</v>
      </c>
      <c r="I140" s="232">
        <v>62.030848472821766</v>
      </c>
      <c r="J140" s="233">
        <f t="shared" si="4"/>
        <v>62030.848472821766</v>
      </c>
      <c r="P140">
        <v>0.39722268923360227</v>
      </c>
    </row>
    <row r="141" spans="2:16" x14ac:dyDescent="0.25">
      <c r="B141" s="31">
        <v>32</v>
      </c>
      <c r="C141" s="232">
        <f>SUM($P$110:P141)</f>
        <v>12.542257090483968</v>
      </c>
      <c r="D141" s="232">
        <v>8.8281903124362717</v>
      </c>
      <c r="E141" s="232">
        <v>23898.08406237587</v>
      </c>
      <c r="F141" s="232">
        <v>618.83203681527414</v>
      </c>
      <c r="G141" s="232">
        <v>1087.9150873670351</v>
      </c>
      <c r="H141" s="232">
        <v>7753.1858756126621</v>
      </c>
      <c r="I141" s="232">
        <v>63.279140681012663</v>
      </c>
      <c r="J141" s="233">
        <f t="shared" si="4"/>
        <v>63279.140681012665</v>
      </c>
      <c r="P141">
        <v>0.40135402362199413</v>
      </c>
    </row>
    <row r="142" spans="2:16" x14ac:dyDescent="0.25">
      <c r="B142" s="31">
        <v>33</v>
      </c>
      <c r="C142" s="232">
        <f>SUM($P$110:P142)</f>
        <v>13.019715512532253</v>
      </c>
      <c r="D142" s="232">
        <v>10.386005306288601</v>
      </c>
      <c r="E142" s="232">
        <v>32361.500630948987</v>
      </c>
      <c r="F142" s="232">
        <v>837.9890746713686</v>
      </c>
      <c r="G142" s="232">
        <v>6313.6508303761839</v>
      </c>
      <c r="H142" s="232">
        <v>10730.844523627418</v>
      </c>
      <c r="I142" s="232">
        <v>90.761562047910246</v>
      </c>
      <c r="J142" s="233">
        <f t="shared" si="4"/>
        <v>90761.562047910251</v>
      </c>
      <c r="P142">
        <v>0.47745842204828531</v>
      </c>
    </row>
    <row r="143" spans="2:16" x14ac:dyDescent="0.25">
      <c r="B143" s="31">
        <v>34</v>
      </c>
      <c r="C143" s="232">
        <f>SUM($P$110:P143)</f>
        <v>13.430661941754007</v>
      </c>
      <c r="D143" s="232">
        <v>9.0270094870218944</v>
      </c>
      <c r="E143" s="232">
        <v>24911.567804814345</v>
      </c>
      <c r="F143" s="232">
        <v>645.07582301066066</v>
      </c>
      <c r="G143" s="232">
        <v>1401.2285657319012</v>
      </c>
      <c r="H143" s="232">
        <v>8106.3363573466704</v>
      </c>
      <c r="I143" s="232">
        <v>66.254244450078787</v>
      </c>
      <c r="J143" s="233">
        <f t="shared" si="4"/>
        <v>66254.244450078782</v>
      </c>
      <c r="P143">
        <v>0.41094642922175384</v>
      </c>
    </row>
    <row r="144" spans="2:16" x14ac:dyDescent="0.25">
      <c r="B144" s="31">
        <v>35</v>
      </c>
      <c r="C144" s="232">
        <f>SUM($P$110:P144)</f>
        <v>13.844581461547966</v>
      </c>
      <c r="D144" s="232">
        <v>9.0884907635704639</v>
      </c>
      <c r="E144" s="232">
        <v>25228.940811902539</v>
      </c>
      <c r="F144" s="232">
        <v>653.29407949908693</v>
      </c>
      <c r="G144" s="232">
        <v>1512.6114617102626</v>
      </c>
      <c r="H144" s="232">
        <v>8217.1338748639391</v>
      </c>
      <c r="I144" s="232">
        <v>67.199376725330509</v>
      </c>
      <c r="J144" s="233">
        <f t="shared" si="4"/>
        <v>67199.376725330512</v>
      </c>
      <c r="P144">
        <v>0.41391951979395908</v>
      </c>
    </row>
    <row r="145" spans="2:16" x14ac:dyDescent="0.25">
      <c r="B145" s="31">
        <v>36</v>
      </c>
      <c r="C145" s="232">
        <f>SUM($P$110:P145)</f>
        <v>14.244759814808882</v>
      </c>
      <c r="D145" s="232">
        <v>8.8037749310214473</v>
      </c>
      <c r="E145" s="232">
        <v>23774.980517160191</v>
      </c>
      <c r="F145" s="232">
        <v>615.64431609983262</v>
      </c>
      <c r="G145" s="232">
        <v>1053.9758330008001</v>
      </c>
      <c r="H145" s="232">
        <v>7710.3605122522968</v>
      </c>
      <c r="I145" s="232">
        <v>62.921955437666448</v>
      </c>
      <c r="J145" s="233">
        <f t="shared" si="4"/>
        <v>62921.955437666446</v>
      </c>
      <c r="P145">
        <v>0.40017835326091628</v>
      </c>
    </row>
    <row r="146" spans="2:16" x14ac:dyDescent="0.25">
      <c r="B146" s="31">
        <v>37</v>
      </c>
      <c r="C146" s="232">
        <f>SUM($P$110:P146)</f>
        <v>14.862382973213368</v>
      </c>
      <c r="D146" s="232">
        <v>13.12974574153432</v>
      </c>
      <c r="E146" s="232">
        <v>50134.595886032119</v>
      </c>
      <c r="F146" s="232">
        <v>1298.2167945382782</v>
      </c>
      <c r="G146" s="232">
        <v>47492.594379491107</v>
      </c>
      <c r="H146" s="232">
        <v>17149.420698283709</v>
      </c>
      <c r="I146" s="232">
        <v>178.84485723733235</v>
      </c>
      <c r="J146" s="233">
        <f t="shared" si="4"/>
        <v>178844.85723733235</v>
      </c>
      <c r="P146">
        <v>0.61762315840448545</v>
      </c>
    </row>
    <row r="147" spans="2:16" x14ac:dyDescent="0.25">
      <c r="B147" s="31">
        <v>38</v>
      </c>
      <c r="C147" s="232">
        <f>SUM($P$110:P147)</f>
        <v>15.397689420344246</v>
      </c>
      <c r="D147" s="232">
        <v>11.538856737355102</v>
      </c>
      <c r="E147" s="232">
        <v>39388.215014825517</v>
      </c>
      <c r="F147" s="232">
        <v>1019.9432414967908</v>
      </c>
      <c r="G147" s="232">
        <v>17055.305709046297</v>
      </c>
      <c r="H147" s="232">
        <v>13245.317859552812</v>
      </c>
      <c r="I147" s="232">
        <v>120.0240176198929</v>
      </c>
      <c r="J147" s="233">
        <f t="shared" si="4"/>
        <v>120024.0176198929</v>
      </c>
      <c r="P147">
        <v>0.53530644713087894</v>
      </c>
    </row>
    <row r="148" spans="2:16" x14ac:dyDescent="0.25">
      <c r="B148" s="31">
        <v>39</v>
      </c>
      <c r="C148" s="232">
        <f>SUM($P$110:P148)</f>
        <v>15.829145972892729</v>
      </c>
      <c r="D148" s="232">
        <v>9.4497687562682469</v>
      </c>
      <c r="E148" s="232">
        <v>27131.693844316185</v>
      </c>
      <c r="F148" s="232">
        <v>702.56516464263439</v>
      </c>
      <c r="G148" s="232">
        <v>2332.2227443517877</v>
      </c>
      <c r="H148" s="232">
        <v>8883.3993158765152</v>
      </c>
      <c r="I148" s="232">
        <v>73.01958187806639</v>
      </c>
      <c r="J148" s="233">
        <f t="shared" si="4"/>
        <v>73019.581878066383</v>
      </c>
      <c r="P148">
        <v>0.4314565525484822</v>
      </c>
    </row>
    <row r="149" spans="2:16" x14ac:dyDescent="0.25">
      <c r="B149" s="31">
        <v>40</v>
      </c>
      <c r="C149" s="232">
        <f>SUM($P$110:P149)</f>
        <v>16.353075363160396</v>
      </c>
      <c r="D149" s="232">
        <v>11.314339600389141</v>
      </c>
      <c r="E149" s="232">
        <v>37969.327777122795</v>
      </c>
      <c r="F149" s="232">
        <v>983.20168192126209</v>
      </c>
      <c r="G149" s="232">
        <v>14318.093324543377</v>
      </c>
      <c r="H149" s="232">
        <v>12734.891295162824</v>
      </c>
      <c r="I149" s="232">
        <v>113.54426016309516</v>
      </c>
      <c r="J149" s="233">
        <f t="shared" si="4"/>
        <v>113544.26016309515</v>
      </c>
      <c r="P149">
        <v>0.5239293902676686</v>
      </c>
    </row>
    <row r="150" spans="2:16" x14ac:dyDescent="0.25">
      <c r="B150" s="31">
        <v>41</v>
      </c>
      <c r="C150" s="232">
        <f>SUM($P$110:P150)</f>
        <v>16.793263903869153</v>
      </c>
      <c r="D150" s="232">
        <v>9.6287691035793408</v>
      </c>
      <c r="E150" s="232">
        <v>28098.310844925374</v>
      </c>
      <c r="F150" s="232">
        <v>727.59535391412464</v>
      </c>
      <c r="G150" s="232">
        <v>2860.844393786228</v>
      </c>
      <c r="H150" s="232">
        <v>9223.1307904078967</v>
      </c>
      <c r="I150" s="232">
        <v>76.089815894824497</v>
      </c>
      <c r="J150" s="233">
        <f t="shared" si="4"/>
        <v>76089.815894824496</v>
      </c>
      <c r="P150">
        <v>0.44018854070875563</v>
      </c>
    </row>
    <row r="151" spans="2:16" x14ac:dyDescent="0.25">
      <c r="B151" s="31">
        <v>42</v>
      </c>
      <c r="C151" s="232">
        <f>SUM($P$110:P151)</f>
        <v>17.209776384093111</v>
      </c>
      <c r="D151" s="232">
        <v>9.1420563843099991</v>
      </c>
      <c r="E151" s="232">
        <v>25506.979442621621</v>
      </c>
      <c r="F151" s="232">
        <v>660.4937868778095</v>
      </c>
      <c r="G151" s="232">
        <v>1615.7598226408409</v>
      </c>
      <c r="H151" s="232">
        <v>8314.279370302067</v>
      </c>
      <c r="I151" s="232">
        <v>68.033021689793372</v>
      </c>
      <c r="J151" s="233">
        <f t="shared" si="4"/>
        <v>68033.021689793371</v>
      </c>
      <c r="P151">
        <v>0.41651248022395748</v>
      </c>
    </row>
    <row r="152" spans="2:16" x14ac:dyDescent="0.25">
      <c r="B152" s="31">
        <v>43</v>
      </c>
      <c r="C152" s="232">
        <f>SUM($P$110:P152)</f>
        <v>17.640298809465413</v>
      </c>
      <c r="D152" s="232">
        <v>9.4305846355270315</v>
      </c>
      <c r="E152" s="232">
        <v>27029.035045157063</v>
      </c>
      <c r="F152" s="232">
        <v>699.90685305519355</v>
      </c>
      <c r="G152" s="232">
        <v>2280.8046351256899</v>
      </c>
      <c r="H152" s="232">
        <v>8847.3672767608623</v>
      </c>
      <c r="I152" s="232">
        <v>72.698282699340311</v>
      </c>
      <c r="J152" s="233">
        <f t="shared" si="4"/>
        <v>72698.282699340314</v>
      </c>
      <c r="P152">
        <v>0.4305224253723019</v>
      </c>
    </row>
    <row r="153" spans="2:16" x14ac:dyDescent="0.25">
      <c r="B153" s="31">
        <v>44</v>
      </c>
      <c r="C153" s="232">
        <f>SUM($P$110:P153)</f>
        <v>18.13519508120104</v>
      </c>
      <c r="D153" s="232">
        <v>10.736452035664318</v>
      </c>
      <c r="E153" s="232">
        <v>34429.30750402221</v>
      </c>
      <c r="F153" s="232">
        <v>891.53416789577125</v>
      </c>
      <c r="G153" s="232">
        <v>8763.8389159871258</v>
      </c>
      <c r="H153" s="232">
        <v>11467.226711832438</v>
      </c>
      <c r="I153" s="232">
        <v>98.658440997173685</v>
      </c>
      <c r="J153" s="233">
        <f t="shared" si="4"/>
        <v>98658.44099717369</v>
      </c>
      <c r="P153">
        <v>0.49489627173562589</v>
      </c>
    </row>
    <row r="154" spans="2:16" x14ac:dyDescent="0.25">
      <c r="B154" s="31">
        <v>45</v>
      </c>
      <c r="C154" s="232">
        <f>SUM($P$110:P154)</f>
        <v>18.580327994629187</v>
      </c>
      <c r="D154" s="232">
        <v>9.7298615054259425</v>
      </c>
      <c r="E154" s="232">
        <v>28651.188455066429</v>
      </c>
      <c r="F154" s="232">
        <v>741.91191488613151</v>
      </c>
      <c r="G154" s="232">
        <v>3201.2727991658976</v>
      </c>
      <c r="H154" s="232">
        <v>9417.8146601788376</v>
      </c>
      <c r="I154" s="232">
        <v>77.884341820940278</v>
      </c>
      <c r="J154" s="233">
        <f t="shared" si="4"/>
        <v>77884.341820940273</v>
      </c>
      <c r="P154">
        <v>0.44513291342814509</v>
      </c>
    </row>
    <row r="155" spans="2:16" x14ac:dyDescent="0.25">
      <c r="B155" s="31">
        <v>46</v>
      </c>
      <c r="C155" s="232">
        <f>SUM($P$110:P155)</f>
        <v>18.979358108762629</v>
      </c>
      <c r="D155" s="232">
        <v>8.7799192366336012</v>
      </c>
      <c r="E155" s="232">
        <v>23654.98538087431</v>
      </c>
      <c r="F155" s="232">
        <v>612.53708648251654</v>
      </c>
      <c r="G155" s="232">
        <v>1021.7028044266982</v>
      </c>
      <c r="H155" s="232">
        <v>7668.6314133957385</v>
      </c>
      <c r="I155" s="232">
        <v>62.574613406582763</v>
      </c>
      <c r="J155" s="233">
        <f t="shared" si="4"/>
        <v>62574.613406582765</v>
      </c>
      <c r="P155">
        <v>0.39903011413344175</v>
      </c>
    </row>
    <row r="156" spans="2:16" x14ac:dyDescent="0.25">
      <c r="B156" s="31">
        <v>47</v>
      </c>
      <c r="C156" s="232">
        <f>SUM($P$110:P156)</f>
        <v>19.566876757391039</v>
      </c>
      <c r="D156" s="232">
        <v>12.554881693592318</v>
      </c>
      <c r="E156" s="232">
        <v>46111.954157327818</v>
      </c>
      <c r="F156" s="232">
        <v>1194.0519766451439</v>
      </c>
      <c r="G156" s="232">
        <v>34124.413759469331</v>
      </c>
      <c r="H156" s="232">
        <v>15680.578159856492</v>
      </c>
      <c r="I156" s="232">
        <v>154.84455849465434</v>
      </c>
      <c r="J156" s="233">
        <f t="shared" si="4"/>
        <v>154844.55849465434</v>
      </c>
      <c r="P156">
        <v>0.58751864862841241</v>
      </c>
    </row>
    <row r="157" spans="2:16" x14ac:dyDescent="0.25">
      <c r="B157" s="31">
        <v>48</v>
      </c>
      <c r="C157" s="232">
        <f>SUM($P$110:P157)</f>
        <v>19.989125603683007</v>
      </c>
      <c r="D157" s="232">
        <v>9.2603764142626677</v>
      </c>
      <c r="E157" s="232">
        <v>26126.167940493138</v>
      </c>
      <c r="F157" s="232">
        <v>676.52744373123369</v>
      </c>
      <c r="G157" s="232">
        <v>1865.1122494291126</v>
      </c>
      <c r="H157" s="232">
        <v>8530.8852960887598</v>
      </c>
      <c r="I157" s="232">
        <v>69.909444912778028</v>
      </c>
      <c r="J157" s="233">
        <f t="shared" si="4"/>
        <v>69909.444912778024</v>
      </c>
      <c r="P157">
        <v>0.42224884629196829</v>
      </c>
    </row>
    <row r="158" spans="2:16" x14ac:dyDescent="0.25">
      <c r="B158" s="31">
        <v>49</v>
      </c>
      <c r="C158" s="232">
        <f>SUM($P$110:P158)</f>
        <v>20.444145030261321</v>
      </c>
      <c r="D158" s="232">
        <v>9.931423106043777</v>
      </c>
      <c r="E158" s="232">
        <v>29768.522175466143</v>
      </c>
      <c r="F158" s="232">
        <v>770.8448578029205</v>
      </c>
      <c r="G158" s="232">
        <v>3980.6331435236866</v>
      </c>
      <c r="H158" s="232">
        <v>9812.0508698316298</v>
      </c>
      <c r="I158" s="232">
        <v>81.603140630104804</v>
      </c>
      <c r="J158" s="233">
        <f t="shared" si="4"/>
        <v>81603.140630104797</v>
      </c>
      <c r="P158">
        <v>0.45501942657831385</v>
      </c>
    </row>
    <row r="159" spans="2:16" x14ac:dyDescent="0.25">
      <c r="B159" s="31">
        <v>50</v>
      </c>
      <c r="C159" s="232">
        <f>SUM($P$110:P159)</f>
        <v>20.92258707565038</v>
      </c>
      <c r="D159" s="232">
        <v>10.405839198062072</v>
      </c>
      <c r="E159" s="232">
        <v>32476.933449445089</v>
      </c>
      <c r="F159" s="232">
        <v>840.97816475904358</v>
      </c>
      <c r="G159" s="232">
        <v>6435.994962574433</v>
      </c>
      <c r="H159" s="232">
        <v>10771.868502507095</v>
      </c>
      <c r="I159" s="232">
        <v>91.187877445542782</v>
      </c>
      <c r="J159" s="233">
        <f t="shared" si="4"/>
        <v>91187.877445542777</v>
      </c>
      <c r="P159">
        <v>0.47844204538905999</v>
      </c>
    </row>
    <row r="160" spans="2:16" x14ac:dyDescent="0.25">
      <c r="B160" s="31">
        <v>51</v>
      </c>
      <c r="C160" s="232">
        <f>SUM($P$110:P160)</f>
        <v>21.376813635382113</v>
      </c>
      <c r="D160" s="232">
        <v>9.9152870460582481</v>
      </c>
      <c r="E160" s="232">
        <v>29678.339567970994</v>
      </c>
      <c r="F160" s="232">
        <v>768.50961257841334</v>
      </c>
      <c r="G160" s="232">
        <v>3912.9961541673024</v>
      </c>
      <c r="H160" s="232">
        <v>9780.1925513803089</v>
      </c>
      <c r="I160" s="232">
        <v>81.298216119023607</v>
      </c>
      <c r="J160" s="233">
        <f t="shared" si="4"/>
        <v>81298.216119023607</v>
      </c>
      <c r="P160">
        <v>0.45422655973173226</v>
      </c>
    </row>
    <row r="161" spans="2:16" x14ac:dyDescent="0.25">
      <c r="B161" s="31">
        <v>52</v>
      </c>
      <c r="C161" s="232">
        <f>SUM($P$110:P161)</f>
        <v>21.750742844668295</v>
      </c>
      <c r="D161" s="232">
        <v>8.255987347756907</v>
      </c>
      <c r="E161" s="232">
        <v>21091.166775756792</v>
      </c>
      <c r="F161" s="232">
        <v>546.14795314075218</v>
      </c>
      <c r="G161" s="232">
        <v>498.52748161966713</v>
      </c>
      <c r="H161" s="232">
        <v>6780.7051444404442</v>
      </c>
      <c r="I161" s="232">
        <v>55.323325685633989</v>
      </c>
      <c r="J161" s="233">
        <f t="shared" si="4"/>
        <v>55323.325685633987</v>
      </c>
      <c r="P161">
        <v>0.37392920928618023</v>
      </c>
    </row>
    <row r="162" spans="2:16" x14ac:dyDescent="0.25">
      <c r="B162" s="31">
        <v>53</v>
      </c>
      <c r="C162" s="232">
        <f>SUM($P$110:P162)</f>
        <v>22.136966391322595</v>
      </c>
      <c r="D162" s="232">
        <v>8.5131867486953823</v>
      </c>
      <c r="E162" s="232">
        <v>22332.617897190143</v>
      </c>
      <c r="F162" s="232">
        <v>578.29487019393582</v>
      </c>
      <c r="G162" s="232">
        <v>715.09096007024823</v>
      </c>
      <c r="H162" s="232">
        <v>7209.7655594760299</v>
      </c>
      <c r="I162" s="232">
        <v>58.796881947262754</v>
      </c>
      <c r="J162" s="233">
        <f t="shared" si="4"/>
        <v>58796.881947262751</v>
      </c>
      <c r="P162">
        <v>0.3862235466542992</v>
      </c>
    </row>
    <row r="163" spans="2:16" x14ac:dyDescent="0.25">
      <c r="B163" s="31">
        <v>54</v>
      </c>
      <c r="C163" s="232">
        <f>SUM($P$110:P163)</f>
        <v>22.577622062455749</v>
      </c>
      <c r="D163" s="232">
        <v>9.6383282265505272</v>
      </c>
      <c r="E163" s="232">
        <v>28150.3747810161</v>
      </c>
      <c r="F163" s="232">
        <v>728.94353025878695</v>
      </c>
      <c r="G163" s="232">
        <v>2891.6833588102281</v>
      </c>
      <c r="H163" s="232">
        <v>9241.452717981836</v>
      </c>
      <c r="I163" s="232">
        <v>76.257574521591678</v>
      </c>
      <c r="J163" s="233">
        <f t="shared" si="4"/>
        <v>76257.574521591683</v>
      </c>
      <c r="P163">
        <v>0.44065567113315396</v>
      </c>
    </row>
    <row r="164" spans="2:16" x14ac:dyDescent="0.25">
      <c r="B164" s="31">
        <v>55</v>
      </c>
      <c r="C164" s="232">
        <f>SUM($P$110:P164)</f>
        <v>22.961236803604006</v>
      </c>
      <c r="D164" s="232">
        <v>8.4587025333612171</v>
      </c>
      <c r="E164" s="232">
        <v>22066.870667734944</v>
      </c>
      <c r="F164" s="232">
        <v>571.41344409916849</v>
      </c>
      <c r="G164" s="232">
        <v>663.41799392738187</v>
      </c>
      <c r="H164" s="232">
        <v>7117.7761750027548</v>
      </c>
      <c r="I164" s="232">
        <v>58.047867377017617</v>
      </c>
      <c r="J164" s="233">
        <f t="shared" si="4"/>
        <v>58047.867377017617</v>
      </c>
      <c r="P164">
        <v>0.38361474114825561</v>
      </c>
    </row>
    <row r="165" spans="2:16" x14ac:dyDescent="0.25">
      <c r="B165" s="31">
        <v>56</v>
      </c>
      <c r="C165" s="232">
        <f>SUM($P$110:P165)</f>
        <v>23.441534499606718</v>
      </c>
      <c r="D165" s="232">
        <v>10.44323532276354</v>
      </c>
      <c r="E165" s="232">
        <v>32695.099833570817</v>
      </c>
      <c r="F165" s="232">
        <v>846.62750248422549</v>
      </c>
      <c r="G165" s="232">
        <v>6671.7622847532029</v>
      </c>
      <c r="H165" s="232">
        <v>10849.430717535459</v>
      </c>
      <c r="I165" s="232">
        <v>91.998173612090483</v>
      </c>
      <c r="J165" s="233">
        <f t="shared" si="4"/>
        <v>91998.173612090482</v>
      </c>
      <c r="P165">
        <v>0.48029769600270994</v>
      </c>
    </row>
    <row r="166" spans="2:16" x14ac:dyDescent="0.25">
      <c r="B166" s="31">
        <v>57</v>
      </c>
      <c r="C166" s="232">
        <f>SUM($P$110:P166)</f>
        <v>23.897093046084915</v>
      </c>
      <c r="D166" s="232">
        <v>9.9423921729206555</v>
      </c>
      <c r="E166" s="232">
        <v>29829.899939767187</v>
      </c>
      <c r="F166" s="232">
        <v>772.43421227997578</v>
      </c>
      <c r="G166" s="232">
        <v>4027.1562907155758</v>
      </c>
      <c r="H166" s="232">
        <v>9833.7372843867161</v>
      </c>
      <c r="I166" s="232">
        <v>81.811164126814234</v>
      </c>
      <c r="J166" s="233">
        <f t="shared" si="4"/>
        <v>81811.164126814227</v>
      </c>
      <c r="P166">
        <v>0.45555854647819616</v>
      </c>
    </row>
    <row r="167" spans="2:16" x14ac:dyDescent="0.25">
      <c r="B167" s="31">
        <v>58</v>
      </c>
      <c r="C167" s="232">
        <f>SUM($P$110:P167)</f>
        <v>24.252951994174133</v>
      </c>
      <c r="D167" s="232">
        <v>7.8759716672434514</v>
      </c>
      <c r="E167" s="232">
        <v>19317.646602832181</v>
      </c>
      <c r="F167" s="232">
        <v>500.22330503593645</v>
      </c>
      <c r="G167" s="232">
        <v>282.85664698783864</v>
      </c>
      <c r="H167" s="232">
        <v>6170.8517444265326</v>
      </c>
      <c r="I167" s="232">
        <v>50.457855764865137</v>
      </c>
      <c r="J167" s="233">
        <f t="shared" si="4"/>
        <v>50457.85576486514</v>
      </c>
      <c r="P167">
        <v>0.35585894808921603</v>
      </c>
    </row>
    <row r="168" spans="2:16" x14ac:dyDescent="0.25">
      <c r="B168" s="31">
        <v>59</v>
      </c>
      <c r="C168" s="232">
        <f>SUM($P$110:P168)</f>
        <v>24.583438785858952</v>
      </c>
      <c r="D168" s="232">
        <v>7.3385097788711988</v>
      </c>
      <c r="E168" s="232">
        <v>16933.758850806938</v>
      </c>
      <c r="F168" s="232">
        <v>438.49341450269094</v>
      </c>
      <c r="G168" s="232">
        <v>116.67606686503349</v>
      </c>
      <c r="H168" s="232">
        <v>5357.3815390151485</v>
      </c>
      <c r="I168" s="232">
        <v>44.04788781292708</v>
      </c>
      <c r="J168" s="233">
        <f t="shared" si="4"/>
        <v>44047.887812927082</v>
      </c>
      <c r="P168">
        <v>0.33048679168481782</v>
      </c>
    </row>
    <row r="169" spans="2:16" x14ac:dyDescent="0.25">
      <c r="B169" s="31">
        <v>60</v>
      </c>
      <c r="C169" s="232">
        <f>SUM($P$110:P169)</f>
        <v>24.9826165242267</v>
      </c>
      <c r="D169" s="232">
        <v>8.782986814227872</v>
      </c>
      <c r="E169" s="232">
        <v>23670.399558404497</v>
      </c>
      <c r="F169" s="232">
        <v>612.93623090145593</v>
      </c>
      <c r="G169" s="232">
        <v>1025.8042552786389</v>
      </c>
      <c r="H169" s="232">
        <v>7673.9909687090358</v>
      </c>
      <c r="I169" s="232">
        <v>62.619186750892716</v>
      </c>
      <c r="J169" s="233">
        <f t="shared" si="4"/>
        <v>62619.186750892717</v>
      </c>
      <c r="P169">
        <v>0.39917773836774856</v>
      </c>
    </row>
    <row r="170" spans="2:16" x14ac:dyDescent="0.25">
      <c r="B170" s="31">
        <v>61</v>
      </c>
      <c r="C170" s="232">
        <f>SUM($P$110:P170)</f>
        <v>25.400398235798267</v>
      </c>
      <c r="D170" s="232">
        <v>9.1682576069705419</v>
      </c>
      <c r="E170" s="232">
        <v>25643.497540690969</v>
      </c>
      <c r="F170" s="232">
        <v>664.02887247169622</v>
      </c>
      <c r="G170" s="232">
        <v>1668.3684451260847</v>
      </c>
      <c r="H170" s="232">
        <v>8362.0052752394386</v>
      </c>
      <c r="I170" s="232">
        <v>68.44433418622522</v>
      </c>
      <c r="J170" s="233">
        <f t="shared" si="4"/>
        <v>68444.334186225213</v>
      </c>
      <c r="P170">
        <v>0.41778171157156851</v>
      </c>
    </row>
    <row r="171" spans="2:16" x14ac:dyDescent="0.25">
      <c r="B171" s="31">
        <v>62</v>
      </c>
      <c r="C171" s="232">
        <f>SUM($P$110:P171)</f>
        <v>25.732806214724899</v>
      </c>
      <c r="D171" s="232">
        <v>7.3793625174428632</v>
      </c>
      <c r="E171" s="232">
        <v>17109.816364666527</v>
      </c>
      <c r="F171" s="232">
        <v>443.05235862616087</v>
      </c>
      <c r="G171" s="232">
        <v>125.30870940647098</v>
      </c>
      <c r="H171" s="232">
        <v>5417.1955639521166</v>
      </c>
      <c r="I171" s="232">
        <v>44.517380267470713</v>
      </c>
      <c r="J171" s="233">
        <f t="shared" si="4"/>
        <v>44517.380267470711</v>
      </c>
      <c r="P171">
        <v>0.33240797892663243</v>
      </c>
    </row>
    <row r="172" spans="2:16" x14ac:dyDescent="0.25">
      <c r="B172" s="31">
        <v>63</v>
      </c>
      <c r="C172" s="232">
        <f>SUM($P$110:P172)</f>
        <v>26.102094248416272</v>
      </c>
      <c r="D172" s="232">
        <v>8.158607556826226</v>
      </c>
      <c r="E172" s="232">
        <v>20629.782727493006</v>
      </c>
      <c r="F172" s="232">
        <v>534.20058407150259</v>
      </c>
      <c r="G172" s="232">
        <v>432.88411322182498</v>
      </c>
      <c r="H172" s="232">
        <v>6621.690973486674</v>
      </c>
      <c r="I172" s="232">
        <v>54.04766995416395</v>
      </c>
      <c r="J172" s="233">
        <f t="shared" si="4"/>
        <v>54047.669954163954</v>
      </c>
      <c r="P172">
        <v>0.36928803369137103</v>
      </c>
    </row>
    <row r="173" spans="2:16" x14ac:dyDescent="0.25">
      <c r="B173" s="31">
        <v>64</v>
      </c>
      <c r="C173" s="232">
        <f>SUM($P$110:P173)</f>
        <v>26.500100072485687</v>
      </c>
      <c r="D173" s="232">
        <v>8.7586303806211063</v>
      </c>
      <c r="E173" s="232">
        <v>23548.140687180683</v>
      </c>
      <c r="F173" s="232">
        <v>609.77038270623257</v>
      </c>
      <c r="G173" s="232">
        <v>993.62779935816434</v>
      </c>
      <c r="H173" s="232">
        <v>7631.4879135603042</v>
      </c>
      <c r="I173" s="232">
        <v>62.266010718085944</v>
      </c>
      <c r="J173" s="233">
        <f t="shared" si="4"/>
        <v>62266.010718085941</v>
      </c>
      <c r="P173">
        <v>0.39800582406941409</v>
      </c>
    </row>
    <row r="174" spans="2:16" x14ac:dyDescent="0.25">
      <c r="B174" s="31">
        <v>65</v>
      </c>
      <c r="C174" s="232">
        <f>SUM($P$110:P174)</f>
        <v>26.9380524458157</v>
      </c>
      <c r="D174" s="232">
        <v>9.5829856615159361</v>
      </c>
      <c r="E174" s="232">
        <v>27849.57410532187</v>
      </c>
      <c r="F174" s="232">
        <v>721.154408154713</v>
      </c>
      <c r="G174" s="232">
        <v>2716.9243309337562</v>
      </c>
      <c r="H174" s="232">
        <v>9135.6299353456561</v>
      </c>
      <c r="I174" s="232">
        <v>75.291791374942051</v>
      </c>
      <c r="J174" s="233">
        <f t="shared" si="4"/>
        <v>75291.791374942055</v>
      </c>
      <c r="P174">
        <v>0.43795237333001158</v>
      </c>
    </row>
    <row r="175" spans="2:16" x14ac:dyDescent="0.25">
      <c r="B175" s="31">
        <v>66</v>
      </c>
      <c r="C175" s="232">
        <f>SUM($P$110:P175)</f>
        <v>27.326892513953769</v>
      </c>
      <c r="D175" s="232">
        <v>8.5677818106649095</v>
      </c>
      <c r="E175" s="232">
        <v>22600.393121522771</v>
      </c>
      <c r="F175" s="232">
        <v>585.22881046504358</v>
      </c>
      <c r="G175" s="232">
        <v>770.33900478319833</v>
      </c>
      <c r="H175" s="232">
        <v>7302.5345175362472</v>
      </c>
      <c r="I175" s="232">
        <v>59.554870789605872</v>
      </c>
      <c r="J175" s="233">
        <f t="shared" ref="J175:J210" si="5">I175*1000</f>
        <v>59554.87078960587</v>
      </c>
      <c r="P175">
        <v>0.38884006813806904</v>
      </c>
    </row>
    <row r="176" spans="2:16" x14ac:dyDescent="0.25">
      <c r="B176" s="31">
        <v>67</v>
      </c>
      <c r="C176" s="232">
        <f>SUM($P$110:P176)</f>
        <v>27.730774376420282</v>
      </c>
      <c r="D176" s="232">
        <v>8.8806513562738854</v>
      </c>
      <c r="E176" s="232">
        <v>24163.5979389362</v>
      </c>
      <c r="F176" s="232">
        <v>625.70742032324449</v>
      </c>
      <c r="G176" s="232">
        <v>1164.0487335418752</v>
      </c>
      <c r="H176" s="232">
        <v>7845.6054373947236</v>
      </c>
      <c r="I176" s="232">
        <v>64.052514548238904</v>
      </c>
      <c r="J176" s="233">
        <f t="shared" si="5"/>
        <v>64052.514548238905</v>
      </c>
      <c r="P176">
        <v>0.40388186246651203</v>
      </c>
    </row>
    <row r="177" spans="2:16" x14ac:dyDescent="0.25">
      <c r="B177" s="31">
        <v>68</v>
      </c>
      <c r="C177" s="232">
        <f>SUM($P$110:P177)</f>
        <v>28.311649448741829</v>
      </c>
      <c r="D177" s="232">
        <v>12.426927530031959</v>
      </c>
      <c r="E177" s="232">
        <v>45238.000099116871</v>
      </c>
      <c r="F177" s="232">
        <v>1171.4212599519547</v>
      </c>
      <c r="G177" s="232">
        <v>31525.657399449341</v>
      </c>
      <c r="H177" s="232">
        <v>15362.58693766798</v>
      </c>
      <c r="I177" s="232">
        <v>149.93700923945624</v>
      </c>
      <c r="J177" s="233">
        <f t="shared" si="5"/>
        <v>149937.00923945624</v>
      </c>
      <c r="P177">
        <v>0.58087507232154556</v>
      </c>
    </row>
    <row r="178" spans="2:16" x14ac:dyDescent="0.25">
      <c r="B178" s="31">
        <v>69</v>
      </c>
      <c r="C178" s="232">
        <f>SUM($P$110:P178)</f>
        <v>28.779026046920826</v>
      </c>
      <c r="D178" s="232">
        <v>10.182262525805841</v>
      </c>
      <c r="E178" s="232">
        <v>31186.838334441123</v>
      </c>
      <c r="F178" s="232">
        <v>807.57162950627719</v>
      </c>
      <c r="G178" s="232">
        <v>5160.7192810114311</v>
      </c>
      <c r="H178" s="232">
        <v>10313.959042870873</v>
      </c>
      <c r="I178" s="232">
        <v>86.515952574107459</v>
      </c>
      <c r="J178" s="233">
        <f t="shared" si="5"/>
        <v>86515.952574107461</v>
      </c>
      <c r="P178">
        <v>0.46737659817899935</v>
      </c>
    </row>
    <row r="179" spans="2:16" x14ac:dyDescent="0.25">
      <c r="B179" s="31">
        <v>70</v>
      </c>
      <c r="C179" s="232">
        <f>SUM($P$110:P179)</f>
        <v>29.134663576525703</v>
      </c>
      <c r="D179" s="232">
        <v>7.8713008130394417</v>
      </c>
      <c r="E179" s="232">
        <v>19296.300036544631</v>
      </c>
      <c r="F179" s="232">
        <v>499.67054360701803</v>
      </c>
      <c r="G179" s="232">
        <v>280.8155817424684</v>
      </c>
      <c r="H179" s="232">
        <v>6163.5346530937722</v>
      </c>
      <c r="I179" s="232">
        <v>50.399871734331093</v>
      </c>
      <c r="J179" s="233">
        <f t="shared" si="5"/>
        <v>50399.871734331093</v>
      </c>
      <c r="P179">
        <v>0.35563752960487871</v>
      </c>
    </row>
    <row r="180" spans="2:16" x14ac:dyDescent="0.25">
      <c r="B180" s="31">
        <v>71</v>
      </c>
      <c r="C180" s="232">
        <f>SUM($P$110:P180)</f>
        <v>29.500643137933448</v>
      </c>
      <c r="D180" s="232">
        <v>8.0890953726122756</v>
      </c>
      <c r="E180" s="232">
        <v>20303.346967104309</v>
      </c>
      <c r="F180" s="232">
        <v>525.74765094249449</v>
      </c>
      <c r="G180" s="232">
        <v>390.74071532684326</v>
      </c>
      <c r="H180" s="232">
        <v>6509.3366659888397</v>
      </c>
      <c r="I180" s="232">
        <v>53.149576115999849</v>
      </c>
      <c r="J180" s="233">
        <f t="shared" si="5"/>
        <v>53149.576115999851</v>
      </c>
      <c r="P180">
        <v>0.36597956140774474</v>
      </c>
    </row>
    <row r="181" spans="2:16" x14ac:dyDescent="0.25">
      <c r="B181" s="31">
        <v>72</v>
      </c>
      <c r="C181" s="232">
        <f>SUM($P$110:P181)</f>
        <v>29.911236919661143</v>
      </c>
      <c r="D181" s="232">
        <v>9.019712554878911</v>
      </c>
      <c r="E181" s="232">
        <v>24874.024682779695</v>
      </c>
      <c r="F181" s="232">
        <v>644.10365776860749</v>
      </c>
      <c r="G181" s="232">
        <v>1388.4892356777277</v>
      </c>
      <c r="H181" s="232">
        <v>8093.2362317584093</v>
      </c>
      <c r="I181" s="232">
        <v>66.142884583547882</v>
      </c>
      <c r="J181" s="233">
        <f t="shared" si="5"/>
        <v>66142.884583547886</v>
      </c>
      <c r="P181">
        <v>0.41059378172769456</v>
      </c>
    </row>
    <row r="182" spans="2:16" x14ac:dyDescent="0.25">
      <c r="B182" s="31">
        <v>73</v>
      </c>
      <c r="C182" s="232">
        <f>SUM($P$110:P182)</f>
        <v>30.332161461821382</v>
      </c>
      <c r="D182" s="232">
        <v>9.2330832736164723</v>
      </c>
      <c r="E182" s="232">
        <v>25982.723749214554</v>
      </c>
      <c r="F182" s="232">
        <v>672.81300951857645</v>
      </c>
      <c r="G182" s="232">
        <v>1804.860418997531</v>
      </c>
      <c r="H182" s="232">
        <v>8480.6731827536023</v>
      </c>
      <c r="I182" s="232">
        <v>69.47222588011951</v>
      </c>
      <c r="J182" s="233">
        <f t="shared" si="5"/>
        <v>69472.225880119513</v>
      </c>
      <c r="P182">
        <v>0.42092454216024083</v>
      </c>
    </row>
    <row r="183" spans="2:16" x14ac:dyDescent="0.25">
      <c r="B183" s="31">
        <v>74</v>
      </c>
      <c r="C183" s="232">
        <f>SUM($P$110:P183)</f>
        <v>30.70514455411552</v>
      </c>
      <c r="D183" s="232">
        <v>8.2361488337401951</v>
      </c>
      <c r="E183" s="232">
        <v>20996.786332843101</v>
      </c>
      <c r="F183" s="232">
        <v>543.7040065226314</v>
      </c>
      <c r="G183" s="232">
        <v>484.49554083001004</v>
      </c>
      <c r="H183" s="232">
        <v>6748.1572519216188</v>
      </c>
      <c r="I183" s="232">
        <v>55.061754295406935</v>
      </c>
      <c r="J183" s="233">
        <f t="shared" si="5"/>
        <v>55061.754295406936</v>
      </c>
      <c r="P183">
        <v>0.37298309229413923</v>
      </c>
    </row>
    <row r="184" spans="2:16" x14ac:dyDescent="0.25">
      <c r="B184" s="31">
        <v>75</v>
      </c>
      <c r="C184" s="232">
        <f>SUM($P$110:P184)</f>
        <v>31.147878457717471</v>
      </c>
      <c r="D184" s="232">
        <v>9.6808354189638699</v>
      </c>
      <c r="E184" s="232">
        <v>28382.435456864256</v>
      </c>
      <c r="F184" s="232">
        <v>734.95265552276271</v>
      </c>
      <c r="G184" s="232">
        <v>3032.1970419406161</v>
      </c>
      <c r="H184" s="232">
        <v>9323.1462295383462</v>
      </c>
      <c r="I184" s="232">
        <v>77.008398498102707</v>
      </c>
      <c r="J184" s="233">
        <f t="shared" si="5"/>
        <v>77008.398498102702</v>
      </c>
      <c r="P184">
        <v>0.44273390360195086</v>
      </c>
    </row>
    <row r="185" spans="2:16" x14ac:dyDescent="0.25">
      <c r="B185" s="31">
        <v>76</v>
      </c>
      <c r="C185" s="232">
        <f>SUM($P$110:P185)</f>
        <v>31.557534926404422</v>
      </c>
      <c r="D185" s="232">
        <v>9.0003132284298797</v>
      </c>
      <c r="E185" s="232">
        <v>24774.342522369596</v>
      </c>
      <c r="F185" s="232">
        <v>641.52242513925853</v>
      </c>
      <c r="G185" s="232">
        <v>1355.104045764064</v>
      </c>
      <c r="H185" s="232">
        <v>8058.4602914580464</v>
      </c>
      <c r="I185" s="232">
        <v>65.847654982345929</v>
      </c>
      <c r="J185" s="233">
        <f t="shared" si="5"/>
        <v>65847.654982345935</v>
      </c>
      <c r="P185">
        <v>0.40965646868695166</v>
      </c>
    </row>
    <row r="186" spans="2:16" x14ac:dyDescent="0.25">
      <c r="B186" s="31">
        <v>77</v>
      </c>
      <c r="C186" s="232">
        <f>SUM($P$110:P186)</f>
        <v>31.915923966832171</v>
      </c>
      <c r="D186" s="232">
        <v>7.9293196586662056</v>
      </c>
      <c r="E186" s="232">
        <v>19562.235795487108</v>
      </c>
      <c r="F186" s="232">
        <v>506.55685160304171</v>
      </c>
      <c r="G186" s="232">
        <v>307.0933649346029</v>
      </c>
      <c r="H186" s="232">
        <v>6254.7315471087095</v>
      </c>
      <c r="I186" s="232">
        <v>51.123128087172475</v>
      </c>
      <c r="J186" s="233">
        <f t="shared" si="5"/>
        <v>51123.128087172474</v>
      </c>
      <c r="P186">
        <v>0.35838904042774855</v>
      </c>
    </row>
    <row r="187" spans="2:16" x14ac:dyDescent="0.25">
      <c r="B187" s="31">
        <v>78</v>
      </c>
      <c r="C187" s="232">
        <f>SUM($P$110:P187)</f>
        <v>32.332474796327517</v>
      </c>
      <c r="D187" s="232">
        <v>9.142848222861053</v>
      </c>
      <c r="E187" s="232">
        <v>25511.100233943111</v>
      </c>
      <c r="F187" s="232">
        <v>660.60049324306078</v>
      </c>
      <c r="G187" s="232">
        <v>1617.3286765154157</v>
      </c>
      <c r="H187" s="232">
        <v>8315.7197140869775</v>
      </c>
      <c r="I187" s="232">
        <v>68.045417740434189</v>
      </c>
      <c r="J187" s="233">
        <f t="shared" si="5"/>
        <v>68045.41774043419</v>
      </c>
      <c r="P187">
        <v>0.41655082949534289</v>
      </c>
    </row>
    <row r="188" spans="2:16" x14ac:dyDescent="0.25">
      <c r="B188" s="31">
        <v>79</v>
      </c>
      <c r="C188" s="232">
        <f>SUM($P$110:P188)</f>
        <v>32.924483099720376</v>
      </c>
      <c r="D188" s="232">
        <v>12.641129621472647</v>
      </c>
      <c r="E188" s="232">
        <v>46705.451232161839</v>
      </c>
      <c r="F188" s="232">
        <v>1209.4203636131047</v>
      </c>
      <c r="G188" s="232">
        <v>35952.502981329679</v>
      </c>
      <c r="H188" s="232">
        <v>15896.759043073507</v>
      </c>
      <c r="I188" s="232">
        <v>158.24077033899505</v>
      </c>
      <c r="J188" s="233">
        <f t="shared" si="5"/>
        <v>158240.77033899506</v>
      </c>
      <c r="P188">
        <v>0.59200830339286259</v>
      </c>
    </row>
    <row r="189" spans="2:16" x14ac:dyDescent="0.25">
      <c r="B189" s="31">
        <v>80</v>
      </c>
      <c r="C189" s="232">
        <f>SUM($P$110:P189)</f>
        <v>33.341248773840519</v>
      </c>
      <c r="D189" s="232">
        <v>9.1472841429162646</v>
      </c>
      <c r="E189" s="232">
        <v>25534.190859748662</v>
      </c>
      <c r="F189" s="232">
        <v>661.19841644733503</v>
      </c>
      <c r="G189" s="232">
        <v>1626.1416018853058</v>
      </c>
      <c r="H189" s="232">
        <v>8323.7909005635574</v>
      </c>
      <c r="I189" s="232">
        <v>68.114900562764547</v>
      </c>
      <c r="J189" s="233">
        <f t="shared" si="5"/>
        <v>68114.900562764553</v>
      </c>
      <c r="P189">
        <v>0.41676567412014021</v>
      </c>
    </row>
    <row r="190" spans="2:16" x14ac:dyDescent="0.25">
      <c r="B190" s="31">
        <v>81</v>
      </c>
      <c r="C190" s="232">
        <f>SUM($P$110:P190)</f>
        <v>33.742848211821155</v>
      </c>
      <c r="D190" s="232">
        <v>8.8332855754239183</v>
      </c>
      <c r="E190" s="232">
        <v>23923.812020429057</v>
      </c>
      <c r="F190" s="232">
        <v>619.49825276143918</v>
      </c>
      <c r="G190" s="232">
        <v>1095.115795697528</v>
      </c>
      <c r="H190" s="232">
        <v>7762.1380888772674</v>
      </c>
      <c r="I190" s="232">
        <v>63.353899957774466</v>
      </c>
      <c r="J190" s="233">
        <f t="shared" si="5"/>
        <v>63353.899957774469</v>
      </c>
      <c r="P190">
        <v>0.40159943798063746</v>
      </c>
    </row>
    <row r="191" spans="2:16" x14ac:dyDescent="0.25">
      <c r="B191" s="31">
        <v>82</v>
      </c>
      <c r="C191" s="232">
        <f>SUM($P$110:P191)</f>
        <v>34.188412452900828</v>
      </c>
      <c r="D191" s="232">
        <v>9.7386713059373022</v>
      </c>
      <c r="E191" s="232">
        <v>28699.607589724925</v>
      </c>
      <c r="F191" s="232">
        <v>743.16571044745535</v>
      </c>
      <c r="G191" s="232">
        <v>3232.4694423699962</v>
      </c>
      <c r="H191" s="232">
        <v>9434.8769030683015</v>
      </c>
      <c r="I191" s="232">
        <v>78.042895857422153</v>
      </c>
      <c r="J191" s="233">
        <f t="shared" si="5"/>
        <v>78042.895857422147</v>
      </c>
      <c r="P191">
        <v>0.44556424107967207</v>
      </c>
    </row>
    <row r="192" spans="2:16" x14ac:dyDescent="0.25">
      <c r="B192" s="31">
        <v>83</v>
      </c>
      <c r="C192" s="232">
        <f>SUM($P$110:P192)</f>
        <v>34.574929749699585</v>
      </c>
      <c r="D192" s="232">
        <v>10.152011291920219</v>
      </c>
      <c r="E192" s="232">
        <v>31014.156443420408</v>
      </c>
      <c r="F192" s="232">
        <v>803.1000958861531</v>
      </c>
      <c r="G192" s="232">
        <v>5004.9865612834783</v>
      </c>
      <c r="H192" s="232">
        <v>10252.76507939287</v>
      </c>
      <c r="I192" s="232">
        <v>85.905669519008484</v>
      </c>
      <c r="J192" s="233">
        <f t="shared" si="5"/>
        <v>85905.669519008487</v>
      </c>
      <c r="P192">
        <v>0.38651729679875652</v>
      </c>
    </row>
    <row r="193" spans="2:16" x14ac:dyDescent="0.25">
      <c r="B193" s="31">
        <v>84</v>
      </c>
      <c r="C193" s="232">
        <f>SUM($P$110:P193)</f>
        <v>34.962923695830725</v>
      </c>
      <c r="D193" s="232">
        <v>10.184459544009645</v>
      </c>
      <c r="E193" s="232">
        <v>31199.3969121179</v>
      </c>
      <c r="F193" s="232">
        <v>807.89682922450288</v>
      </c>
      <c r="G193" s="232">
        <v>5172.1796263346023</v>
      </c>
      <c r="H193" s="232">
        <v>10318.410391551542</v>
      </c>
      <c r="I193" s="232">
        <v>86.560471764368572</v>
      </c>
      <c r="J193" s="233">
        <f t="shared" si="5"/>
        <v>86560.471764368573</v>
      </c>
      <c r="P193">
        <v>0.38799394613114013</v>
      </c>
    </row>
    <row r="194" spans="2:16" x14ac:dyDescent="0.25">
      <c r="B194" s="31">
        <v>85</v>
      </c>
      <c r="C194" s="232">
        <f>SUM($P$110:P194)</f>
        <v>35.299532372184771</v>
      </c>
      <c r="D194" s="232">
        <v>9.6008874079713387</v>
      </c>
      <c r="E194" s="232">
        <v>27946.709591720508</v>
      </c>
      <c r="F194" s="232">
        <v>723.66969560362372</v>
      </c>
      <c r="G194" s="232">
        <v>2772.4596060391109</v>
      </c>
      <c r="H194" s="232">
        <v>9169.7939198619915</v>
      </c>
      <c r="I194" s="232">
        <v>75.602757973518507</v>
      </c>
      <c r="J194" s="233">
        <f t="shared" si="5"/>
        <v>75602.757973518514</v>
      </c>
      <c r="P194">
        <v>0.33660867635404568</v>
      </c>
    </row>
    <row r="195" spans="2:16" x14ac:dyDescent="0.25">
      <c r="B195" s="31">
        <v>86</v>
      </c>
      <c r="C195" s="232">
        <f>SUM($P$110:P195)</f>
        <v>35.70858596187567</v>
      </c>
      <c r="D195" s="232">
        <v>11.237800947276364</v>
      </c>
      <c r="E195" s="232">
        <v>37491.183571223519</v>
      </c>
      <c r="F195" s="232">
        <v>970.82031477669204</v>
      </c>
      <c r="G195" s="232">
        <v>13462.753427799114</v>
      </c>
      <c r="H195" s="232">
        <v>12563.177412935154</v>
      </c>
      <c r="I195" s="232">
        <v>111.4280298123213</v>
      </c>
      <c r="J195" s="233">
        <f t="shared" si="5"/>
        <v>111428.0298123213</v>
      </c>
      <c r="P195">
        <v>0.40905358969090228</v>
      </c>
    </row>
    <row r="196" spans="2:16" x14ac:dyDescent="0.25">
      <c r="B196" s="31">
        <v>87</v>
      </c>
      <c r="C196" s="232">
        <f>SUM($P$110:P196)</f>
        <v>35.942049423195307</v>
      </c>
      <c r="D196" s="232">
        <v>6.9916163825433548</v>
      </c>
      <c r="E196" s="232">
        <v>15473.06265788672</v>
      </c>
      <c r="F196" s="232">
        <v>400.66922751456997</v>
      </c>
      <c r="G196" s="232">
        <v>61.643654565085932</v>
      </c>
      <c r="H196" s="232">
        <v>4862.8626685585305</v>
      </c>
      <c r="I196" s="232">
        <v>40.170980363934611</v>
      </c>
      <c r="J196" s="233">
        <f t="shared" si="5"/>
        <v>40170.980363934614</v>
      </c>
      <c r="P196">
        <v>0.23346346131964038</v>
      </c>
    </row>
    <row r="197" spans="2:16" x14ac:dyDescent="0.25">
      <c r="B197" s="31">
        <v>88</v>
      </c>
      <c r="C197" s="232">
        <f>SUM($P$110:P197)</f>
        <v>36.128851294412954</v>
      </c>
      <c r="D197" s="232">
        <v>5.2888305161669678</v>
      </c>
      <c r="E197" s="232">
        <v>9203.4351000331535</v>
      </c>
      <c r="F197" s="232">
        <v>238.31954368330588</v>
      </c>
      <c r="G197" s="232">
        <v>0.83205220408412006</v>
      </c>
      <c r="H197" s="232">
        <v>2782.6342239390001</v>
      </c>
      <c r="I197" s="232">
        <v>23.748199859398127</v>
      </c>
      <c r="J197" s="233">
        <f t="shared" si="5"/>
        <v>23748.199859398126</v>
      </c>
      <c r="P197">
        <v>0.18680187121764527</v>
      </c>
    </row>
    <row r="198" spans="2:16" x14ac:dyDescent="0.25">
      <c r="B198" s="31">
        <v>89</v>
      </c>
      <c r="C198" s="232">
        <f>SUM($P$110:P198)</f>
        <v>36.280609290673588</v>
      </c>
      <c r="D198" s="232">
        <v>3.4374023943360803</v>
      </c>
      <c r="E198" s="232">
        <v>4133.3016232393202</v>
      </c>
      <c r="F198" s="232">
        <v>107.0303148823545</v>
      </c>
      <c r="G198" s="232">
        <v>8.4991542860652535E-5</v>
      </c>
      <c r="H198" s="232">
        <v>1175.4321698302244</v>
      </c>
      <c r="I198" s="232">
        <v>10.590782763474326</v>
      </c>
      <c r="J198" s="233">
        <f t="shared" si="5"/>
        <v>10590.782763474326</v>
      </c>
      <c r="P198">
        <v>0.15175799626063158</v>
      </c>
    </row>
    <row r="199" spans="2:16" x14ac:dyDescent="0.25">
      <c r="B199" s="31">
        <v>90</v>
      </c>
      <c r="C199" s="232">
        <f>SUM($P$110:P199)</f>
        <v>36.449524542588676</v>
      </c>
      <c r="D199" s="232">
        <v>3.819713545470877</v>
      </c>
      <c r="E199" s="232">
        <v>5027.0175915990312</v>
      </c>
      <c r="F199" s="232">
        <v>130.17275892058137</v>
      </c>
      <c r="G199" s="232">
        <v>1.1312252044498564E-3</v>
      </c>
      <c r="H199" s="232">
        <v>1451.4377415536233</v>
      </c>
      <c r="I199" s="232">
        <v>12.902607200768719</v>
      </c>
      <c r="J199" s="233">
        <f t="shared" si="5"/>
        <v>12902.607200768718</v>
      </c>
      <c r="P199">
        <v>0.1689152519150896</v>
      </c>
    </row>
    <row r="200" spans="2:16" x14ac:dyDescent="0.25">
      <c r="B200" s="31">
        <v>91</v>
      </c>
      <c r="C200" s="232">
        <f>SUM($P$110:P200)</f>
        <v>36.532707164099456</v>
      </c>
      <c r="D200" s="232">
        <v>1.8955486852928882</v>
      </c>
      <c r="E200" s="232">
        <v>1372.3119312459141</v>
      </c>
      <c r="F200" s="232">
        <v>35.535509262677841</v>
      </c>
      <c r="G200" s="232">
        <v>1.3543010477561232E-13</v>
      </c>
      <c r="H200" s="232">
        <v>357.44292794081144</v>
      </c>
      <c r="I200" s="232">
        <v>3.4834663875498402</v>
      </c>
      <c r="J200" s="233">
        <f t="shared" si="5"/>
        <v>3483.46638754984</v>
      </c>
      <c r="P200">
        <v>8.3182621510779584E-2</v>
      </c>
    </row>
    <row r="201" spans="2:16" x14ac:dyDescent="0.25">
      <c r="B201" s="31">
        <v>92</v>
      </c>
      <c r="C201" s="232">
        <f>SUM($P$110:P201)</f>
        <v>36.624863453070702</v>
      </c>
      <c r="D201" s="232">
        <v>2.098486319368674</v>
      </c>
      <c r="E201" s="232">
        <v>1656.3686204410562</v>
      </c>
      <c r="F201" s="232">
        <v>42.891052037020103</v>
      </c>
      <c r="G201" s="232">
        <v>9.71083786097464E-12</v>
      </c>
      <c r="H201" s="232">
        <v>438.07564269884477</v>
      </c>
      <c r="I201" s="232">
        <v>4.2111588953949424</v>
      </c>
      <c r="J201" s="233">
        <f t="shared" si="5"/>
        <v>4211.1588953949422</v>
      </c>
      <c r="P201">
        <v>9.2156288971243006E-2</v>
      </c>
    </row>
    <row r="202" spans="2:16" x14ac:dyDescent="0.25">
      <c r="B202" s="31">
        <v>93</v>
      </c>
      <c r="C202" s="232">
        <f>SUM($P$110:P202)</f>
        <v>36.765015799660908</v>
      </c>
      <c r="D202" s="232">
        <v>3.1779746026652065</v>
      </c>
      <c r="E202" s="232">
        <v>3573.3172856245174</v>
      </c>
      <c r="F202" s="232">
        <v>92.529727834190567</v>
      </c>
      <c r="G202" s="232">
        <v>1.049184961519339E-5</v>
      </c>
      <c r="H202" s="232">
        <v>1004.7029248010648</v>
      </c>
      <c r="I202" s="232">
        <v>9.1444512018165973</v>
      </c>
      <c r="J202" s="233">
        <f t="shared" si="5"/>
        <v>9144.4512018165969</v>
      </c>
      <c r="P202">
        <v>0.14015234659020515</v>
      </c>
    </row>
    <row r="203" spans="2:16" x14ac:dyDescent="0.25">
      <c r="B203" s="31">
        <v>94</v>
      </c>
      <c r="C203" s="232">
        <f>SUM($P$110:P203)</f>
        <v>36.900354800156869</v>
      </c>
      <c r="D203" s="232">
        <v>3.0701897796121993</v>
      </c>
      <c r="E203" s="232">
        <v>3351.8129102732278</v>
      </c>
      <c r="F203" s="232">
        <v>86.793954062353478</v>
      </c>
      <c r="G203" s="232">
        <v>3.986606839723417E-6</v>
      </c>
      <c r="H203" s="232">
        <v>937.70723205267518</v>
      </c>
      <c r="I203" s="232">
        <v>8.572885180037586</v>
      </c>
      <c r="J203" s="233">
        <f t="shared" si="5"/>
        <v>8572.8851800375869</v>
      </c>
      <c r="P203">
        <v>0.13533900049595929</v>
      </c>
    </row>
    <row r="204" spans="2:16" x14ac:dyDescent="0.25">
      <c r="B204" s="31">
        <v>95</v>
      </c>
      <c r="C204" s="232">
        <f>SUM($P$110:P204)</f>
        <v>37.048365426348347</v>
      </c>
      <c r="D204" s="232">
        <v>3.3537065492536615</v>
      </c>
      <c r="E204" s="232">
        <v>3948.5119441978445</v>
      </c>
      <c r="F204" s="232">
        <v>102.24525457521003</v>
      </c>
      <c r="G204" s="232">
        <v>4.4757751825263007E-5</v>
      </c>
      <c r="H204" s="232">
        <v>1118.8888350359564</v>
      </c>
      <c r="I204" s="232">
        <v>10.113302385258642</v>
      </c>
      <c r="J204" s="233">
        <f t="shared" si="5"/>
        <v>10113.302385258641</v>
      </c>
      <c r="P204">
        <v>0.14801062619147989</v>
      </c>
    </row>
    <row r="205" spans="2:16" x14ac:dyDescent="0.25">
      <c r="B205" s="31">
        <v>96</v>
      </c>
      <c r="C205" s="232">
        <f>SUM($P$110:P205)</f>
        <v>37.216392444320469</v>
      </c>
      <c r="D205" s="232">
        <v>3.7999575997292316</v>
      </c>
      <c r="E205" s="232">
        <v>4978.8502725236403</v>
      </c>
      <c r="F205" s="232">
        <v>128.92548403052928</v>
      </c>
      <c r="G205" s="232">
        <v>1.0016849461777411E-3</v>
      </c>
      <c r="H205" s="232">
        <v>1436.4626021076795</v>
      </c>
      <c r="I205" s="232">
        <v>12.777910398370325</v>
      </c>
      <c r="J205" s="233">
        <f t="shared" si="5"/>
        <v>12777.910398370326</v>
      </c>
      <c r="P205">
        <v>0.16802701797212177</v>
      </c>
    </row>
    <row r="206" spans="2:16" x14ac:dyDescent="0.25">
      <c r="B206" s="31">
        <v>97</v>
      </c>
      <c r="C206" s="232">
        <f>SUM($P$110:P206)</f>
        <v>37.327922636669555</v>
      </c>
      <c r="D206" s="232">
        <v>2.5354636785321629</v>
      </c>
      <c r="E206" s="232">
        <v>2350.9682484076861</v>
      </c>
      <c r="F206" s="232">
        <v>60.877452177876748</v>
      </c>
      <c r="G206" s="232">
        <v>1.0410476757621195E-8</v>
      </c>
      <c r="H206" s="232">
        <v>639.51628672406218</v>
      </c>
      <c r="I206" s="232">
        <v>5.99484529757102</v>
      </c>
      <c r="J206" s="233">
        <f t="shared" si="5"/>
        <v>5994.8452975710197</v>
      </c>
      <c r="P206">
        <v>0.11153019234908608</v>
      </c>
    </row>
    <row r="207" spans="2:16" x14ac:dyDescent="0.25">
      <c r="B207" s="31">
        <v>98</v>
      </c>
      <c r="C207" s="232">
        <f>SUM($P$110:P207)</f>
        <v>37.424396676885415</v>
      </c>
      <c r="D207" s="232">
        <v>2.1960119945615588</v>
      </c>
      <c r="E207" s="232">
        <v>1801.6297343834822</v>
      </c>
      <c r="F207" s="232">
        <v>46.652534789211515</v>
      </c>
      <c r="G207" s="232">
        <v>5.7903021086721965E-11</v>
      </c>
      <c r="H207" s="232">
        <v>479.74033938215041</v>
      </c>
      <c r="I207" s="232">
        <v>4.5837174942691048</v>
      </c>
      <c r="J207" s="233">
        <f t="shared" si="5"/>
        <v>4583.7174942691045</v>
      </c>
      <c r="P207">
        <v>9.6474040215860729E-2</v>
      </c>
    </row>
    <row r="208" spans="2:16" x14ac:dyDescent="0.25">
      <c r="B208" s="31">
        <v>99</v>
      </c>
      <c r="C208" s="232">
        <f>SUM($P$110:P208)</f>
        <v>37.520068778082162</v>
      </c>
      <c r="D208" s="232">
        <v>2.1779044189896468</v>
      </c>
      <c r="E208" s="232">
        <v>1774.2321530041177</v>
      </c>
      <c r="F208" s="232">
        <v>45.943084565312731</v>
      </c>
      <c r="G208" s="232">
        <v>4.2045027062547364E-11</v>
      </c>
      <c r="H208" s="232">
        <v>471.86140274312851</v>
      </c>
      <c r="I208" s="232">
        <v>4.5134289259870011</v>
      </c>
      <c r="J208" s="233">
        <f t="shared" si="5"/>
        <v>4513.4289259870011</v>
      </c>
      <c r="P208">
        <v>9.5672101196749113E-2</v>
      </c>
    </row>
    <row r="209" spans="2:16" x14ac:dyDescent="0.25">
      <c r="B209" s="31">
        <v>100</v>
      </c>
      <c r="C209" s="232">
        <f>SUM($P$110:P209)</f>
        <v>37.632999930342272</v>
      </c>
      <c r="D209" s="232">
        <v>2.5669990301153693</v>
      </c>
      <c r="E209" s="232">
        <v>2405.4219517851066</v>
      </c>
      <c r="F209" s="232">
        <v>62.287510661445147</v>
      </c>
      <c r="G209" s="232">
        <v>1.5779783223945102E-8</v>
      </c>
      <c r="H209" s="232">
        <v>655.52344867338309</v>
      </c>
      <c r="I209" s="232">
        <v>6.1348939039995356</v>
      </c>
      <c r="J209" s="233">
        <f t="shared" si="5"/>
        <v>6134.8939039995357</v>
      </c>
      <c r="P209">
        <v>0.11293115226010711</v>
      </c>
    </row>
    <row r="210" spans="2:16" x14ac:dyDescent="0.25">
      <c r="B210" s="31">
        <v>101</v>
      </c>
      <c r="C210" s="232">
        <f>SUM($P$110:P210)</f>
        <v>37.72275284840493</v>
      </c>
      <c r="D210" s="232">
        <v>1.768928976412494</v>
      </c>
      <c r="E210" s="232">
        <v>1207.6611742181881</v>
      </c>
      <c r="F210" s="232">
        <v>31.271938883198857</v>
      </c>
      <c r="G210" s="232">
        <v>5.8872384171095459E-15</v>
      </c>
      <c r="H210" s="232">
        <v>311.28458478231335</v>
      </c>
      <c r="I210" s="232">
        <v>3.0622459922500602</v>
      </c>
      <c r="J210" s="233">
        <f t="shared" si="5"/>
        <v>3062.2459922500602</v>
      </c>
      <c r="P210">
        <v>8.975291806265881E-2</v>
      </c>
    </row>
  </sheetData>
  <autoFilter ref="B3:K107" xr:uid="{50885F39-BECC-44DC-BB1B-DE49B7452F2C}">
    <sortState xmlns:xlrd2="http://schemas.microsoft.com/office/spreadsheetml/2017/richdata2" ref="B4:K107">
      <sortCondition ref="B3:B107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B5FA-EC43-4708-9ED2-98976863E891}">
  <dimension ref="C2:E42"/>
  <sheetViews>
    <sheetView topLeftCell="A26" workbookViewId="0">
      <selection activeCell="G22" sqref="G22"/>
    </sheetView>
  </sheetViews>
  <sheetFormatPr defaultRowHeight="15" x14ac:dyDescent="0.25"/>
  <sheetData>
    <row r="2" spans="3:5" x14ac:dyDescent="0.25">
      <c r="C2" t="s">
        <v>268</v>
      </c>
      <c r="D2" t="s">
        <v>269</v>
      </c>
      <c r="E2" t="s">
        <v>270</v>
      </c>
    </row>
    <row r="3" spans="3:5" x14ac:dyDescent="0.25">
      <c r="C3">
        <v>29.01333449313918</v>
      </c>
      <c r="D3">
        <v>0</v>
      </c>
      <c r="E3">
        <v>5.5384192191199766</v>
      </c>
    </row>
    <row r="4" spans="3:5" x14ac:dyDescent="0.25">
      <c r="C4">
        <v>44.731016470346106</v>
      </c>
      <c r="D4">
        <v>41</v>
      </c>
      <c r="E4">
        <v>9.4991367842877565</v>
      </c>
    </row>
    <row r="5" spans="3:5" x14ac:dyDescent="0.25">
      <c r="C5">
        <v>54.404175579246328</v>
      </c>
      <c r="D5">
        <v>40</v>
      </c>
      <c r="E5">
        <v>9.9524898277448379</v>
      </c>
    </row>
    <row r="6" spans="3:5" x14ac:dyDescent="0.25">
      <c r="C6">
        <v>45.514057458756426</v>
      </c>
      <c r="D6">
        <v>38</v>
      </c>
      <c r="E6">
        <v>9.3971337415464724</v>
      </c>
    </row>
    <row r="7" spans="3:5" x14ac:dyDescent="0.25">
      <c r="C7">
        <v>50.427786461986997</v>
      </c>
      <c r="D7">
        <v>56</v>
      </c>
      <c r="E7">
        <v>9.7870147695758796</v>
      </c>
    </row>
    <row r="8" spans="3:5" x14ac:dyDescent="0.25">
      <c r="C8">
        <v>41.165976352872512</v>
      </c>
      <c r="D8">
        <v>42</v>
      </c>
      <c r="E8">
        <v>9.3017640042711811</v>
      </c>
    </row>
    <row r="9" spans="3:5" x14ac:dyDescent="0.25">
      <c r="C9">
        <v>38.70236065654359</v>
      </c>
      <c r="D9">
        <v>38</v>
      </c>
      <c r="E9">
        <v>9.2144088569091007</v>
      </c>
    </row>
    <row r="10" spans="3:5" x14ac:dyDescent="0.25">
      <c r="C10">
        <v>75.854068187963037</v>
      </c>
      <c r="D10">
        <v>70</v>
      </c>
      <c r="E10">
        <v>10.847297153313651</v>
      </c>
    </row>
    <row r="11" spans="3:5" x14ac:dyDescent="0.25">
      <c r="C11">
        <v>46.058472075501342</v>
      </c>
      <c r="D11">
        <v>42</v>
      </c>
      <c r="E11">
        <v>9.7335447329013274</v>
      </c>
    </row>
    <row r="12" spans="3:5" x14ac:dyDescent="0.25">
      <c r="C12">
        <v>58.99232364900908</v>
      </c>
      <c r="D12">
        <v>45</v>
      </c>
      <c r="E12">
        <v>10.186487929718885</v>
      </c>
    </row>
    <row r="13" spans="3:5" x14ac:dyDescent="0.25">
      <c r="C13">
        <v>35.515867815175639</v>
      </c>
      <c r="D13">
        <v>45</v>
      </c>
      <c r="E13">
        <v>8.9562983804844567</v>
      </c>
    </row>
    <row r="14" spans="3:5" x14ac:dyDescent="0.25">
      <c r="C14">
        <v>36.238386871373933</v>
      </c>
      <c r="D14">
        <v>40</v>
      </c>
      <c r="E14">
        <v>8.8766191512053432</v>
      </c>
    </row>
    <row r="15" spans="3:5" x14ac:dyDescent="0.25">
      <c r="C15">
        <v>31.58170673862104</v>
      </c>
      <c r="D15">
        <v>38</v>
      </c>
      <c r="E15">
        <v>8.6095687446753342</v>
      </c>
    </row>
    <row r="16" spans="3:5" x14ac:dyDescent="0.25">
      <c r="C16">
        <v>50.715337181593469</v>
      </c>
      <c r="D16">
        <v>45</v>
      </c>
      <c r="E16">
        <v>9.5857848071632059</v>
      </c>
    </row>
    <row r="17" spans="3:5" x14ac:dyDescent="0.25">
      <c r="C17">
        <v>34.026467967695218</v>
      </c>
      <c r="D17">
        <v>47</v>
      </c>
      <c r="E17">
        <v>8.8517750907623451</v>
      </c>
    </row>
    <row r="18" spans="3:5" x14ac:dyDescent="0.25">
      <c r="C18">
        <v>51.035515265180699</v>
      </c>
      <c r="D18">
        <v>54</v>
      </c>
      <c r="E18">
        <v>9.5721789748692085</v>
      </c>
    </row>
    <row r="19" spans="3:5" x14ac:dyDescent="0.25">
      <c r="C19">
        <v>39.75566598898142</v>
      </c>
      <c r="D19">
        <v>55</v>
      </c>
      <c r="E19">
        <v>9.7018630250524858</v>
      </c>
    </row>
    <row r="20" spans="3:5" x14ac:dyDescent="0.25">
      <c r="C20">
        <v>16.475958579374339</v>
      </c>
      <c r="D20">
        <v>59</v>
      </c>
      <c r="E20">
        <v>6.1550727571587283</v>
      </c>
    </row>
    <row r="21" spans="3:5" x14ac:dyDescent="0.25">
      <c r="C21">
        <v>1.2038782690453287</v>
      </c>
      <c r="D21">
        <v>26</v>
      </c>
      <c r="E21">
        <v>2.7191811872385259</v>
      </c>
    </row>
    <row r="22" spans="3:5" x14ac:dyDescent="0.25">
      <c r="C22">
        <v>1.1428296789070331</v>
      </c>
      <c r="D22">
        <v>34</v>
      </c>
      <c r="E22">
        <v>2.6552673443855936</v>
      </c>
    </row>
    <row r="23" spans="3:5" x14ac:dyDescent="0.25">
      <c r="C23">
        <v>7.1672114214409998E-5</v>
      </c>
      <c r="D23">
        <v>53</v>
      </c>
      <c r="E23">
        <v>0</v>
      </c>
    </row>
    <row r="24" spans="3:5" x14ac:dyDescent="0.25">
      <c r="C24" t="s">
        <v>268</v>
      </c>
      <c r="D24" t="s">
        <v>269</v>
      </c>
      <c r="E24" t="s">
        <v>270</v>
      </c>
    </row>
    <row r="25" spans="3:5" ht="14.45" customHeight="1" x14ac:dyDescent="0.25">
      <c r="C25">
        <v>4.3620720591100795E-2</v>
      </c>
      <c r="D25">
        <v>0</v>
      </c>
      <c r="E25">
        <v>0.89309390025931923</v>
      </c>
    </row>
    <row r="26" spans="3:5" ht="14.45" customHeight="1" x14ac:dyDescent="0.25">
      <c r="C26">
        <v>11.604389377959201</v>
      </c>
      <c r="D26">
        <v>26</v>
      </c>
      <c r="E26">
        <v>4.2529751812625438</v>
      </c>
    </row>
    <row r="27" spans="3:5" ht="14.45" customHeight="1" x14ac:dyDescent="0.25">
      <c r="C27">
        <v>21.338456074756213</v>
      </c>
      <c r="D27">
        <v>26</v>
      </c>
      <c r="E27">
        <v>7.3658858396883691</v>
      </c>
    </row>
    <row r="28" spans="3:5" ht="14.45" customHeight="1" x14ac:dyDescent="0.25">
      <c r="C28">
        <v>60.500188507548017</v>
      </c>
      <c r="D28">
        <v>51</v>
      </c>
      <c r="E28">
        <v>9.3643949416860828</v>
      </c>
    </row>
    <row r="29" spans="3:5" ht="14.45" customHeight="1" x14ac:dyDescent="0.25">
      <c r="C29">
        <v>69.335248408903013</v>
      </c>
      <c r="D29">
        <v>58</v>
      </c>
      <c r="E29">
        <v>10.11617245955637</v>
      </c>
    </row>
    <row r="30" spans="3:5" ht="14.45" customHeight="1" x14ac:dyDescent="0.25">
      <c r="C30">
        <v>56.709581806972544</v>
      </c>
      <c r="D30">
        <v>59</v>
      </c>
      <c r="E30">
        <v>10.103459350118733</v>
      </c>
    </row>
    <row r="31" spans="3:5" ht="14.45" customHeight="1" x14ac:dyDescent="0.25">
      <c r="C31">
        <v>84.242454498969877</v>
      </c>
      <c r="D31">
        <v>60</v>
      </c>
      <c r="E31">
        <v>10.662443689444762</v>
      </c>
    </row>
    <row r="32" spans="3:5" ht="14.45" customHeight="1" x14ac:dyDescent="0.25">
      <c r="C32">
        <v>47.04135010703552</v>
      </c>
      <c r="D32">
        <v>62</v>
      </c>
      <c r="E32">
        <v>9.7602018808484985</v>
      </c>
    </row>
    <row r="33" spans="3:5" ht="14.45" customHeight="1" x14ac:dyDescent="0.25">
      <c r="C33">
        <v>40.19495900579264</v>
      </c>
      <c r="D33">
        <v>62</v>
      </c>
      <c r="E33">
        <v>9.0455456192099852</v>
      </c>
    </row>
    <row r="34" spans="3:5" ht="14.45" customHeight="1" x14ac:dyDescent="0.25">
      <c r="C34">
        <v>36.288078261584658</v>
      </c>
      <c r="D34">
        <v>62</v>
      </c>
      <c r="E34">
        <v>9.001214276675265</v>
      </c>
    </row>
    <row r="35" spans="3:5" ht="14.45" customHeight="1" x14ac:dyDescent="0.25">
      <c r="C35">
        <v>59.622574290484849</v>
      </c>
      <c r="D35">
        <v>60</v>
      </c>
      <c r="E35">
        <v>9.7016261742157859</v>
      </c>
    </row>
    <row r="36" spans="3:5" ht="14.45" customHeight="1" x14ac:dyDescent="0.25">
      <c r="C36">
        <v>35.685156202835167</v>
      </c>
      <c r="D36">
        <v>60</v>
      </c>
      <c r="E36">
        <v>8.9383042891287765</v>
      </c>
    </row>
    <row r="37" spans="3:5" ht="14.45" customHeight="1" x14ac:dyDescent="0.25">
      <c r="C37">
        <v>57.382757306732742</v>
      </c>
      <c r="D37">
        <v>55</v>
      </c>
      <c r="E37">
        <v>9.8239510158031518</v>
      </c>
    </row>
    <row r="38" spans="3:5" ht="14.45" customHeight="1" x14ac:dyDescent="0.25">
      <c r="C38">
        <v>37.086095972511153</v>
      </c>
      <c r="D38">
        <v>48</v>
      </c>
      <c r="E38">
        <v>9.0330646214214472</v>
      </c>
    </row>
    <row r="39" spans="3:5" ht="14.45" customHeight="1" x14ac:dyDescent="0.25">
      <c r="C39">
        <v>38.063757855869035</v>
      </c>
      <c r="D39">
        <v>57</v>
      </c>
      <c r="E39">
        <v>8.8746762719595225</v>
      </c>
    </row>
    <row r="40" spans="3:5" ht="14.45" customHeight="1" x14ac:dyDescent="0.25">
      <c r="C40">
        <v>102.74081200257143</v>
      </c>
      <c r="D40">
        <v>58</v>
      </c>
      <c r="E40">
        <v>10.817415235960969</v>
      </c>
    </row>
    <row r="41" spans="3:5" x14ac:dyDescent="0.25">
      <c r="C41">
        <v>54.594414374838742</v>
      </c>
      <c r="D41">
        <v>82</v>
      </c>
      <c r="E41">
        <v>10.002940660619682</v>
      </c>
    </row>
    <row r="42" spans="3:5" x14ac:dyDescent="0.25">
      <c r="C42">
        <v>38.227781408790918</v>
      </c>
      <c r="D42">
        <v>40</v>
      </c>
      <c r="E42">
        <v>9.0651220596601423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809F-5F39-4966-8F71-E92BB93B92A6}">
  <dimension ref="A1:K22"/>
  <sheetViews>
    <sheetView workbookViewId="0">
      <selection activeCell="M19" sqref="M19"/>
    </sheetView>
  </sheetViews>
  <sheetFormatPr defaultRowHeight="15" x14ac:dyDescent="0.25"/>
  <cols>
    <col min="11" max="11" width="13.7109375" customWidth="1"/>
  </cols>
  <sheetData>
    <row r="1" spans="1:11" x14ac:dyDescent="0.25">
      <c r="A1" t="s">
        <v>271</v>
      </c>
      <c r="D1" t="s">
        <v>295</v>
      </c>
    </row>
    <row r="2" spans="1:11" ht="15.75" thickBot="1" x14ac:dyDescent="0.3">
      <c r="D2" t="s">
        <v>296</v>
      </c>
    </row>
    <row r="3" spans="1:11" x14ac:dyDescent="0.25">
      <c r="A3" s="192" t="s">
        <v>272</v>
      </c>
      <c r="B3" s="192"/>
      <c r="J3" s="275" t="s">
        <v>297</v>
      </c>
      <c r="K3" s="275"/>
    </row>
    <row r="4" spans="1:11" x14ac:dyDescent="0.25">
      <c r="A4" t="s">
        <v>273</v>
      </c>
      <c r="B4">
        <v>0.8076476547848358</v>
      </c>
      <c r="D4" s="415" t="s">
        <v>311</v>
      </c>
      <c r="E4" s="415"/>
      <c r="F4" s="415"/>
      <c r="G4" s="415"/>
      <c r="H4" s="415"/>
      <c r="J4" s="16" t="s">
        <v>298</v>
      </c>
      <c r="K4" s="16" t="s">
        <v>299</v>
      </c>
    </row>
    <row r="5" spans="1:11" x14ac:dyDescent="0.25">
      <c r="A5" t="s">
        <v>274</v>
      </c>
      <c r="B5">
        <v>0.65229473427944529</v>
      </c>
      <c r="D5" s="415"/>
      <c r="E5" s="415"/>
      <c r="F5" s="415"/>
      <c r="G5" s="415"/>
      <c r="H5" s="415"/>
      <c r="J5" s="16" t="s">
        <v>300</v>
      </c>
      <c r="K5" s="16" t="s">
        <v>301</v>
      </c>
    </row>
    <row r="6" spans="1:11" x14ac:dyDescent="0.25">
      <c r="A6" t="s">
        <v>275</v>
      </c>
      <c r="B6">
        <v>0.63056315517191064</v>
      </c>
      <c r="D6" s="416" t="s">
        <v>312</v>
      </c>
      <c r="E6" s="416"/>
      <c r="F6" s="416"/>
      <c r="G6" s="416"/>
      <c r="H6" s="416"/>
      <c r="J6" s="16" t="s">
        <v>302</v>
      </c>
      <c r="K6" s="16" t="s">
        <v>303</v>
      </c>
    </row>
    <row r="7" spans="1:11" x14ac:dyDescent="0.25">
      <c r="A7" t="s">
        <v>276</v>
      </c>
      <c r="B7">
        <v>14.927280229345264</v>
      </c>
      <c r="D7" s="416"/>
      <c r="E7" s="416"/>
      <c r="F7" s="416"/>
      <c r="G7" s="416"/>
      <c r="H7" s="416"/>
      <c r="J7" s="16" t="s">
        <v>304</v>
      </c>
      <c r="K7" s="16" t="s">
        <v>305</v>
      </c>
    </row>
    <row r="8" spans="1:11" ht="15.75" thickBot="1" x14ac:dyDescent="0.3">
      <c r="A8" s="190" t="s">
        <v>277</v>
      </c>
      <c r="B8" s="190">
        <v>18</v>
      </c>
      <c r="J8" s="16" t="s">
        <v>306</v>
      </c>
      <c r="K8" s="16" t="s">
        <v>307</v>
      </c>
    </row>
    <row r="10" spans="1:11" ht="15.75" thickBot="1" x14ac:dyDescent="0.3">
      <c r="A10" t="s">
        <v>278</v>
      </c>
    </row>
    <row r="11" spans="1:11" x14ac:dyDescent="0.25">
      <c r="A11" s="191"/>
      <c r="B11" s="191" t="s">
        <v>282</v>
      </c>
      <c r="C11" s="191" t="s">
        <v>283</v>
      </c>
      <c r="D11" s="191" t="s">
        <v>284</v>
      </c>
      <c r="E11" s="191" t="s">
        <v>285</v>
      </c>
      <c r="F11" s="191" t="s">
        <v>286</v>
      </c>
    </row>
    <row r="12" spans="1:11" x14ac:dyDescent="0.25">
      <c r="A12" t="s">
        <v>279</v>
      </c>
      <c r="B12">
        <v>1</v>
      </c>
      <c r="C12">
        <v>6688.2725011184648</v>
      </c>
      <c r="D12">
        <v>6688.2725011184648</v>
      </c>
      <c r="E12">
        <v>30.015984160731552</v>
      </c>
      <c r="F12">
        <v>5.05194512825298E-5</v>
      </c>
    </row>
    <row r="13" spans="1:11" x14ac:dyDescent="0.25">
      <c r="A13" t="s">
        <v>280</v>
      </c>
      <c r="B13">
        <v>16</v>
      </c>
      <c r="C13">
        <v>3565.1791207264323</v>
      </c>
      <c r="D13">
        <v>222.82369504540202</v>
      </c>
    </row>
    <row r="14" spans="1:11" ht="15.75" thickBot="1" x14ac:dyDescent="0.3">
      <c r="A14" s="190" t="s">
        <v>213</v>
      </c>
      <c r="B14" s="190">
        <v>17</v>
      </c>
      <c r="C14" s="190">
        <v>10253.451621844897</v>
      </c>
      <c r="D14" s="190"/>
      <c r="E14" s="190"/>
      <c r="F14" s="190"/>
    </row>
    <row r="15" spans="1:11" ht="15.75" thickBot="1" x14ac:dyDescent="0.3"/>
    <row r="16" spans="1:11" x14ac:dyDescent="0.25">
      <c r="A16" s="191"/>
      <c r="B16" s="191" t="s">
        <v>287</v>
      </c>
      <c r="C16" s="191" t="s">
        <v>276</v>
      </c>
      <c r="D16" s="191" t="s">
        <v>288</v>
      </c>
      <c r="E16" s="191" t="s">
        <v>289</v>
      </c>
      <c r="F16" s="191" t="s">
        <v>290</v>
      </c>
      <c r="G16" s="191" t="s">
        <v>291</v>
      </c>
      <c r="H16" s="191" t="s">
        <v>292</v>
      </c>
      <c r="I16" s="191" t="s">
        <v>293</v>
      </c>
    </row>
    <row r="17" spans="1:9" x14ac:dyDescent="0.25">
      <c r="A17" t="s">
        <v>281</v>
      </c>
      <c r="B17">
        <v>-23.677908761933679</v>
      </c>
      <c r="C17">
        <v>13.417713091495887</v>
      </c>
      <c r="D17">
        <v>-1.7646754406263672</v>
      </c>
      <c r="E17">
        <v>9.6695947432281937E-2</v>
      </c>
      <c r="F17">
        <v>-52.122189848026224</v>
      </c>
      <c r="G17">
        <v>4.766372324158862</v>
      </c>
      <c r="H17">
        <v>-52.122189848026224</v>
      </c>
      <c r="I17">
        <v>4.766372324158862</v>
      </c>
    </row>
    <row r="18" spans="1:9" ht="15.75" thickBot="1" x14ac:dyDescent="0.3">
      <c r="A18" s="190" t="s">
        <v>270</v>
      </c>
      <c r="B18" s="190">
        <v>8.1423528890524786</v>
      </c>
      <c r="C18" s="190">
        <v>1.4861875778720437</v>
      </c>
      <c r="D18" s="190">
        <v>5.4786845283089232</v>
      </c>
      <c r="E18" s="190">
        <v>5.0519451282529692E-5</v>
      </c>
      <c r="F18" s="190">
        <v>4.991775967084731</v>
      </c>
      <c r="G18" s="190">
        <v>11.292929811020226</v>
      </c>
      <c r="H18" s="190">
        <v>4.991775967084731</v>
      </c>
      <c r="I18" s="190">
        <v>11.292929811020226</v>
      </c>
    </row>
    <row r="20" spans="1:9" x14ac:dyDescent="0.25">
      <c r="B20" s="194" t="s">
        <v>309</v>
      </c>
    </row>
    <row r="21" spans="1:9" x14ac:dyDescent="0.25">
      <c r="B21" s="194" t="s">
        <v>310</v>
      </c>
    </row>
    <row r="22" spans="1:9" x14ac:dyDescent="0.25">
      <c r="E22">
        <v>2</v>
      </c>
    </row>
  </sheetData>
  <mergeCells count="3">
    <mergeCell ref="J3:K3"/>
    <mergeCell ref="D4:H5"/>
    <mergeCell ref="D6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5226-8542-467C-83BC-0643B0894F21}">
  <dimension ref="A1:K21"/>
  <sheetViews>
    <sheetView zoomScale="70" zoomScaleNormal="70" workbookViewId="0">
      <selection activeCell="L30" sqref="L30"/>
    </sheetView>
  </sheetViews>
  <sheetFormatPr defaultRowHeight="15" x14ac:dyDescent="0.25"/>
  <cols>
    <col min="1" max="1" width="16.7109375" customWidth="1"/>
    <col min="2" max="2" width="14" customWidth="1"/>
    <col min="6" max="6" width="17.7109375" customWidth="1"/>
    <col min="10" max="10" width="11.28515625" customWidth="1"/>
    <col min="11" max="11" width="14.85546875" customWidth="1"/>
  </cols>
  <sheetData>
    <row r="1" spans="1:11" x14ac:dyDescent="0.25">
      <c r="A1" t="s">
        <v>271</v>
      </c>
      <c r="D1" t="s">
        <v>295</v>
      </c>
    </row>
    <row r="2" spans="1:11" ht="15.75" thickBot="1" x14ac:dyDescent="0.3">
      <c r="D2" t="s">
        <v>296</v>
      </c>
    </row>
    <row r="3" spans="1:11" x14ac:dyDescent="0.25">
      <c r="A3" s="192" t="s">
        <v>272</v>
      </c>
      <c r="B3" s="192"/>
      <c r="J3" s="275" t="s">
        <v>297</v>
      </c>
      <c r="K3" s="275"/>
    </row>
    <row r="4" spans="1:11" x14ac:dyDescent="0.25">
      <c r="A4" t="s">
        <v>273</v>
      </c>
      <c r="B4">
        <v>0.9131151694055416</v>
      </c>
      <c r="D4" s="415" t="s">
        <v>294</v>
      </c>
      <c r="E4" s="415"/>
      <c r="F4" s="415"/>
      <c r="G4" s="415"/>
      <c r="H4" s="415"/>
      <c r="J4" s="16" t="s">
        <v>298</v>
      </c>
      <c r="K4" s="16" t="s">
        <v>299</v>
      </c>
    </row>
    <row r="5" spans="1:11" x14ac:dyDescent="0.25">
      <c r="A5" t="s">
        <v>274</v>
      </c>
      <c r="B5">
        <v>0.8337793125985109</v>
      </c>
      <c r="D5" s="415"/>
      <c r="E5" s="415"/>
      <c r="F5" s="415"/>
      <c r="G5" s="415"/>
      <c r="H5" s="415"/>
      <c r="J5" s="16" t="s">
        <v>300</v>
      </c>
      <c r="K5" s="16" t="s">
        <v>301</v>
      </c>
    </row>
    <row r="6" spans="1:11" x14ac:dyDescent="0.25">
      <c r="A6" t="s">
        <v>275</v>
      </c>
      <c r="B6">
        <v>0.8250308553668535</v>
      </c>
      <c r="D6" s="416" t="s">
        <v>308</v>
      </c>
      <c r="E6" s="416"/>
      <c r="F6" s="416"/>
      <c r="G6" s="416"/>
      <c r="H6" s="416"/>
      <c r="J6" s="16" t="s">
        <v>302</v>
      </c>
      <c r="K6" s="16" t="s">
        <v>303</v>
      </c>
    </row>
    <row r="7" spans="1:11" x14ac:dyDescent="0.25">
      <c r="A7" t="s">
        <v>276</v>
      </c>
      <c r="B7">
        <v>8.134918752644765</v>
      </c>
      <c r="D7" s="416"/>
      <c r="E7" s="416"/>
      <c r="F7" s="416"/>
      <c r="G7" s="416"/>
      <c r="H7" s="416"/>
      <c r="J7" s="16" t="s">
        <v>304</v>
      </c>
      <c r="K7" s="16" t="s">
        <v>305</v>
      </c>
    </row>
    <row r="8" spans="1:11" ht="15.75" thickBot="1" x14ac:dyDescent="0.3">
      <c r="A8" s="190" t="s">
        <v>277</v>
      </c>
      <c r="B8" s="190">
        <v>21</v>
      </c>
      <c r="J8" s="16" t="s">
        <v>306</v>
      </c>
      <c r="K8" s="16" t="s">
        <v>307</v>
      </c>
    </row>
    <row r="10" spans="1:11" ht="15.75" thickBot="1" x14ac:dyDescent="0.3">
      <c r="A10" t="s">
        <v>278</v>
      </c>
    </row>
    <row r="11" spans="1:11" x14ac:dyDescent="0.25">
      <c r="A11" s="191"/>
      <c r="B11" s="191" t="s">
        <v>282</v>
      </c>
      <c r="C11" s="191" t="s">
        <v>283</v>
      </c>
      <c r="D11" s="191" t="s">
        <v>284</v>
      </c>
      <c r="E11" s="191" t="s">
        <v>285</v>
      </c>
      <c r="F11" s="191" t="s">
        <v>286</v>
      </c>
    </row>
    <row r="12" spans="1:11" x14ac:dyDescent="0.25">
      <c r="A12" t="s">
        <v>279</v>
      </c>
      <c r="B12">
        <v>1</v>
      </c>
      <c r="C12">
        <v>6307.0472113719707</v>
      </c>
      <c r="D12">
        <v>6307.0472113719707</v>
      </c>
      <c r="E12">
        <v>95.305868282853666</v>
      </c>
      <c r="F12" s="193">
        <v>7.7409755200234255E-9</v>
      </c>
    </row>
    <row r="13" spans="1:11" x14ac:dyDescent="0.25">
      <c r="A13" t="s">
        <v>280</v>
      </c>
      <c r="B13">
        <v>19</v>
      </c>
      <c r="C13">
        <v>1257.361159130498</v>
      </c>
      <c r="D13">
        <v>66.17690311213147</v>
      </c>
    </row>
    <row r="14" spans="1:11" ht="15.75" thickBot="1" x14ac:dyDescent="0.3">
      <c r="A14" s="190" t="s">
        <v>213</v>
      </c>
      <c r="B14" s="190">
        <v>20</v>
      </c>
      <c r="C14" s="190">
        <v>7564.4083705024686</v>
      </c>
      <c r="D14" s="190"/>
      <c r="E14" s="190"/>
      <c r="F14" s="190"/>
    </row>
    <row r="15" spans="1:11" ht="15.75" thickBot="1" x14ac:dyDescent="0.3"/>
    <row r="16" spans="1:11" x14ac:dyDescent="0.25">
      <c r="A16" s="191"/>
      <c r="B16" s="191" t="s">
        <v>287</v>
      </c>
      <c r="C16" s="191" t="s">
        <v>276</v>
      </c>
      <c r="D16" s="191" t="s">
        <v>288</v>
      </c>
      <c r="E16" s="191" t="s">
        <v>289</v>
      </c>
      <c r="F16" s="191" t="s">
        <v>290</v>
      </c>
      <c r="G16" s="191" t="s">
        <v>291</v>
      </c>
      <c r="H16" s="191" t="s">
        <v>292</v>
      </c>
      <c r="I16" s="191" t="s">
        <v>293</v>
      </c>
    </row>
    <row r="17" spans="1:9" x14ac:dyDescent="0.25">
      <c r="A17" t="s">
        <v>281</v>
      </c>
      <c r="B17">
        <v>-11.681674113798209</v>
      </c>
      <c r="C17">
        <v>5.318700370683362</v>
      </c>
      <c r="D17">
        <v>-2.1963399514263884</v>
      </c>
      <c r="E17">
        <v>4.0680091076491731E-2</v>
      </c>
      <c r="F17">
        <v>-22.813841927828879</v>
      </c>
      <c r="G17">
        <v>-0.54950629976753973</v>
      </c>
      <c r="H17">
        <v>-22.813841927828879</v>
      </c>
      <c r="I17">
        <v>-0.54950629976753973</v>
      </c>
    </row>
    <row r="18" spans="1:9" ht="15.75" thickBot="1" x14ac:dyDescent="0.3">
      <c r="A18" s="190" t="s">
        <v>270</v>
      </c>
      <c r="B18" s="190">
        <v>6.0769922804766772</v>
      </c>
      <c r="C18" s="190">
        <v>0.62248496098990069</v>
      </c>
      <c r="D18" s="190">
        <v>9.7624724472263544</v>
      </c>
      <c r="E18" s="190">
        <v>7.7409755200233957E-9</v>
      </c>
      <c r="F18" s="190">
        <v>4.7741162836173965</v>
      </c>
      <c r="G18" s="190">
        <v>7.3798682773359578</v>
      </c>
      <c r="H18" s="190">
        <v>4.7741162836173965</v>
      </c>
      <c r="I18" s="190">
        <v>7.3798682773359578</v>
      </c>
    </row>
    <row r="20" spans="1:9" x14ac:dyDescent="0.25">
      <c r="B20" s="194" t="s">
        <v>309</v>
      </c>
    </row>
    <row r="21" spans="1:9" x14ac:dyDescent="0.25">
      <c r="B21" s="194" t="s">
        <v>310</v>
      </c>
    </row>
  </sheetData>
  <mergeCells count="3">
    <mergeCell ref="D6:H7"/>
    <mergeCell ref="D4:H5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Perhitungan Bulbous Bow</vt:lpstr>
      <vt:lpstr>Data Kapal 1</vt:lpstr>
      <vt:lpstr>FOC REAL DF8</vt:lpstr>
      <vt:lpstr>FOC REAL DK9</vt:lpstr>
      <vt:lpstr>Testing DF8 (3)</vt:lpstr>
      <vt:lpstr>Sheet3</vt:lpstr>
      <vt:lpstr>DataRegresi DF 8</vt:lpstr>
      <vt:lpstr>Hasil Regresi DF8_1</vt:lpstr>
      <vt:lpstr>Hasil Regresi DF8_2</vt:lpstr>
      <vt:lpstr>Testing DK9 (3)</vt:lpstr>
      <vt:lpstr>Data Regresi DK 9</vt:lpstr>
      <vt:lpstr>Hasil Regresi DK9_1</vt:lpstr>
      <vt:lpstr>Sheet2</vt:lpstr>
      <vt:lpstr>Sheet1</vt:lpstr>
      <vt:lpstr>ferry</vt:lpstr>
      <vt:lpstr>kencana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Raffi</dc:creator>
  <cp:lastModifiedBy>Kevin</cp:lastModifiedBy>
  <cp:lastPrinted>2023-01-28T13:20:07Z</cp:lastPrinted>
  <dcterms:created xsi:type="dcterms:W3CDTF">2023-01-24T10:56:16Z</dcterms:created>
  <dcterms:modified xsi:type="dcterms:W3CDTF">2023-07-08T12:08:07Z</dcterms:modified>
</cp:coreProperties>
</file>