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ladin Gear Template" sheetId="1" r:id="rId4"/>
    <sheet state="visible" name="Paladin Gear Template (Vertical" sheetId="2" r:id="rId5"/>
    <sheet state="visible" name="Consumables List" sheetId="3" r:id="rId6"/>
    <sheet state="visible" name="Raid Buffs" sheetId="4" r:id="rId7"/>
    <sheet state="hidden" name="Calculation Not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G12">
      <text>
        <t xml:space="preserve">This represents your mandatory buffs:
Righteous Fury
Seal of Righteousness
One Paladin Aura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9">
      <text>
        <t xml:space="preserve">This represents your mandatory buffs:
Righteous Fury
Seal of Righteousness
One Paladin Aura</t>
      </text>
    </comment>
  </commentList>
</comments>
</file>

<file path=xl/sharedStrings.xml><?xml version="1.0" encoding="utf-8"?>
<sst xmlns="http://schemas.openxmlformats.org/spreadsheetml/2006/main" count="448" uniqueCount="196">
  <si>
    <t>Gear Stats</t>
  </si>
  <si>
    <t>Base Stats</t>
  </si>
  <si>
    <t>Item Slot</t>
  </si>
  <si>
    <t>Item</t>
  </si>
  <si>
    <t>Armor</t>
  </si>
  <si>
    <t>Strength</t>
  </si>
  <si>
    <t>Stamina</t>
  </si>
  <si>
    <t>Agility</t>
  </si>
  <si>
    <t>Intellect</t>
  </si>
  <si>
    <t>Spirit</t>
  </si>
  <si>
    <t>SP</t>
  </si>
  <si>
    <t>HP</t>
  </si>
  <si>
    <t>AP</t>
  </si>
  <si>
    <t>Hit %</t>
  </si>
  <si>
    <t>Crit %</t>
  </si>
  <si>
    <t>Haste %</t>
  </si>
  <si>
    <t xml:space="preserve">Sp Hit </t>
  </si>
  <si>
    <t>Sp Crit</t>
  </si>
  <si>
    <t>MP5</t>
  </si>
  <si>
    <t>Dodge</t>
  </si>
  <si>
    <t>Parry</t>
  </si>
  <si>
    <t>Block</t>
  </si>
  <si>
    <t>Resilience</t>
  </si>
  <si>
    <t>Defense</t>
  </si>
  <si>
    <t>Arcane</t>
  </si>
  <si>
    <t>Fire</t>
  </si>
  <si>
    <t>Nature</t>
  </si>
  <si>
    <t>Frost</t>
  </si>
  <si>
    <t>Shadow</t>
  </si>
  <si>
    <t>Health</t>
  </si>
  <si>
    <t>Head</t>
  </si>
  <si>
    <t>Judgement Crown</t>
  </si>
  <si>
    <t>Mana</t>
  </si>
  <si>
    <t>Stat Calculator Settings</t>
  </si>
  <si>
    <t>Neck</t>
  </si>
  <si>
    <t>Onyxia Tooth Pendant</t>
  </si>
  <si>
    <t>Mob Level</t>
  </si>
  <si>
    <t>Shoulders</t>
  </si>
  <si>
    <t>Judgement Spaulders</t>
  </si>
  <si>
    <t>Weapon Skill Racial Active:</t>
  </si>
  <si>
    <t>Back</t>
  </si>
  <si>
    <t>Cloak of the Hakkari Worshipers</t>
  </si>
  <si>
    <t>Consumables?</t>
  </si>
  <si>
    <t>Chest</t>
  </si>
  <si>
    <t>Zandalar Freethinker's Breastplate</t>
  </si>
  <si>
    <t>Raid Buffs?</t>
  </si>
  <si>
    <t>Wrist</t>
  </si>
  <si>
    <t>Zandalar Freethinker's Armguards</t>
  </si>
  <si>
    <t>Blessing of Kings?</t>
  </si>
  <si>
    <t>Hands</t>
  </si>
  <si>
    <t>Judgement Gauntlets</t>
  </si>
  <si>
    <t>Holy Shield?</t>
  </si>
  <si>
    <t>Waist</t>
  </si>
  <si>
    <t>Zandalar Freethinker's Belt</t>
  </si>
  <si>
    <t>Defensive Stats</t>
  </si>
  <si>
    <t>Redoubt?</t>
  </si>
  <si>
    <t>Legs</t>
  </si>
  <si>
    <t>Judgement Legplates</t>
  </si>
  <si>
    <t>Base Buffs</t>
  </si>
  <si>
    <t>Feet</t>
  </si>
  <si>
    <t>Judgement Sabatons</t>
  </si>
  <si>
    <t>Armor Miti</t>
  </si>
  <si>
    <t>Buff Count</t>
  </si>
  <si>
    <t>Ring 1</t>
  </si>
  <si>
    <t>Signet of the Battlecaster</t>
  </si>
  <si>
    <t>Ring 2</t>
  </si>
  <si>
    <t>Band of Accuria</t>
  </si>
  <si>
    <t>Miss</t>
  </si>
  <si>
    <t>Trinket 1</t>
  </si>
  <si>
    <t>Draconic Infused Emblem</t>
  </si>
  <si>
    <t>Trinket 2</t>
  </si>
  <si>
    <t>Zandalrian Hero Charm</t>
  </si>
  <si>
    <t>Main Hand</t>
  </si>
  <si>
    <t>Lok'amir il Romathis</t>
  </si>
  <si>
    <t>Offhand</t>
  </si>
  <si>
    <t>Scaleshield of Emerald Flight</t>
  </si>
  <si>
    <t>Defense Table</t>
  </si>
  <si>
    <t>Relic</t>
  </si>
  <si>
    <t>Libram of Fervor</t>
  </si>
  <si>
    <t>Melee Stats</t>
  </si>
  <si>
    <t>Result</t>
  </si>
  <si>
    <t>Chance</t>
  </si>
  <si>
    <t>Last Max Range</t>
  </si>
  <si>
    <t>Die Roll</t>
  </si>
  <si>
    <t>Set Bonuses</t>
  </si>
  <si>
    <t>Attack Power</t>
  </si>
  <si>
    <t>Talents</t>
  </si>
  <si>
    <t>https://talents.turtle-wow.org/paladin/0-5IDL0J-5FUVCC0U</t>
  </si>
  <si>
    <t>Melee Hit</t>
  </si>
  <si>
    <t>Melee Crit</t>
  </si>
  <si>
    <t>Enchants</t>
  </si>
  <si>
    <t>Haste</t>
  </si>
  <si>
    <t>Spell Stats</t>
  </si>
  <si>
    <t>Crit</t>
  </si>
  <si>
    <t>Enchant Slot</t>
  </si>
  <si>
    <t>Enchant</t>
  </si>
  <si>
    <t>Spell Damage</t>
  </si>
  <si>
    <t>Crush</t>
  </si>
  <si>
    <t>ZG Enchant</t>
  </si>
  <si>
    <t>Spell Crit</t>
  </si>
  <si>
    <t>Ordinary</t>
  </si>
  <si>
    <t>Spell Hit</t>
  </si>
  <si>
    <t>ZG Stam</t>
  </si>
  <si>
    <t>Healing</t>
  </si>
  <si>
    <t>100 HP</t>
  </si>
  <si>
    <t>Resistances</t>
  </si>
  <si>
    <t>Mithril Belt Buckle</t>
  </si>
  <si>
    <t>7 Stam</t>
  </si>
  <si>
    <t>Wep Spellpower</t>
  </si>
  <si>
    <t>Lesser Block</t>
  </si>
  <si>
    <t>Offensive Stats</t>
  </si>
  <si>
    <t>Consumables:</t>
  </si>
  <si>
    <t>Raid Buffs:</t>
  </si>
  <si>
    <t>Blessing of Kings:</t>
  </si>
  <si>
    <t>Spell Power</t>
  </si>
  <si>
    <t>Holy Shield:</t>
  </si>
  <si>
    <t>Redoubt:</t>
  </si>
  <si>
    <t>DO NOT USE</t>
  </si>
  <si>
    <t>Corrupted Reed</t>
  </si>
  <si>
    <t>Set Bonus</t>
  </si>
  <si>
    <t>Consumable</t>
  </si>
  <si>
    <t>Spell Crit %</t>
  </si>
  <si>
    <t>HP5</t>
  </si>
  <si>
    <t>Cost Estimate</t>
  </si>
  <si>
    <t>Time Length (h)</t>
  </si>
  <si>
    <t>Cost Per Hour</t>
  </si>
  <si>
    <t>Using</t>
  </si>
  <si>
    <t>Flask of The Titans</t>
  </si>
  <si>
    <t>Ground Scorpok Assay</t>
  </si>
  <si>
    <t>Lung Juice Cocktail</t>
  </si>
  <si>
    <t>Elixir of the Mongoose</t>
  </si>
  <si>
    <t>Mageblood Potion</t>
  </si>
  <si>
    <t>Elixir of Fortitude</t>
  </si>
  <si>
    <t>Elixir of Superior Defense</t>
  </si>
  <si>
    <t>Elixir of Giants</t>
  </si>
  <si>
    <t>Winterfall Firewater</t>
  </si>
  <si>
    <t>Dreamshard Elixir</t>
  </si>
  <si>
    <t>Greater Arcane Elixir</t>
  </si>
  <si>
    <t>Dreamtonic</t>
  </si>
  <si>
    <t>Hardened Mushroom</t>
  </si>
  <si>
    <t>Rumsey Rum Black Label</t>
  </si>
  <si>
    <t>Spirit of Zanza</t>
  </si>
  <si>
    <t>Nightfin Soup</t>
  </si>
  <si>
    <t>Major Troll's Blood Potion</t>
  </si>
  <si>
    <t>Juju Might</t>
  </si>
  <si>
    <t>Juju Power</t>
  </si>
  <si>
    <t>Total Buff</t>
  </si>
  <si>
    <t>Class</t>
  </si>
  <si>
    <t>Gift of the Wild</t>
  </si>
  <si>
    <t>Druid</t>
  </si>
  <si>
    <t>Moonkin Aura</t>
  </si>
  <si>
    <t>Leader of the Pack</t>
  </si>
  <si>
    <t>Trueshot Aura</t>
  </si>
  <si>
    <t>Hunter</t>
  </si>
  <si>
    <t>Arcane Brilliance</t>
  </si>
  <si>
    <t>Mage</t>
  </si>
  <si>
    <t>Blessing of Might</t>
  </si>
  <si>
    <t>Paladin</t>
  </si>
  <si>
    <t>Blessing of Wisdom</t>
  </si>
  <si>
    <t>Devotion Aura</t>
  </si>
  <si>
    <t>Prayer of Fortitude</t>
  </si>
  <si>
    <t>Priest</t>
  </si>
  <si>
    <t>Proclaim Champion</t>
  </si>
  <si>
    <t>Empower Champion</t>
  </si>
  <si>
    <t>Strength of Earth Totem</t>
  </si>
  <si>
    <t>Shaman</t>
  </si>
  <si>
    <t>Blood Pact</t>
  </si>
  <si>
    <t>Warlock</t>
  </si>
  <si>
    <t>Battle Shout</t>
  </si>
  <si>
    <t>Warrior</t>
  </si>
  <si>
    <t>STR</t>
  </si>
  <si>
    <t>9% Hit Cap</t>
  </si>
  <si>
    <t>305 Weapon Skill = 3% Hit</t>
  </si>
  <si>
    <t>2(STR) = AP</t>
  </si>
  <si>
    <t>STR/20 = 1 Shield Block</t>
  </si>
  <si>
    <t>16% Spell Hit Cap</t>
  </si>
  <si>
    <t>AGI</t>
  </si>
  <si>
    <t>2(AGI) = Armor</t>
  </si>
  <si>
    <t>AGI/20 = Crit</t>
  </si>
  <si>
    <t>AGI/20 = Dodge</t>
  </si>
  <si>
    <t>INT</t>
  </si>
  <si>
    <t>INT/54 = Spell Crit</t>
  </si>
  <si>
    <t>INT*15 = Mana</t>
  </si>
  <si>
    <t>STA</t>
  </si>
  <si>
    <t>STA*10 = Health</t>
  </si>
  <si>
    <t>AP/14 = DPS</t>
  </si>
  <si>
    <t>DEF</t>
  </si>
  <si>
    <t>DEF(.04) = Dodge</t>
  </si>
  <si>
    <t>Armor = (Armor from Gear) + (2(Agility))</t>
  </si>
  <si>
    <t>Defense = 300 + Gear</t>
  </si>
  <si>
    <t>Dodge = (AGI/19.767) + 0.7) + Dodge</t>
  </si>
  <si>
    <t>Block = 5% base + Block Rating + talents + ((Defense skill - enemy's weapon skill) * 0.04)</t>
  </si>
  <si>
    <t>Block Value = Block Value + (STR/20)</t>
  </si>
  <si>
    <t>AP = (160) + (STR * 2 ) + AP</t>
  </si>
  <si>
    <t>DPS = DPS + (AP/14)</t>
  </si>
  <si>
    <t>Spell Crit = (INT/54) + Spell Crit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</si>
</sst>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16.0"/>
      <color theme="1"/>
      <name val="Arial"/>
    </font>
    <font>
      <b/>
      <sz val="11.0"/>
      <color theme="1"/>
      <name val="Arial"/>
      <scheme val="minor"/>
    </font>
    <font/>
    <font>
      <u/>
      <sz val="11.0"/>
      <color rgb="FF1155CC"/>
      <name val="Arial"/>
      <scheme val="minor"/>
    </font>
    <font>
      <u/>
      <sz val="11.0"/>
      <color rgb="FF1155CC"/>
    </font>
    <font>
      <sz val="11.0"/>
      <color theme="1"/>
      <name val="Arial"/>
    </font>
    <font>
      <color theme="1"/>
      <name val="Arial"/>
    </font>
    <font>
      <b/>
      <sz val="11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6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center"/>
    </xf>
    <xf borderId="0" fillId="0" fontId="1" numFmtId="0" xfId="0" applyFont="1"/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2" fillId="2" fontId="3" numFmtId="0" xfId="0" applyAlignment="1" applyBorder="1" applyFill="1" applyFont="1">
      <alignment horizontal="center" readingOrder="0"/>
    </xf>
    <xf borderId="3" fillId="2" fontId="4" numFmtId="0" xfId="0" applyBorder="1" applyFont="1"/>
    <xf borderId="4" fillId="0" fontId="1" numFmtId="0" xfId="0" applyAlignment="1" applyBorder="1" applyFont="1">
      <alignment horizontal="center" readingOrder="0" vertical="bottom"/>
    </xf>
    <xf borderId="5" fillId="0" fontId="1" numFmtId="0" xfId="0" applyAlignment="1" applyBorder="1" applyFont="1">
      <alignment horizontal="center" readingOrder="0" vertical="bottom"/>
    </xf>
    <xf borderId="5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readingOrder="0" vertical="bottom"/>
    </xf>
    <xf borderId="7" fillId="3" fontId="1" numFmtId="0" xfId="0" applyAlignment="1" applyBorder="1" applyFill="1" applyFont="1">
      <alignment vertical="bottom"/>
    </xf>
    <xf borderId="8" fillId="3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8" fillId="0" fontId="1" numFmtId="0" xfId="0" applyAlignment="1" applyBorder="1" applyFont="1">
      <alignment vertical="bottom"/>
    </xf>
    <xf borderId="7" fillId="4" fontId="1" numFmtId="0" xfId="0" applyAlignment="1" applyBorder="1" applyFill="1" applyFont="1">
      <alignment vertical="bottom"/>
    </xf>
    <xf borderId="8" fillId="4" fontId="1" numFmtId="0" xfId="0" applyAlignment="1" applyBorder="1" applyFont="1">
      <alignment horizontal="right" vertical="bottom"/>
    </xf>
    <xf borderId="2" fillId="2" fontId="3" numFmtId="0" xfId="0" applyAlignment="1" applyBorder="1" applyFont="1">
      <alignment horizontal="center" vertical="bottom"/>
    </xf>
    <xf borderId="8" fillId="3" fontId="1" numFmtId="0" xfId="0" applyAlignment="1" applyBorder="1" applyFont="1">
      <alignment vertical="bottom"/>
    </xf>
    <xf borderId="8" fillId="3" fontId="1" numFmtId="0" xfId="0" applyAlignment="1" applyBorder="1" applyFont="1">
      <alignment horizontal="center" vertical="bottom"/>
    </xf>
    <xf borderId="8" fillId="4" fontId="1" numFmtId="1" xfId="0" applyAlignment="1" applyBorder="1" applyFont="1" applyNumberFormat="1">
      <alignment horizontal="right" vertical="bottom"/>
    </xf>
    <xf borderId="7" fillId="5" fontId="1" numFmtId="0" xfId="0" applyAlignment="1" applyBorder="1" applyFill="1" applyFont="1">
      <alignment vertical="bottom"/>
    </xf>
    <xf borderId="8" fillId="5" fontId="1" numFmtId="0" xfId="0" applyAlignment="1" applyBorder="1" applyFont="1">
      <alignment readingOrder="0"/>
    </xf>
    <xf borderId="8" fillId="3" fontId="1" numFmtId="1" xfId="0" applyAlignment="1" applyBorder="1" applyFont="1" applyNumberFormat="1">
      <alignment horizontal="right" vertical="bottom"/>
    </xf>
    <xf borderId="8" fillId="3" fontId="1" numFmtId="0" xfId="0" applyAlignment="1" applyBorder="1" applyFont="1">
      <alignment readingOrder="0"/>
    </xf>
    <xf borderId="9" fillId="4" fontId="1" numFmtId="0" xfId="0" applyAlignment="1" applyBorder="1" applyFont="1">
      <alignment vertical="bottom"/>
    </xf>
    <xf borderId="5" fillId="4" fontId="1" numFmtId="1" xfId="0" applyAlignment="1" applyBorder="1" applyFont="1" applyNumberFormat="1">
      <alignment horizontal="right" vertical="bottom"/>
    </xf>
    <xf borderId="8" fillId="5" fontId="1" numFmtId="0" xfId="0" applyBorder="1" applyFont="1"/>
    <xf borderId="2" fillId="2" fontId="3" numFmtId="0" xfId="0" applyAlignment="1" applyBorder="1" applyFont="1">
      <alignment horizontal="center" readingOrder="0" vertical="bottom"/>
    </xf>
    <xf borderId="8" fillId="3" fontId="1" numFmtId="0" xfId="0" applyBorder="1" applyFont="1"/>
    <xf borderId="0" fillId="3" fontId="1" numFmtId="0" xfId="0" applyAlignment="1" applyFont="1">
      <alignment readingOrder="0" vertical="bottom"/>
    </xf>
    <xf borderId="10" fillId="3" fontId="1" numFmtId="0" xfId="0" applyAlignment="1" applyBorder="1" applyFont="1">
      <alignment vertical="bottom"/>
    </xf>
    <xf borderId="11" fillId="3" fontId="1" numFmtId="0" xfId="0" applyAlignment="1" applyBorder="1" applyFont="1">
      <alignment horizontal="right" vertical="bottom"/>
    </xf>
    <xf borderId="8" fillId="5" fontId="1" numFmtId="0" xfId="0" applyAlignment="1" applyBorder="1" applyFont="1">
      <alignment horizontal="center" vertical="bottom"/>
    </xf>
    <xf borderId="7" fillId="4" fontId="1" numFmtId="0" xfId="0" applyAlignment="1" applyBorder="1" applyFont="1">
      <alignment readingOrder="0" vertical="bottom"/>
    </xf>
    <xf borderId="8" fillId="4" fontId="1" numFmtId="10" xfId="0" applyAlignment="1" applyBorder="1" applyFont="1" applyNumberFormat="1">
      <alignment horizontal="right" vertical="bottom"/>
    </xf>
    <xf borderId="9" fillId="3" fontId="1" numFmtId="0" xfId="0" applyAlignment="1" applyBorder="1" applyFont="1">
      <alignment vertical="bottom"/>
    </xf>
    <xf borderId="5" fillId="3" fontId="1" numFmtId="0" xfId="0" applyAlignment="1" applyBorder="1" applyFont="1">
      <alignment horizontal="center" vertical="bottom"/>
    </xf>
    <xf borderId="8" fillId="3" fontId="1" numFmtId="10" xfId="0" applyAlignment="1" applyBorder="1" applyFont="1" applyNumberFormat="1">
      <alignment horizontal="right" vertical="bottom"/>
    </xf>
    <xf borderId="5" fillId="4" fontId="1" numFmtId="10" xfId="0" applyAlignment="1" applyBorder="1" applyFont="1" applyNumberFormat="1">
      <alignment horizontal="right" vertical="bottom"/>
    </xf>
    <xf borderId="2" fillId="6" fontId="3" numFmtId="0" xfId="0" applyAlignment="1" applyBorder="1" applyFill="1" applyFont="1">
      <alignment horizontal="center" vertical="bottom"/>
    </xf>
    <xf borderId="12" fillId="0" fontId="4" numFmtId="0" xfId="0" applyBorder="1" applyFont="1"/>
    <xf borderId="3" fillId="0" fontId="4" numFmtId="0" xfId="0" applyBorder="1" applyFont="1"/>
    <xf borderId="8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readingOrder="0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vertical="bottom"/>
    </xf>
    <xf borderId="8" fillId="0" fontId="1" numFmtId="0" xfId="0" applyAlignment="1" applyBorder="1" applyFont="1">
      <alignment vertical="bottom"/>
    </xf>
    <xf borderId="11" fillId="3" fontId="1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2" xfId="0" applyAlignment="1" applyFont="1" applyNumberFormat="1">
      <alignment horizontal="right" vertical="bottom"/>
    </xf>
    <xf borderId="8" fillId="0" fontId="1" numFmtId="0" xfId="0" applyAlignment="1" applyBorder="1" applyFont="1">
      <alignment horizontal="center" vertical="bottom"/>
    </xf>
    <xf borderId="1" fillId="0" fontId="6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9" fillId="2" fontId="3" numFmtId="0" xfId="0" applyAlignment="1" applyBorder="1" applyFont="1">
      <alignment horizontal="center" readingOrder="0" vertical="bottom"/>
    </xf>
    <xf borderId="5" fillId="2" fontId="4" numFmtId="0" xfId="0" applyBorder="1" applyFont="1"/>
    <xf borderId="0" fillId="0" fontId="1" numFmtId="0" xfId="0" applyAlignment="1" applyFont="1">
      <alignment horizontal="right" vertical="bottom"/>
    </xf>
    <xf borderId="6" fillId="0" fontId="1" numFmtId="0" xfId="0" applyAlignment="1" applyBorder="1" applyFont="1">
      <alignment horizontal="center" readingOrder="0" vertical="bottom"/>
    </xf>
    <xf borderId="3" fillId="7" fontId="1" numFmtId="0" xfId="0" applyAlignment="1" applyBorder="1" applyFill="1" applyFont="1">
      <alignment horizontal="center" vertical="bottom"/>
    </xf>
    <xf borderId="11" fillId="3" fontId="1" numFmtId="2" xfId="0" applyAlignment="1" applyBorder="1" applyFont="1" applyNumberFormat="1">
      <alignment horizontal="right" vertical="bottom"/>
    </xf>
    <xf borderId="13" fillId="0" fontId="1" numFmtId="0" xfId="0" applyAlignment="1" applyBorder="1" applyFont="1">
      <alignment horizontal="right" vertical="bottom"/>
    </xf>
    <xf borderId="0" fillId="7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1" numFmtId="2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5" fillId="3" fontId="1" numFmtId="0" xfId="0" applyAlignment="1" applyBorder="1" applyFont="1">
      <alignment horizontal="right" vertical="bottom"/>
    </xf>
    <xf borderId="10" fillId="3" fontId="1" numFmtId="0" xfId="0" applyAlignment="1" applyBorder="1" applyFont="1">
      <alignment readingOrder="0" vertical="bottom"/>
    </xf>
    <xf borderId="8" fillId="4" fontId="1" numFmtId="0" xfId="0" applyAlignment="1" applyBorder="1" applyFont="1">
      <alignment horizontal="right" vertical="bottom"/>
    </xf>
    <xf borderId="7" fillId="3" fontId="1" numFmtId="0" xfId="0" applyAlignment="1" applyBorder="1" applyFont="1">
      <alignment readingOrder="0" vertical="bottom"/>
    </xf>
    <xf borderId="8" fillId="3" fontId="1" numFmtId="0" xfId="0" applyAlignment="1" applyBorder="1" applyFont="1">
      <alignment horizontal="right" vertical="bottom"/>
    </xf>
    <xf borderId="9" fillId="3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vertical="bottom"/>
    </xf>
    <xf borderId="1" fillId="7" fontId="1" numFmtId="0" xfId="0" applyAlignment="1" applyBorder="1" applyFont="1">
      <alignment vertical="bottom"/>
    </xf>
    <xf borderId="10" fillId="2" fontId="3" numFmtId="0" xfId="0" applyAlignment="1" applyBorder="1" applyFont="1">
      <alignment horizontal="center" vertical="bottom"/>
    </xf>
    <xf borderId="11" fillId="2" fontId="4" numFmtId="0" xfId="0" applyBorder="1" applyFont="1"/>
    <xf borderId="12" fillId="2" fontId="4" numFmtId="0" xfId="0" applyBorder="1" applyFont="1"/>
    <xf borderId="0" fillId="0" fontId="3" numFmtId="0" xfId="0" applyAlignment="1" applyFont="1">
      <alignment horizontal="center" vertical="bottom"/>
    </xf>
    <xf borderId="11" fillId="3" fontId="1" numFmtId="0" xfId="0" applyAlignment="1" applyBorder="1" applyFont="1">
      <alignment horizontal="center" vertical="bottom"/>
    </xf>
    <xf borderId="13" fillId="3" fontId="4" numFmtId="0" xfId="0" applyBorder="1" applyFont="1"/>
    <xf borderId="13" fillId="3" fontId="1" numFmtId="0" xfId="0" applyAlignment="1" applyBorder="1" applyFont="1">
      <alignment horizontal="right" vertical="bottom"/>
    </xf>
    <xf borderId="11" fillId="3" fontId="4" numFmtId="0" xfId="0" applyBorder="1" applyFont="1"/>
    <xf borderId="0" fillId="0" fontId="3" numFmtId="0" xfId="0" applyAlignment="1" applyFont="1">
      <alignment horizontal="center" vertical="center"/>
    </xf>
    <xf borderId="13" fillId="3" fontId="1" numFmtId="0" xfId="0" applyAlignment="1" applyBorder="1" applyFont="1">
      <alignment vertical="bottom"/>
    </xf>
    <xf borderId="2" fillId="2" fontId="1" numFmtId="0" xfId="0" applyAlignment="1" applyBorder="1" applyFont="1">
      <alignment horizontal="center" vertical="bottom"/>
    </xf>
    <xf borderId="12" fillId="2" fontId="1" numFmtId="0" xfId="0" applyAlignment="1" applyBorder="1" applyFont="1">
      <alignment horizontal="center" vertical="bottom"/>
    </xf>
    <xf borderId="12" fillId="2" fontId="1" numFmtId="0" xfId="0" applyAlignment="1" applyBorder="1" applyFont="1">
      <alignment horizontal="center" vertical="bottom"/>
    </xf>
    <xf borderId="8" fillId="4" fontId="1" numFmtId="0" xfId="0" applyAlignment="1" applyBorder="1" applyFont="1">
      <alignment readingOrder="0"/>
    </xf>
    <xf borderId="0" fillId="4" fontId="1" numFmtId="10" xfId="0" applyAlignment="1" applyFont="1" applyNumberFormat="1">
      <alignment horizontal="right" vertical="bottom"/>
    </xf>
    <xf borderId="8" fillId="4" fontId="4" numFmtId="0" xfId="0" applyBorder="1" applyFont="1"/>
    <xf borderId="0" fillId="3" fontId="1" numFmtId="2" xfId="0" applyAlignment="1" applyFont="1" applyNumberFormat="1">
      <alignment horizontal="right" vertical="bottom"/>
    </xf>
    <xf borderId="0" fillId="3" fontId="1" numFmtId="0" xfId="0" applyAlignment="1" applyFont="1">
      <alignment horizontal="center" vertical="bottom"/>
    </xf>
    <xf borderId="8" fillId="0" fontId="4" numFmtId="0" xfId="0" applyBorder="1" applyFont="1"/>
    <xf borderId="7" fillId="3" fontId="1" numFmtId="0" xfId="0" applyBorder="1" applyFont="1"/>
    <xf borderId="8" fillId="3" fontId="1" numFmtId="0" xfId="0" applyBorder="1" applyFont="1"/>
    <xf borderId="0" fillId="3" fontId="1" numFmtId="0" xfId="0" applyAlignment="1" applyFont="1">
      <alignment horizontal="right" vertical="bottom"/>
    </xf>
    <xf borderId="8" fillId="3" fontId="4" numFmtId="0" xfId="0" applyBorder="1" applyFont="1"/>
    <xf borderId="0" fillId="4" fontId="1" numFmtId="2" xfId="0" applyAlignment="1" applyFont="1" applyNumberFormat="1">
      <alignment horizontal="right" vertical="bottom"/>
    </xf>
    <xf borderId="0" fillId="4" fontId="1" numFmtId="0" xfId="0" applyAlignment="1" applyFont="1">
      <alignment horizontal="center" vertical="bottom"/>
    </xf>
    <xf borderId="7" fillId="4" fontId="1" numFmtId="0" xfId="0" applyAlignment="1" applyBorder="1" applyFont="1">
      <alignment readingOrder="0"/>
    </xf>
    <xf borderId="8" fillId="4" fontId="1" numFmtId="10" xfId="0" applyBorder="1" applyFont="1" applyNumberFormat="1"/>
    <xf borderId="0" fillId="3" fontId="1" numFmtId="10" xfId="0" applyAlignment="1" applyFont="1" applyNumberFormat="1">
      <alignment horizontal="right" vertical="bottom"/>
    </xf>
    <xf borderId="7" fillId="4" fontId="1" numFmtId="0" xfId="0" applyAlignment="1" applyBorder="1" applyFont="1">
      <alignment vertical="bottom"/>
    </xf>
    <xf borderId="0" fillId="4" fontId="1" numFmtId="0" xfId="0" applyAlignment="1" applyFont="1">
      <alignment horizontal="right" vertical="bottom"/>
    </xf>
    <xf borderId="8" fillId="4" fontId="1" numFmtId="0" xfId="0" applyAlignment="1" applyBorder="1" applyFont="1">
      <alignment horizontal="center" vertical="bottom"/>
    </xf>
    <xf borderId="1" fillId="4" fontId="4" numFmtId="0" xfId="0" applyBorder="1" applyFont="1"/>
    <xf borderId="1" fillId="4" fontId="1" numFmtId="10" xfId="0" applyAlignment="1" applyBorder="1" applyFont="1" applyNumberFormat="1">
      <alignment horizontal="right" vertical="bottom"/>
    </xf>
    <xf borderId="5" fillId="4" fontId="4" numFmtId="0" xfId="0" applyBorder="1" applyFont="1"/>
    <xf borderId="1" fillId="3" fontId="4" numFmtId="0" xfId="0" applyBorder="1" applyFont="1"/>
    <xf borderId="1" fillId="3" fontId="1" numFmtId="2" xfId="0" applyAlignment="1" applyBorder="1" applyFont="1" applyNumberFormat="1">
      <alignment horizontal="right" vertical="bottom"/>
    </xf>
    <xf borderId="1" fillId="3" fontId="1" numFmtId="0" xfId="0" applyAlignment="1" applyBorder="1" applyFont="1">
      <alignment horizontal="right" vertical="bottom"/>
    </xf>
    <xf borderId="1" fillId="3" fontId="1" numFmtId="0" xfId="0" applyAlignment="1" applyBorder="1" applyFont="1">
      <alignment horizontal="center" vertical="bottom"/>
    </xf>
    <xf borderId="5" fillId="0" fontId="4" numFmtId="0" xfId="0" applyBorder="1" applyFont="1"/>
    <xf borderId="4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6" fontId="1" numFmtId="0" xfId="0" applyAlignment="1" applyFont="1">
      <alignment horizontal="right" vertical="bottom"/>
    </xf>
    <xf borderId="8" fillId="0" fontId="1" numFmtId="0" xfId="0" applyAlignment="1" applyBorder="1" applyFont="1">
      <alignment horizontal="right" readingOrder="0" vertical="bottom"/>
    </xf>
    <xf borderId="0" fillId="6" fontId="1" numFmtId="0" xfId="0" applyAlignment="1" applyFont="1">
      <alignment horizontal="right" readingOrder="0" vertical="bottom"/>
    </xf>
    <xf borderId="8" fillId="0" fontId="1" numFmtId="0" xfId="0" applyAlignment="1" applyBorder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6" fontId="1" numFmtId="0" xfId="0" applyAlignment="1" applyFont="1">
      <alignment vertical="bottom"/>
    </xf>
    <xf borderId="1" fillId="6" fontId="1" numFmtId="0" xfId="0" applyAlignment="1" applyBorder="1" applyFont="1">
      <alignment vertical="bottom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6" fontId="1" numFmtId="0" xfId="0" applyAlignment="1" applyBorder="1" applyFont="1">
      <alignment vertical="bottom"/>
    </xf>
    <xf borderId="6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0" fillId="3" fontId="7" numFmtId="0" xfId="0" applyAlignment="1" applyBorder="1" applyFont="1">
      <alignment vertical="bottom"/>
    </xf>
    <xf borderId="13" fillId="3" fontId="8" numFmtId="0" xfId="0" applyAlignment="1" applyBorder="1" applyFont="1">
      <alignment vertical="bottom"/>
    </xf>
    <xf borderId="13" fillId="3" fontId="7" numFmtId="0" xfId="0" applyAlignment="1" applyBorder="1" applyFont="1">
      <alignment horizontal="right" vertical="bottom"/>
    </xf>
    <xf borderId="13" fillId="3" fontId="8" numFmtId="0" xfId="0" applyAlignment="1" applyBorder="1" applyFont="1">
      <alignment vertical="bottom"/>
    </xf>
    <xf borderId="13" fillId="3" fontId="9" numFmtId="0" xfId="0" applyAlignment="1" applyBorder="1" applyFont="1">
      <alignment horizontal="right" vertical="bottom"/>
    </xf>
    <xf borderId="11" fillId="3" fontId="9" numFmtId="0" xfId="0" applyAlignment="1" applyBorder="1" applyFont="1">
      <alignment horizontal="right" vertical="bottom"/>
    </xf>
    <xf borderId="14" fillId="0" fontId="1" numFmtId="0" xfId="0" applyAlignment="1" applyBorder="1" applyFont="1">
      <alignment readingOrder="0"/>
    </xf>
    <xf borderId="7" fillId="5" fontId="7" numFmtId="0" xfId="0" applyAlignment="1" applyBorder="1" applyFont="1">
      <alignment vertical="bottom"/>
    </xf>
    <xf borderId="0" fillId="5" fontId="8" numFmtId="0" xfId="0" applyAlignment="1" applyFont="1">
      <alignment vertical="bottom"/>
    </xf>
    <xf borderId="0" fillId="5" fontId="7" numFmtId="0" xfId="0" applyAlignment="1" applyFont="1">
      <alignment horizontal="right" vertical="bottom"/>
    </xf>
    <xf borderId="0" fillId="5" fontId="8" numFmtId="0" xfId="0" applyAlignment="1" applyFont="1">
      <alignment vertical="bottom"/>
    </xf>
    <xf borderId="8" fillId="5" fontId="7" numFmtId="0" xfId="0" applyAlignment="1" applyBorder="1" applyFont="1">
      <alignment horizontal="right" vertical="bottom"/>
    </xf>
    <xf borderId="7" fillId="3" fontId="7" numFmtId="0" xfId="0" applyAlignment="1" applyBorder="1" applyFont="1">
      <alignment vertical="bottom"/>
    </xf>
    <xf borderId="0" fillId="3" fontId="8" numFmtId="0" xfId="0" applyAlignment="1" applyFont="1">
      <alignment vertical="bottom"/>
    </xf>
    <xf borderId="0" fillId="3" fontId="7" numFmtId="0" xfId="0" applyAlignment="1" applyFont="1">
      <alignment horizontal="right" vertical="bottom"/>
    </xf>
    <xf borderId="0" fillId="3" fontId="8" numFmtId="0" xfId="0" applyAlignment="1" applyFont="1">
      <alignment vertical="bottom"/>
    </xf>
    <xf borderId="8" fillId="3" fontId="7" numFmtId="0" xfId="0" applyAlignment="1" applyBorder="1" applyFont="1">
      <alignment horizontal="right" vertical="bottom"/>
    </xf>
    <xf borderId="8" fillId="3" fontId="7" numFmtId="2" xfId="0" applyAlignment="1" applyBorder="1" applyFont="1" applyNumberFormat="1">
      <alignment horizontal="right" vertical="bottom"/>
    </xf>
    <xf borderId="8" fillId="5" fontId="7" numFmtId="2" xfId="0" applyAlignment="1" applyBorder="1" applyFont="1" applyNumberFormat="1">
      <alignment horizontal="right" vertical="bottom"/>
    </xf>
    <xf borderId="8" fillId="5" fontId="8" numFmtId="0" xfId="0" applyAlignment="1" applyBorder="1" applyFont="1">
      <alignment vertical="bottom"/>
    </xf>
    <xf borderId="14" fillId="0" fontId="1" numFmtId="0" xfId="0" applyBorder="1" applyFont="1"/>
    <xf borderId="8" fillId="5" fontId="8" numFmtId="0" xfId="0" applyAlignment="1" applyBorder="1" applyFont="1">
      <alignment vertical="bottom"/>
    </xf>
    <xf borderId="7" fillId="3" fontId="8" numFmtId="0" xfId="0" applyAlignment="1" applyBorder="1" applyFont="1">
      <alignment vertical="bottom"/>
    </xf>
    <xf borderId="8" fillId="3" fontId="8" numFmtId="0" xfId="0" applyAlignment="1" applyBorder="1" applyFont="1">
      <alignment vertical="bottom"/>
    </xf>
    <xf borderId="9" fillId="3" fontId="8" numFmtId="0" xfId="0" applyAlignment="1" applyBorder="1" applyFont="1">
      <alignment vertical="bottom"/>
    </xf>
    <xf borderId="1" fillId="3" fontId="8" numFmtId="0" xfId="0" applyAlignment="1" applyBorder="1" applyFont="1">
      <alignment vertical="bottom"/>
    </xf>
    <xf borderId="5" fillId="3" fontId="8" numFmtId="0" xfId="0" applyAlignment="1" applyBorder="1" applyFont="1">
      <alignment vertical="bottom"/>
    </xf>
    <xf borderId="4" fillId="0" fontId="1" numFmtId="0" xfId="0" applyBorder="1" applyFont="1"/>
    <xf borderId="0" fillId="0" fontId="1" numFmtId="2" xfId="0" applyFont="1" applyNumberFormat="1"/>
    <xf borderId="15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" numFmtId="0" xfId="0" applyFont="1"/>
    <xf borderId="13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0" fillId="0" fontId="10" numFmtId="0" xfId="0" applyFont="1"/>
    <xf borderId="8" fillId="0" fontId="1" numFmtId="0" xfId="0" applyBorder="1" applyFont="1"/>
    <xf borderId="7" fillId="0" fontId="10" numFmtId="0" xfId="0" applyBorder="1" applyFont="1"/>
    <xf borderId="8" fillId="0" fontId="10" numFmtId="0" xfId="0" applyBorder="1" applyFont="1"/>
    <xf borderId="7" fillId="0" fontId="1" numFmtId="0" xfId="0" applyBorder="1" applyFont="1"/>
    <xf borderId="9" fillId="0" fontId="1" numFmtId="0" xfId="0" applyBorder="1" applyFont="1"/>
    <xf borderId="1" fillId="0" fontId="1" numFmtId="0" xfId="0" applyBorder="1" applyFont="1"/>
    <xf borderId="5" fillId="0" fontId="1" numFmtId="0" xfId="0" applyBorder="1" applyFont="1"/>
    <xf borderId="0" fillId="0" fontId="11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E67C73"/>
          <bgColor rgb="FFE67C73"/>
        </patternFill>
      </fill>
      <border/>
    </dxf>
  </dxfs>
  <tableStyles count="7">
    <tableStyle count="3" pivot="0" name="Paladin Gear Template-style">
      <tableStyleElement dxfId="2" type="headerRow"/>
      <tableStyleElement dxfId="3" type="firstRowStripe"/>
      <tableStyleElement dxfId="4" type="secondRowStripe"/>
    </tableStyle>
    <tableStyle count="3" pivot="0" name="Paladin Gear Template-style 2">
      <tableStyleElement dxfId="2" type="headerRow"/>
      <tableStyleElement dxfId="3" type="firstRowStripe"/>
      <tableStyleElement dxfId="5" type="secondRowStripe"/>
    </tableStyle>
    <tableStyle count="3" pivot="0" name="Paladin Gear Template-style 3">
      <tableStyleElement dxfId="2" type="headerRow"/>
      <tableStyleElement dxfId="3" type="firstRowStripe"/>
      <tableStyleElement dxfId="4" type="secondRowStripe"/>
    </tableStyle>
    <tableStyle count="3" pivot="0" name="Paladin Gear Template (Vertical-style">
      <tableStyleElement dxfId="2" type="headerRow"/>
      <tableStyleElement dxfId="3" type="firstRowStripe"/>
      <tableStyleElement dxfId="4" type="secondRowStripe"/>
    </tableStyle>
    <tableStyle count="3" pivot="0" name="Paladin Gear Template (Vertical-style 2">
      <tableStyleElement dxfId="2" type="headerRow"/>
      <tableStyleElement dxfId="3" type="firstRowStripe"/>
      <tableStyleElement dxfId="4" type="secondRowStripe"/>
    </tableStyle>
    <tableStyle count="3" pivot="0" name="Consumables List-style">
      <tableStyleElement dxfId="2" type="headerRow"/>
      <tableStyleElement dxfId="3" type="firstRowStripe"/>
      <tableStyleElement dxfId="5" type="secondRowStripe"/>
    </tableStyle>
    <tableStyle count="3" pivot="0" name="Raid Buffs-style">
      <tableStyleElement dxfId="2" type="headerRow"/>
      <tableStyleElement dxfId="3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AA22" displayName="Table_1" name="Table_1" id="1">
  <tableColumns count="27">
    <tableColumn name="Item Slot" id="1"/>
    <tableColumn name="Item" id="2"/>
    <tableColumn name="Armor" id="3"/>
    <tableColumn name="Strength" id="4"/>
    <tableColumn name="Stamina" id="5"/>
    <tableColumn name="Agility" id="6"/>
    <tableColumn name="Intellect" id="7"/>
    <tableColumn name="Spirit" id="8"/>
    <tableColumn name="SP" id="9"/>
    <tableColumn name="HP" id="10"/>
    <tableColumn name="AP" id="11"/>
    <tableColumn name="Hit %" id="12"/>
    <tableColumn name="Crit %" id="13"/>
    <tableColumn name="Haste %" id="14"/>
    <tableColumn name="Sp Hit " id="15"/>
    <tableColumn name="Sp Crit" id="16"/>
    <tableColumn name="MP5" id="17"/>
    <tableColumn name="Dodge" id="18"/>
    <tableColumn name="Parry" id="19"/>
    <tableColumn name="Block" id="20"/>
    <tableColumn name="Resilience" id="21"/>
    <tableColumn name="Defense" id="22"/>
    <tableColumn name="Arcane" id="23"/>
    <tableColumn name="Fire" id="24"/>
    <tableColumn name="Nature" id="25"/>
    <tableColumn name="Frost" id="26"/>
    <tableColumn name="Shadow" id="27"/>
  </tableColumns>
  <tableStyleInfo name="Paladin Gear Template-style" showColumnStripes="0" showFirstColumn="1" showLastColumn="1" showRowStripes="1"/>
</table>
</file>

<file path=xl/tables/table2.xml><?xml version="1.0" encoding="utf-8"?>
<table xmlns="http://schemas.openxmlformats.org/spreadsheetml/2006/main" ref="AF20:AI27" displayName="Table_2" name="Table_2" id="2">
  <tableColumns count="4">
    <tableColumn name="Result" id="1"/>
    <tableColumn name="Chance" id="2"/>
    <tableColumn name="Last Max Range" id="3"/>
    <tableColumn name="Die Roll" id="4"/>
  </tableColumns>
  <tableStyleInfo name="Paladin Gear Template-style 2" showColumnStripes="0" showFirstColumn="1" showLastColumn="1" showRowStripes="1"/>
</table>
</file>

<file path=xl/tables/table3.xml><?xml version="1.0" encoding="utf-8"?>
<table xmlns="http://schemas.openxmlformats.org/spreadsheetml/2006/main" ref="A26:AA43" displayName="Table_3" name="Table_3" id="3">
  <tableColumns count="27">
    <tableColumn name="Enchant Slot" id="1"/>
    <tableColumn name="Enchant" id="2"/>
    <tableColumn name="Armor" id="3"/>
    <tableColumn name="Strength" id="4"/>
    <tableColumn name="Stamina" id="5"/>
    <tableColumn name="Agility" id="6"/>
    <tableColumn name="Intellect" id="7"/>
    <tableColumn name="Spirit" id="8"/>
    <tableColumn name="SP" id="9"/>
    <tableColumn name="HP" id="10"/>
    <tableColumn name="AP" id="11"/>
    <tableColumn name="Hit %" id="12"/>
    <tableColumn name="Crit %" id="13"/>
    <tableColumn name="Haste %" id="14"/>
    <tableColumn name="Sp Hit " id="15"/>
    <tableColumn name="Sp Crit" id="16"/>
    <tableColumn name="MP5" id="17"/>
    <tableColumn name="Dodge" id="18"/>
    <tableColumn name="Parry" id="19"/>
    <tableColumn name="Block" id="20"/>
    <tableColumn name="Resilience" id="21"/>
    <tableColumn name="Defense" id="22"/>
    <tableColumn name="Arcane" id="23"/>
    <tableColumn name="Fire" id="24"/>
    <tableColumn name="Nature" id="25"/>
    <tableColumn name="Frost" id="26"/>
    <tableColumn name="Shadow" id="27"/>
  </tableColumns>
  <tableStyleInfo name="Paladin Gear Template-style 3" showColumnStripes="0" showFirstColumn="1" showLastColumn="1" showRowStripes="1"/>
</table>
</file>

<file path=xl/tables/table4.xml><?xml version="1.0" encoding="utf-8"?>
<table xmlns="http://schemas.openxmlformats.org/spreadsheetml/2006/main" headerRowCount="0" ref="A13:AB32" displayName="Table_4" name="Table_4" id="4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Paladin Gear Template (Vertic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35:AB51" displayName="Table_5" name="Table_5" id="5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Paladin Gear Template (Vertical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1:R24" displayName="Table_6" name="Table_6" id="6">
  <tableColumns count="18">
    <tableColumn name="Consumable" id="1"/>
    <tableColumn name="Armor" id="2"/>
    <tableColumn name="Health" id="3"/>
    <tableColumn name="Strength" id="4"/>
    <tableColumn name="Stamina" id="5"/>
    <tableColumn name="Agility" id="6"/>
    <tableColumn name="Intellect" id="7"/>
    <tableColumn name="Spirit" id="8"/>
    <tableColumn name="SP" id="9"/>
    <tableColumn name="Spell Crit %" id="10"/>
    <tableColumn name="AP" id="11"/>
    <tableColumn name="Crit %" id="12"/>
    <tableColumn name="MP5" id="13"/>
    <tableColumn name="HP5" id="14"/>
    <tableColumn name="Cost Estimate" id="15"/>
    <tableColumn name="Time Length (h)" id="16"/>
    <tableColumn name="Cost Per Hour" id="17"/>
    <tableColumn name="Using" id="18"/>
  </tableColumns>
  <tableStyleInfo name="Consumables List-style" showColumnStripes="0" showFirstColumn="1" showLastColumn="1" showRowStripes="1"/>
</table>
</file>

<file path=xl/tables/table7.xml><?xml version="1.0" encoding="utf-8"?>
<table xmlns="http://schemas.openxmlformats.org/spreadsheetml/2006/main" ref="A1:P23" displayName="Table_7" name="Table_7" id="7">
  <tableColumns count="16">
    <tableColumn name="Consumable" id="1"/>
    <tableColumn name="Armor" id="2"/>
    <tableColumn name="Health" id="3"/>
    <tableColumn name="Strength" id="4"/>
    <tableColumn name="Stamina" id="5"/>
    <tableColumn name="Agility" id="6"/>
    <tableColumn name="Intellect" id="7"/>
    <tableColumn name="Spirit" id="8"/>
    <tableColumn name="SP" id="9"/>
    <tableColumn name="Spell Crit %" id="10"/>
    <tableColumn name="AP" id="11"/>
    <tableColumn name="Crit %" id="12"/>
    <tableColumn name="MP5" id="13"/>
    <tableColumn name="HP5" id="14"/>
    <tableColumn name="Class" id="15"/>
    <tableColumn name="Using" id="16"/>
  </tableColumns>
  <tableStyleInfo name="Raid Buff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talents.turtle-wow.org/paladin/0-5IDL0J-5FUVCC0U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10" Type="http://schemas.openxmlformats.org/officeDocument/2006/relationships/table" Target="../tables/table3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talents.turtle-wow.org/paladin/0-5IDL0J-5FUVCC0U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Relationship Id="rId7" Type="http://schemas.openxmlformats.org/officeDocument/2006/relationships/table" Target="../tables/table4.xml"/><Relationship Id="rId8" Type="http://schemas.openxmlformats.org/officeDocument/2006/relationships/table" Target="../tables/table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7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1.38"/>
    <col customWidth="1" min="2" max="2" width="30.13"/>
    <col customWidth="1" min="3" max="3" width="6.25"/>
    <col customWidth="1" min="4" max="4" width="7.88"/>
    <col customWidth="1" min="5" max="5" width="7.75"/>
    <col customWidth="1" min="6" max="6" width="5.88"/>
    <col customWidth="1" min="7" max="7" width="7.63"/>
    <col customWidth="1" min="8" max="10" width="5.13"/>
    <col customWidth="1" min="11" max="12" width="5.38"/>
    <col customWidth="1" min="13" max="13" width="6.0"/>
    <col customWidth="1" min="14" max="14" width="7.88"/>
    <col customWidth="1" min="15" max="15" width="6.5"/>
    <col customWidth="1" min="16" max="16" width="6.63"/>
    <col customWidth="1" min="17" max="17" width="4.75"/>
    <col customWidth="1" min="18" max="18" width="6.38"/>
    <col customWidth="1" min="19" max="19" width="5.38"/>
    <col customWidth="1" min="20" max="20" width="5.5"/>
    <col customWidth="1" min="21" max="21" width="9.5"/>
    <col customWidth="1" min="22" max="22" width="7.88"/>
    <col customWidth="1" min="23" max="27" width="7.63"/>
    <col customWidth="1" min="28" max="28" width="10.0"/>
    <col customWidth="1" min="29" max="29" width="12.75"/>
    <col customWidth="1" min="31" max="33" width="17.25"/>
    <col hidden="1" min="34" max="34" width="12.63"/>
  </cols>
  <sheetData>
    <row r="1">
      <c r="A1" s="1"/>
      <c r="B1" s="2"/>
      <c r="C1" s="2"/>
      <c r="D1" s="2"/>
      <c r="E1" s="2"/>
      <c r="F1" s="2"/>
      <c r="G1" s="3" t="s">
        <v>0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4"/>
      <c r="AD1" s="4"/>
      <c r="AE1" s="2"/>
      <c r="AF1" s="2"/>
      <c r="AG1" s="2"/>
      <c r="AH1" s="2"/>
      <c r="AI1" s="2"/>
    </row>
    <row r="2">
      <c r="A2" s="5"/>
      <c r="B2" s="6"/>
      <c r="C2" s="6"/>
      <c r="D2" s="6"/>
      <c r="E2" s="6"/>
      <c r="F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2"/>
      <c r="AC2" s="7" t="s">
        <v>1</v>
      </c>
      <c r="AD2" s="8"/>
      <c r="AE2" s="1"/>
      <c r="AF2" s="2"/>
      <c r="AG2" s="2"/>
      <c r="AH2" s="2"/>
      <c r="AI2" s="2"/>
    </row>
    <row r="3">
      <c r="A3" s="9" t="s">
        <v>2</v>
      </c>
      <c r="B3" s="10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2" t="s">
        <v>8</v>
      </c>
      <c r="H3" s="13" t="s">
        <v>9</v>
      </c>
      <c r="I3" s="13" t="s">
        <v>10</v>
      </c>
      <c r="J3" s="13" t="s">
        <v>11</v>
      </c>
      <c r="K3" s="13" t="s">
        <v>12</v>
      </c>
      <c r="L3" s="13" t="s">
        <v>13</v>
      </c>
      <c r="M3" s="13" t="s">
        <v>14</v>
      </c>
      <c r="N3" s="14" t="s">
        <v>15</v>
      </c>
      <c r="O3" s="13" t="s">
        <v>16</v>
      </c>
      <c r="P3" s="13" t="s">
        <v>17</v>
      </c>
      <c r="Q3" s="11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1" t="s">
        <v>23</v>
      </c>
      <c r="W3" s="10" t="s">
        <v>24</v>
      </c>
      <c r="X3" s="10" t="s">
        <v>25</v>
      </c>
      <c r="Y3" s="10" t="s">
        <v>26</v>
      </c>
      <c r="Z3" s="10" t="s">
        <v>27</v>
      </c>
      <c r="AA3" s="10" t="s">
        <v>28</v>
      </c>
      <c r="AB3" s="2"/>
      <c r="AC3" s="15" t="s">
        <v>29</v>
      </c>
      <c r="AD3" s="16">
        <f>1201+(AD7*10) + if(AG7=TRUE, 'Consumables List'!C25, 0)</f>
        <v>4921</v>
      </c>
      <c r="AE3" s="1"/>
      <c r="AF3" s="2"/>
      <c r="AG3" s="2"/>
      <c r="AH3" s="2"/>
      <c r="AI3" s="2"/>
    </row>
    <row r="4" ht="18.75" customHeight="1">
      <c r="A4" s="17" t="s">
        <v>30</v>
      </c>
      <c r="B4" s="18" t="s">
        <v>31</v>
      </c>
      <c r="C4" s="19">
        <v>696.0</v>
      </c>
      <c r="D4" s="19">
        <v>17.0</v>
      </c>
      <c r="E4" s="19">
        <v>18.0</v>
      </c>
      <c r="F4" s="19">
        <v>12.0</v>
      </c>
      <c r="G4" s="19">
        <v>23.0</v>
      </c>
      <c r="H4" s="20"/>
      <c r="I4" s="19">
        <v>32.0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1"/>
      <c r="AB4" s="1"/>
      <c r="AC4" s="22" t="s">
        <v>32</v>
      </c>
      <c r="AD4" s="23">
        <f>1232+(AD9*15)</f>
        <v>4847</v>
      </c>
      <c r="AE4" s="2"/>
      <c r="AF4" s="24" t="s">
        <v>33</v>
      </c>
      <c r="AG4" s="8"/>
      <c r="AH4" s="2"/>
      <c r="AI4" s="2"/>
    </row>
    <row r="5" ht="18.75" customHeight="1">
      <c r="A5" s="17" t="s">
        <v>34</v>
      </c>
      <c r="B5" s="18" t="s">
        <v>35</v>
      </c>
      <c r="C5" s="20"/>
      <c r="D5" s="20"/>
      <c r="E5" s="19">
        <v>9.0</v>
      </c>
      <c r="F5" s="19">
        <v>12.0</v>
      </c>
      <c r="G5" s="20"/>
      <c r="H5" s="20"/>
      <c r="I5" s="20"/>
      <c r="J5" s="20"/>
      <c r="K5" s="20"/>
      <c r="L5" s="19">
        <v>1.0</v>
      </c>
      <c r="M5" s="19">
        <v>1.0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/>
      <c r="AB5" s="2"/>
      <c r="AC5" s="15"/>
      <c r="AD5" s="25"/>
      <c r="AE5" s="2"/>
      <c r="AF5" s="15" t="s">
        <v>36</v>
      </c>
      <c r="AG5" s="26">
        <v>63.0</v>
      </c>
      <c r="AH5" s="2"/>
      <c r="AI5" s="2"/>
    </row>
    <row r="6" ht="18.75" customHeight="1">
      <c r="A6" s="17" t="s">
        <v>37</v>
      </c>
      <c r="B6" s="18" t="s">
        <v>38</v>
      </c>
      <c r="C6" s="19">
        <v>642.0</v>
      </c>
      <c r="D6" s="19">
        <v>13.0</v>
      </c>
      <c r="E6" s="19">
        <v>20.0</v>
      </c>
      <c r="F6" s="19">
        <v>6.0</v>
      </c>
      <c r="G6" s="19">
        <v>14.0</v>
      </c>
      <c r="H6" s="20"/>
      <c r="I6" s="19">
        <v>13.0</v>
      </c>
      <c r="J6" s="20"/>
      <c r="K6" s="20"/>
      <c r="L6" s="20"/>
      <c r="M6" s="20"/>
      <c r="N6" s="19"/>
      <c r="O6" s="20"/>
      <c r="P6" s="20"/>
      <c r="Q6" s="19">
        <v>5.0</v>
      </c>
      <c r="R6" s="20"/>
      <c r="S6" s="20"/>
      <c r="T6" s="20"/>
      <c r="U6" s="20"/>
      <c r="V6" s="20"/>
      <c r="W6" s="20"/>
      <c r="X6" s="20"/>
      <c r="Y6" s="20"/>
      <c r="Z6" s="20"/>
      <c r="AA6" s="21"/>
      <c r="AB6" s="2"/>
      <c r="AC6" s="22" t="s">
        <v>5</v>
      </c>
      <c r="AD6" s="27">
        <f>(SUM(D4:D22) + SUM(D27:D43) + 105 + if(AG7=TRUE, 'Consumables List'!D25, 0) + if(AG8=TRUE, 'Raid Buffs'!D24, 0)) *(IF(AG9=TRUE, 1.1, 1))</f>
        <v>222</v>
      </c>
      <c r="AE6" s="2"/>
      <c r="AF6" s="28" t="s">
        <v>39</v>
      </c>
      <c r="AG6" s="29" t="b">
        <v>1</v>
      </c>
      <c r="AH6" s="1"/>
      <c r="AI6" s="1"/>
    </row>
    <row r="7" ht="18.75" customHeight="1">
      <c r="A7" s="17" t="s">
        <v>40</v>
      </c>
      <c r="B7" s="18" t="s">
        <v>41</v>
      </c>
      <c r="C7" s="19">
        <v>48.0</v>
      </c>
      <c r="D7" s="20"/>
      <c r="E7" s="19">
        <v>6.0</v>
      </c>
      <c r="F7" s="20"/>
      <c r="G7" s="19">
        <v>6.0</v>
      </c>
      <c r="H7" s="20"/>
      <c r="I7" s="19">
        <v>23.0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1"/>
      <c r="AB7" s="2"/>
      <c r="AC7" s="15" t="s">
        <v>6</v>
      </c>
      <c r="AD7" s="30">
        <f>(SUM(E4:E22) + SUM(E27:E43) + 100 + if(AG7=TRUE, 'Consumables List'!E25, 0)+ if(AG8=TRUE, 'Raid Buffs'!E24, 0)) *(IF(AG9=TRUE, 1.1, 1))</f>
        <v>372</v>
      </c>
      <c r="AE7" s="2"/>
      <c r="AF7" s="15" t="s">
        <v>42</v>
      </c>
      <c r="AG7" s="31" t="b">
        <v>0</v>
      </c>
      <c r="AH7" s="1"/>
      <c r="AI7" s="2"/>
    </row>
    <row r="8" ht="18.75" customHeight="1">
      <c r="A8" s="17" t="s">
        <v>43</v>
      </c>
      <c r="B8" s="18" t="s">
        <v>44</v>
      </c>
      <c r="C8" s="19">
        <v>738.0</v>
      </c>
      <c r="D8" s="19">
        <v>19.0</v>
      </c>
      <c r="E8" s="19">
        <v>26.0</v>
      </c>
      <c r="F8" s="19">
        <v>7.0</v>
      </c>
      <c r="G8" s="19">
        <v>16.0</v>
      </c>
      <c r="H8" s="20"/>
      <c r="I8" s="20"/>
      <c r="J8" s="20"/>
      <c r="K8" s="20"/>
      <c r="L8" s="20"/>
      <c r="M8" s="19">
        <v>1.0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1"/>
      <c r="AB8" s="2"/>
      <c r="AC8" s="22" t="s">
        <v>7</v>
      </c>
      <c r="AD8" s="27">
        <f>(SUM(F4:F22) + SUM(F27:F43) + 65 + if(AG7=TRUE, 'Consumables List'!F25, 0)+ if(AG8=TRUE, 'Raid Buffs'!F24, 0)) *(IF(AG9=TRUE, 1.1, 1))</f>
        <v>176</v>
      </c>
      <c r="AE8" s="2"/>
      <c r="AF8" s="28" t="s">
        <v>45</v>
      </c>
      <c r="AG8" s="29" t="b">
        <v>0</v>
      </c>
      <c r="AH8" s="2"/>
      <c r="AI8" s="2"/>
    </row>
    <row r="9" ht="18.75" customHeight="1">
      <c r="A9" s="17" t="s">
        <v>46</v>
      </c>
      <c r="B9" s="18" t="s">
        <v>47</v>
      </c>
      <c r="C9" s="19">
        <v>304.0</v>
      </c>
      <c r="D9" s="19">
        <v>12.0</v>
      </c>
      <c r="E9" s="19">
        <v>12.0</v>
      </c>
      <c r="F9" s="19">
        <v>6.0</v>
      </c>
      <c r="G9" s="19">
        <v>10.0</v>
      </c>
      <c r="H9" s="20"/>
      <c r="I9" s="19">
        <v>6.0</v>
      </c>
      <c r="J9" s="19">
        <v>7.0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1"/>
      <c r="AB9" s="2"/>
      <c r="AC9" s="15" t="s">
        <v>8</v>
      </c>
      <c r="AD9" s="30">
        <f>(SUM(G4:G22) + SUM(G27:G43)+ 70+ if(AG7=TRUE, 'Consumables List'!G25, 0)+ if(AG8=TRUE, 'Raid Buffs'!G24, 0)) *(IF(AG9=TRUE, 1.1, 1))</f>
        <v>241</v>
      </c>
      <c r="AE9" s="2"/>
      <c r="AF9" s="15" t="s">
        <v>48</v>
      </c>
      <c r="AG9" s="31" t="b">
        <v>0</v>
      </c>
      <c r="AH9" s="2"/>
      <c r="AI9" s="2"/>
    </row>
    <row r="10" ht="18.75" customHeight="1">
      <c r="A10" s="17" t="s">
        <v>49</v>
      </c>
      <c r="B10" s="18" t="s">
        <v>50</v>
      </c>
      <c r="C10" s="19">
        <v>535.0</v>
      </c>
      <c r="D10" s="19">
        <v>6.0</v>
      </c>
      <c r="E10" s="19">
        <v>15.0</v>
      </c>
      <c r="F10" s="19">
        <v>6.0</v>
      </c>
      <c r="G10" s="19">
        <v>20.0</v>
      </c>
      <c r="H10" s="20"/>
      <c r="I10" s="19">
        <v>15.0</v>
      </c>
      <c r="J10" s="20"/>
      <c r="K10" s="20"/>
      <c r="L10" s="20"/>
      <c r="M10" s="20"/>
      <c r="N10" s="20"/>
      <c r="O10" s="20"/>
      <c r="P10" s="20"/>
      <c r="Q10" s="19">
        <v>6.0</v>
      </c>
      <c r="R10" s="20"/>
      <c r="S10" s="20"/>
      <c r="T10" s="20"/>
      <c r="U10" s="20"/>
      <c r="V10" s="20"/>
      <c r="W10" s="20"/>
      <c r="X10" s="20"/>
      <c r="Y10" s="20"/>
      <c r="Z10" s="20"/>
      <c r="AA10" s="21"/>
      <c r="AB10" s="2"/>
      <c r="AC10" s="32" t="s">
        <v>9</v>
      </c>
      <c r="AD10" s="33">
        <f>(SUM(H4:H22) + SUM(H27:H43)+ 79+ if(AG7=TRUE, 'Consumables List'!H25, 0) + if(AG8=TRUE, 'Raid Buffs'!G24, 0)) *(IF(AG9=TRUE, 1.1, 1))</f>
        <v>99</v>
      </c>
      <c r="AE10" s="2"/>
      <c r="AF10" s="28" t="s">
        <v>51</v>
      </c>
      <c r="AG10" s="34" t="b">
        <v>0</v>
      </c>
      <c r="AH10" s="2"/>
      <c r="AI10" s="2"/>
    </row>
    <row r="11" ht="18.75" customHeight="1">
      <c r="A11" s="17" t="s">
        <v>52</v>
      </c>
      <c r="B11" s="18" t="s">
        <v>53</v>
      </c>
      <c r="C11" s="19">
        <v>391.0</v>
      </c>
      <c r="D11" s="19">
        <v>16.0</v>
      </c>
      <c r="E11" s="19">
        <v>16.0</v>
      </c>
      <c r="F11" s="19">
        <v>10.0</v>
      </c>
      <c r="G11" s="19">
        <v>12.0</v>
      </c>
      <c r="H11" s="20"/>
      <c r="I11" s="19">
        <v>12.0</v>
      </c>
      <c r="J11" s="19">
        <v>15.0</v>
      </c>
      <c r="K11" s="20"/>
      <c r="L11" s="20"/>
      <c r="M11" s="20"/>
      <c r="N11" s="20"/>
      <c r="O11" s="20"/>
      <c r="P11" s="20"/>
      <c r="Q11" s="19"/>
      <c r="R11" s="20"/>
      <c r="S11" s="20"/>
      <c r="T11" s="20"/>
      <c r="U11" s="20"/>
      <c r="V11" s="20"/>
      <c r="W11" s="20"/>
      <c r="X11" s="20"/>
      <c r="Y11" s="20"/>
      <c r="Z11" s="20"/>
      <c r="AA11" s="21"/>
      <c r="AB11" s="2"/>
      <c r="AC11" s="35" t="s">
        <v>54</v>
      </c>
      <c r="AD11" s="8"/>
      <c r="AE11" s="2"/>
      <c r="AF11" s="15" t="s">
        <v>55</v>
      </c>
      <c r="AG11" s="36" t="b">
        <v>0</v>
      </c>
      <c r="AH11" s="2"/>
      <c r="AI11" s="2"/>
    </row>
    <row r="12" ht="18.75" customHeight="1">
      <c r="A12" s="17" t="s">
        <v>56</v>
      </c>
      <c r="B12" s="37" t="s">
        <v>57</v>
      </c>
      <c r="C12" s="19">
        <v>749.0</v>
      </c>
      <c r="D12" s="19">
        <v>10.0</v>
      </c>
      <c r="E12" s="19">
        <v>26.0</v>
      </c>
      <c r="F12" s="19">
        <v>11.0</v>
      </c>
      <c r="G12" s="19">
        <v>27.0</v>
      </c>
      <c r="H12" s="20"/>
      <c r="I12" s="19">
        <v>20.0</v>
      </c>
      <c r="J12" s="20"/>
      <c r="K12" s="20"/>
      <c r="L12" s="20"/>
      <c r="M12" s="20"/>
      <c r="N12" s="20"/>
      <c r="O12" s="20"/>
      <c r="P12" s="20"/>
      <c r="Q12" s="19">
        <v>4.0</v>
      </c>
      <c r="R12" s="20"/>
      <c r="S12" s="20"/>
      <c r="T12" s="20"/>
      <c r="U12" s="20"/>
      <c r="V12" s="20"/>
      <c r="W12" s="20"/>
      <c r="X12" s="20">
        <v>11.0</v>
      </c>
      <c r="Y12" s="20"/>
      <c r="Z12" s="20"/>
      <c r="AA12" s="21">
        <v>11.0</v>
      </c>
      <c r="AB12" s="2"/>
      <c r="AC12" s="38" t="s">
        <v>4</v>
      </c>
      <c r="AD12" s="39">
        <f>(Sum(C4:C22) + SUM(C27:C43)+ (2*AD8)) + if(AG7=TRUE, 'Consumables List'!B25, 0) + if(AG8=TRUE, 'Raid Buffs'!B24, 0)</f>
        <v>8198.8</v>
      </c>
      <c r="AE12" s="2"/>
      <c r="AF12" s="28" t="s">
        <v>58</v>
      </c>
      <c r="AG12" s="40">
        <v>3.0</v>
      </c>
      <c r="AH12" s="2"/>
      <c r="AI12" s="2"/>
    </row>
    <row r="13" ht="18.75" customHeight="1">
      <c r="A13" s="17" t="s">
        <v>59</v>
      </c>
      <c r="B13" s="18" t="s">
        <v>60</v>
      </c>
      <c r="C13" s="19">
        <v>589.0</v>
      </c>
      <c r="D13" s="19">
        <v>13.0</v>
      </c>
      <c r="E13" s="19">
        <v>20.0</v>
      </c>
      <c r="F13" s="19">
        <v>8.0</v>
      </c>
      <c r="G13" s="19">
        <v>14.0</v>
      </c>
      <c r="H13" s="20"/>
      <c r="I13" s="19">
        <v>18.0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>
        <v>12.0</v>
      </c>
      <c r="Y13" s="20"/>
      <c r="Z13" s="20"/>
      <c r="AA13" s="21">
        <v>8.0</v>
      </c>
      <c r="AB13" s="2"/>
      <c r="AC13" s="41" t="s">
        <v>61</v>
      </c>
      <c r="AD13" s="42">
        <f>(AD12/(AD12+400+85*(AG5)))</f>
        <v>0.5875675443</v>
      </c>
      <c r="AE13" s="2"/>
      <c r="AF13" s="43" t="s">
        <v>62</v>
      </c>
      <c r="AG13" s="44">
        <f>(if(AG7=TRUE,'Consumables List'!B27, 0) + if(AG8=TRUE,'Raid Buffs'!B26, 0)) + if(AG9=TRUE, 1, 0)+ if(AG10=TRUE, 1, 0) + if(AG11=TRUE, 1, 0) + AG12</f>
        <v>3</v>
      </c>
      <c r="AH13" s="2"/>
      <c r="AI13" s="2"/>
    </row>
    <row r="14" ht="18.75" customHeight="1">
      <c r="A14" s="17" t="s">
        <v>63</v>
      </c>
      <c r="B14" s="18" t="s">
        <v>64</v>
      </c>
      <c r="C14" s="20"/>
      <c r="D14" s="20"/>
      <c r="E14" s="19">
        <v>13.0</v>
      </c>
      <c r="F14" s="20"/>
      <c r="G14" s="20"/>
      <c r="H14" s="20"/>
      <c r="I14" s="19">
        <v>22.0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9">
        <v>1.0</v>
      </c>
      <c r="V14" s="20"/>
      <c r="W14" s="20"/>
      <c r="X14" s="20"/>
      <c r="Y14" s="20"/>
      <c r="Z14" s="20"/>
      <c r="AA14" s="21"/>
      <c r="AB14" s="2"/>
      <c r="AC14" s="15" t="s">
        <v>23</v>
      </c>
      <c r="AD14" s="16">
        <f>300+Sum(V4:V22)+ SUM(V27:V43)</f>
        <v>314</v>
      </c>
      <c r="AE14" s="2"/>
      <c r="AF14" s="4"/>
      <c r="AG14" s="4"/>
      <c r="AH14" s="2"/>
      <c r="AI14" s="2"/>
    </row>
    <row r="15" ht="18.75" customHeight="1">
      <c r="A15" s="17" t="s">
        <v>65</v>
      </c>
      <c r="B15" s="18" t="s">
        <v>66</v>
      </c>
      <c r="C15" s="20"/>
      <c r="D15" s="20"/>
      <c r="E15" s="19">
        <v>10.0</v>
      </c>
      <c r="F15" s="19">
        <v>16.0</v>
      </c>
      <c r="G15" s="20"/>
      <c r="H15" s="20"/>
      <c r="I15" s="20"/>
      <c r="J15" s="20"/>
      <c r="K15" s="20"/>
      <c r="L15" s="19">
        <v>2.0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2"/>
      <c r="AC15" s="22" t="s">
        <v>67</v>
      </c>
      <c r="AD15" s="42">
        <f> (5+((AD14-(AG5*5))*0.04)) / 100</f>
        <v>0.0496</v>
      </c>
      <c r="AE15" s="2"/>
      <c r="AF15" s="1"/>
      <c r="AG15" s="1"/>
      <c r="AH15" s="2"/>
      <c r="AI15" s="2"/>
    </row>
    <row r="16" ht="18.75" customHeight="1">
      <c r="A16" s="17" t="s">
        <v>68</v>
      </c>
      <c r="B16" s="18" t="s">
        <v>69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2"/>
      <c r="AC16" s="15" t="s">
        <v>19</v>
      </c>
      <c r="AD16" s="45">
        <f> (((0.7) + (AD8/20) + Sum(R4:R22) + SUM(R27:R43) + ((AD14-(AG5*5)) * 0.04))) / 100</f>
        <v>0.1046</v>
      </c>
      <c r="AE16" s="2"/>
      <c r="AF16" s="1"/>
      <c r="AG16" s="1"/>
      <c r="AH16" s="2"/>
      <c r="AI16" s="2"/>
    </row>
    <row r="17" ht="18.75" customHeight="1">
      <c r="A17" s="17" t="s">
        <v>70</v>
      </c>
      <c r="B17" s="18" t="s">
        <v>71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2"/>
      <c r="AC17" s="22" t="s">
        <v>20</v>
      </c>
      <c r="AD17" s="42">
        <f>(5+Sum(S4:S22)+ SUM(S27:S43) + ((AD14-(AG5*5)) * 0.04)) / 100</f>
        <v>0.0996</v>
      </c>
      <c r="AE17" s="2"/>
      <c r="AF17" s="1"/>
      <c r="AG17" s="1"/>
      <c r="AH17" s="2"/>
      <c r="AI17" s="2"/>
    </row>
    <row r="18" ht="18.75" customHeight="1">
      <c r="A18" s="17" t="s">
        <v>72</v>
      </c>
      <c r="B18" s="18" t="s">
        <v>73</v>
      </c>
      <c r="C18" s="20"/>
      <c r="D18" s="20"/>
      <c r="E18" s="19">
        <v>10.0</v>
      </c>
      <c r="F18" s="20"/>
      <c r="G18" s="19">
        <v>18.0</v>
      </c>
      <c r="H18" s="19">
        <v>8.0</v>
      </c>
      <c r="I18" s="19">
        <v>84.0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1"/>
      <c r="AB18" s="2"/>
      <c r="AC18" s="15" t="s">
        <v>21</v>
      </c>
      <c r="AD18" s="45">
        <f>(5 + Sum(T4:T22)+Sum(T27:T43) + ((AD14-(AG5*5)) * 0.04) + (IF(AG10=TRUE, 30, 0)) + (IF(AG11=TRUE, 30, 0)) ) / 100</f>
        <v>0.0696</v>
      </c>
      <c r="AE18" s="2"/>
      <c r="AF18" s="1"/>
      <c r="AG18" s="1"/>
      <c r="AH18" s="2"/>
      <c r="AI18" s="2"/>
    </row>
    <row r="19" ht="18.75" customHeight="1">
      <c r="A19" s="17" t="s">
        <v>74</v>
      </c>
      <c r="B19" s="18" t="s">
        <v>75</v>
      </c>
      <c r="C19" s="19">
        <v>2853.0</v>
      </c>
      <c r="D19" s="19">
        <v>11.0</v>
      </c>
      <c r="E19" s="19">
        <v>11.0</v>
      </c>
      <c r="F19" s="19">
        <v>11.0</v>
      </c>
      <c r="G19" s="19">
        <v>11.0</v>
      </c>
      <c r="H19" s="19">
        <v>12.0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>
        <v>15.0</v>
      </c>
      <c r="Z19" s="20"/>
      <c r="AA19" s="21"/>
      <c r="AB19" s="2"/>
      <c r="AC19" s="32" t="s">
        <v>22</v>
      </c>
      <c r="AD19" s="46">
        <f>(SUM(U4:U22) + SUM(U27:U43)) / 100</f>
        <v>0.01</v>
      </c>
      <c r="AE19" s="2"/>
      <c r="AF19" s="47" t="s">
        <v>76</v>
      </c>
      <c r="AG19" s="48"/>
      <c r="AH19" s="48"/>
      <c r="AI19" s="49"/>
    </row>
    <row r="20" ht="18.75" customHeight="1">
      <c r="A20" s="21" t="s">
        <v>77</v>
      </c>
      <c r="B20" s="18" t="s">
        <v>78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1"/>
      <c r="AB20" s="2"/>
      <c r="AC20" s="7" t="s">
        <v>79</v>
      </c>
      <c r="AD20" s="8"/>
      <c r="AE20" s="50"/>
      <c r="AF20" s="51" t="s">
        <v>80</v>
      </c>
      <c r="AG20" s="51" t="s">
        <v>81</v>
      </c>
      <c r="AH20" s="52" t="s">
        <v>82</v>
      </c>
      <c r="AI20" s="53" t="s">
        <v>83</v>
      </c>
    </row>
    <row r="21">
      <c r="A21" s="54" t="s">
        <v>84</v>
      </c>
      <c r="B21" s="55"/>
      <c r="C21" s="20"/>
      <c r="D21" s="56"/>
      <c r="E21" s="56"/>
      <c r="F21" s="56"/>
      <c r="G21" s="56"/>
      <c r="H21" s="56"/>
      <c r="I21" s="18">
        <v>47.0</v>
      </c>
      <c r="J21" s="56"/>
      <c r="K21" s="56"/>
      <c r="L21" s="20"/>
      <c r="M21" s="20"/>
      <c r="N21" s="56"/>
      <c r="O21" s="56"/>
      <c r="P21" s="56"/>
      <c r="Q21" s="18">
        <v>4.0</v>
      </c>
      <c r="R21" s="56"/>
      <c r="S21" s="20"/>
      <c r="T21" s="56"/>
      <c r="U21" s="56"/>
      <c r="V21" s="56"/>
      <c r="W21" s="56"/>
      <c r="X21" s="56"/>
      <c r="Y21" s="56"/>
      <c r="Z21" s="56"/>
      <c r="AA21" s="57"/>
      <c r="AB21" s="2"/>
      <c r="AC21" s="38" t="s">
        <v>85</v>
      </c>
      <c r="AD21" s="58">
        <f>Sum(K4:K22) + Sum(K27:K43)+ (160) + (AD6*2 )+ if(AG7=TRUE, 'Consumables List'!K25, 0)+ if(AG8=TRUE, 'Raid Buffs'!K24, 0)</f>
        <v>604</v>
      </c>
      <c r="AE21" s="50"/>
      <c r="AF21" s="59" t="s">
        <v>67</v>
      </c>
      <c r="AG21" s="60">
        <f t="shared" ref="AG21:AG24" si="1">(AD15*100)</f>
        <v>4.96</v>
      </c>
      <c r="AH21" s="60">
        <f>AG21</f>
        <v>4.96</v>
      </c>
      <c r="AI21" s="61" t="str">
        <f>"0.01 - " &amp; AH21</f>
        <v>0.01 - 4.96</v>
      </c>
    </row>
    <row r="22">
      <c r="A22" s="17" t="s">
        <v>86</v>
      </c>
      <c r="B22" s="62" t="s">
        <v>87</v>
      </c>
      <c r="C22" s="63">
        <f>(SUM(C4:C20)) * 0.04</f>
        <v>301.8</v>
      </c>
      <c r="D22" s="64"/>
      <c r="E22" s="64"/>
      <c r="F22" s="64"/>
      <c r="G22" s="64"/>
      <c r="H22" s="64"/>
      <c r="I22" s="64"/>
      <c r="J22" s="64"/>
      <c r="K22" s="64"/>
      <c r="L22" s="63">
        <v>3.0</v>
      </c>
      <c r="M22" s="63">
        <v>5.0</v>
      </c>
      <c r="N22" s="64"/>
      <c r="O22" s="64"/>
      <c r="P22" s="64"/>
      <c r="Q22" s="64"/>
      <c r="R22" s="64"/>
      <c r="S22" s="63">
        <v>5.0</v>
      </c>
      <c r="T22" s="64"/>
      <c r="U22" s="64"/>
      <c r="V22" s="64"/>
      <c r="W22" s="64"/>
      <c r="X22" s="64"/>
      <c r="Y22" s="64"/>
      <c r="Z22" s="64"/>
      <c r="AA22" s="65"/>
      <c r="AB22" s="2"/>
      <c r="AC22" s="22" t="s">
        <v>88</v>
      </c>
      <c r="AD22" s="42">
        <f>(SUM(L4:L22) + SUM(L27:L43)+ (IF(AG6, 3, 0))) / 100</f>
        <v>0.09</v>
      </c>
      <c r="AE22" s="50"/>
      <c r="AF22" s="59" t="s">
        <v>19</v>
      </c>
      <c r="AG22" s="60">
        <f t="shared" si="1"/>
        <v>10.46</v>
      </c>
      <c r="AH22" s="60">
        <f>if((AG21 + AG22) &gt; 100, 100, (AG21 + AG22))</f>
        <v>15.42</v>
      </c>
      <c r="AI22" s="61" t="str">
        <f t="shared" ref="AI22:AI27" si="2"> (AH21+0.01) &amp; " - " &amp; AH22</f>
        <v>4.97 - 15.42</v>
      </c>
    </row>
    <row r="23">
      <c r="A23" s="2"/>
      <c r="B23" s="4"/>
      <c r="C23" s="4"/>
      <c r="D23" s="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15" t="s">
        <v>89</v>
      </c>
      <c r="AD23" s="45">
        <f>(Sum(M4:M22) + (AD8/20)+ if(AG7=TRUE, 'Consumables List'!L25, 0)+ if(AG8=TRUE, 'Raid Buffs'!L24, 0)) / 100</f>
        <v>0.158</v>
      </c>
      <c r="AE23" s="50"/>
      <c r="AF23" s="59" t="s">
        <v>20</v>
      </c>
      <c r="AG23" s="60">
        <f t="shared" si="1"/>
        <v>9.96</v>
      </c>
      <c r="AH23" s="60">
        <f> if((AG21 +AG22 + AG23) &gt; 100, 100, (AG21 +AG22 + AG23))</f>
        <v>25.38</v>
      </c>
      <c r="AI23" s="61" t="str">
        <f t="shared" si="2"/>
        <v>15.43 - 25.38</v>
      </c>
    </row>
    <row r="24">
      <c r="A24" s="2"/>
      <c r="B24" s="2"/>
      <c r="C24" s="2"/>
      <c r="D24" s="2"/>
      <c r="E24" s="2"/>
      <c r="F24" s="2"/>
      <c r="G24" s="3" t="s">
        <v>90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41" t="s">
        <v>91</v>
      </c>
      <c r="AD24" s="42">
        <f>(SUM(N4:N22) + SUM(N27:N43)) / 100</f>
        <v>0</v>
      </c>
      <c r="AE24" s="50"/>
      <c r="AF24" s="59" t="s">
        <v>21</v>
      </c>
      <c r="AG24" s="60">
        <f t="shared" si="1"/>
        <v>6.96</v>
      </c>
      <c r="AH24" s="60">
        <f> if((AG21 +AG22 + AG23 + AG24) &gt; 100, 100,(AG21 +AG22 + AG23 + AG24))</f>
        <v>32.34</v>
      </c>
      <c r="AI24" s="61" t="str">
        <f t="shared" si="2"/>
        <v>25.39 - 32.34</v>
      </c>
    </row>
    <row r="25">
      <c r="A25" s="6"/>
      <c r="B25" s="6"/>
      <c r="C25" s="6"/>
      <c r="D25" s="6"/>
      <c r="E25" s="6"/>
      <c r="F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2"/>
      <c r="AC25" s="66" t="s">
        <v>92</v>
      </c>
      <c r="AD25" s="67"/>
      <c r="AE25" s="50"/>
      <c r="AF25" s="59" t="s">
        <v>93</v>
      </c>
      <c r="AG25" s="68">
        <f> (5+ ((((AG5*5) - AD14)* 0.2) * 0.2)) - (AD19*100)</f>
        <v>4.04</v>
      </c>
      <c r="AH25" s="60">
        <f> If((AG21 +AG22 + AG23 + AG24 + AG25)&gt; 100, 100, (AG21 +AG22 + AG23 + AG24 + AG25))</f>
        <v>36.38</v>
      </c>
      <c r="AI25" s="61" t="str">
        <f t="shared" si="2"/>
        <v>32.35 - 36.38</v>
      </c>
    </row>
    <row r="26">
      <c r="A26" s="69" t="s">
        <v>94</v>
      </c>
      <c r="B26" s="14" t="s">
        <v>95</v>
      </c>
      <c r="C26" s="13" t="s">
        <v>4</v>
      </c>
      <c r="D26" s="13" t="s">
        <v>5</v>
      </c>
      <c r="E26" s="13" t="s">
        <v>6</v>
      </c>
      <c r="F26" s="13" t="s">
        <v>7</v>
      </c>
      <c r="G26" s="13" t="s">
        <v>8</v>
      </c>
      <c r="H26" s="13" t="s">
        <v>9</v>
      </c>
      <c r="I26" s="13" t="s">
        <v>10</v>
      </c>
      <c r="J26" s="13" t="s">
        <v>11</v>
      </c>
      <c r="K26" s="70" t="s">
        <v>12</v>
      </c>
      <c r="L26" s="70" t="s">
        <v>13</v>
      </c>
      <c r="M26" s="70" t="s">
        <v>14</v>
      </c>
      <c r="N26" s="14" t="s">
        <v>15</v>
      </c>
      <c r="O26" s="70" t="s">
        <v>16</v>
      </c>
      <c r="P26" s="70" t="s">
        <v>17</v>
      </c>
      <c r="Q26" s="13" t="s">
        <v>18</v>
      </c>
      <c r="R26" s="13" t="s">
        <v>19</v>
      </c>
      <c r="S26" s="13" t="s">
        <v>20</v>
      </c>
      <c r="T26" s="13" t="s">
        <v>21</v>
      </c>
      <c r="U26" s="13" t="s">
        <v>22</v>
      </c>
      <c r="V26" s="13" t="s">
        <v>23</v>
      </c>
      <c r="W26" s="10" t="s">
        <v>24</v>
      </c>
      <c r="X26" s="10" t="s">
        <v>25</v>
      </c>
      <c r="Y26" s="10" t="s">
        <v>26</v>
      </c>
      <c r="Z26" s="10" t="s">
        <v>27</v>
      </c>
      <c r="AA26" s="10" t="s">
        <v>28</v>
      </c>
      <c r="AB26" s="2"/>
      <c r="AC26" s="38" t="s">
        <v>96</v>
      </c>
      <c r="AD26" s="71">
        <f>Sum(I4:I22)+ SUM(I27:I43)+ if(AG7=TRUE, 'Consumables List'!I25, 0)+ if(AG8=TRUE, 'Raid Buffs'!I24, 0)</f>
        <v>322</v>
      </c>
      <c r="AE26" s="50"/>
      <c r="AF26" s="56" t="s">
        <v>97</v>
      </c>
      <c r="AG26" s="68">
        <v>15.0</v>
      </c>
      <c r="AH26" s="60">
        <f> If((AG21 +AG22 + AG23 + AG24 + AG25 + AG26) &gt; 100, 100, (AG21 +AG22 + AG23 + AG24 + AG25 + AG26))</f>
        <v>51.38</v>
      </c>
      <c r="AI26" s="61" t="str">
        <f t="shared" si="2"/>
        <v>36.39 - 51.38</v>
      </c>
    </row>
    <row r="27">
      <c r="A27" s="17" t="s">
        <v>30</v>
      </c>
      <c r="B27" s="18" t="s">
        <v>98</v>
      </c>
      <c r="C27" s="59"/>
      <c r="D27" s="59"/>
      <c r="E27" s="72">
        <v>10.0</v>
      </c>
      <c r="F27" s="59"/>
      <c r="G27" s="56"/>
      <c r="H27" s="56"/>
      <c r="I27" s="59"/>
      <c r="J27" s="20">
        <v>24.0</v>
      </c>
      <c r="K27" s="73"/>
      <c r="L27" s="73"/>
      <c r="M27" s="74"/>
      <c r="N27" s="74"/>
      <c r="O27" s="74"/>
      <c r="P27" s="74"/>
      <c r="Q27" s="56"/>
      <c r="R27" s="56"/>
      <c r="S27" s="56"/>
      <c r="T27" s="56"/>
      <c r="U27" s="59"/>
      <c r="V27" s="20">
        <v>7.0</v>
      </c>
      <c r="W27" s="56"/>
      <c r="X27" s="59"/>
      <c r="Y27" s="59"/>
      <c r="Z27" s="59"/>
      <c r="AA27" s="21"/>
      <c r="AB27" s="2"/>
      <c r="AC27" s="22" t="s">
        <v>99</v>
      </c>
      <c r="AD27" s="42">
        <f>(Sum(P4:P22) + (AD9/29.5)+ if(AG7=TRUE, 'Consumables List'!J25, 0)+ if(AG8=TRUE, 'Raid Buffs'!J24, 0))/100</f>
        <v>0.08169491525</v>
      </c>
      <c r="AE27" s="50"/>
      <c r="AF27" s="75" t="s">
        <v>100</v>
      </c>
      <c r="AG27" s="76">
        <f>100-AH25</f>
        <v>63.62</v>
      </c>
      <c r="AH27" s="77">
        <f> if((AG22 +AG23 + AG24 + AG25 + AG26 + AG27) &gt; 100, 100, (AG22 +AG23 + AG24 + AG25 + AG26 + AG27))</f>
        <v>100</v>
      </c>
      <c r="AI27" s="53" t="str">
        <f t="shared" si="2"/>
        <v>51.39 - 100</v>
      </c>
    </row>
    <row r="28">
      <c r="A28" s="17" t="s">
        <v>34</v>
      </c>
      <c r="B28" s="59"/>
      <c r="C28" s="59"/>
      <c r="D28" s="56"/>
      <c r="E28" s="1"/>
      <c r="F28" s="56"/>
      <c r="G28" s="56"/>
      <c r="H28" s="56"/>
      <c r="I28" s="56"/>
      <c r="J28" s="56"/>
      <c r="K28" s="73"/>
      <c r="L28" s="73"/>
      <c r="M28" s="74"/>
      <c r="N28" s="74"/>
      <c r="O28" s="74"/>
      <c r="P28" s="74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7"/>
      <c r="AB28" s="2"/>
      <c r="AC28" s="15" t="s">
        <v>101</v>
      </c>
      <c r="AD28" s="45">
        <f>(SUM(O4:O22) + SUM(O27:O43)) / 100</f>
        <v>0</v>
      </c>
      <c r="AE28" s="2"/>
      <c r="AF28" s="4"/>
      <c r="AG28" s="4"/>
      <c r="AH28" s="4"/>
      <c r="AI28" s="4"/>
    </row>
    <row r="29">
      <c r="A29" s="17" t="s">
        <v>37</v>
      </c>
      <c r="B29" s="18" t="s">
        <v>102</v>
      </c>
      <c r="C29" s="59"/>
      <c r="D29" s="59"/>
      <c r="E29" s="78">
        <v>14.0</v>
      </c>
      <c r="F29" s="59"/>
      <c r="G29" s="59"/>
      <c r="H29" s="59"/>
      <c r="I29" s="56"/>
      <c r="J29" s="56"/>
      <c r="K29" s="74"/>
      <c r="L29" s="74"/>
      <c r="M29" s="74"/>
      <c r="N29" s="74"/>
      <c r="O29" s="74"/>
      <c r="P29" s="74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7"/>
      <c r="AB29" s="2"/>
      <c r="AC29" s="22" t="s">
        <v>103</v>
      </c>
      <c r="AD29" s="23">
        <f>Sum(I4:J22)+ SUM(I27:J43)</f>
        <v>392</v>
      </c>
      <c r="AE29" s="2"/>
      <c r="AF29" s="2"/>
      <c r="AG29" s="2"/>
      <c r="AH29" s="2"/>
      <c r="AI29" s="2"/>
    </row>
    <row r="30">
      <c r="A30" s="17" t="s">
        <v>40</v>
      </c>
      <c r="B30" s="59"/>
      <c r="C30" s="59"/>
      <c r="D30" s="56"/>
      <c r="E30" s="2"/>
      <c r="F30" s="59"/>
      <c r="G30" s="56"/>
      <c r="H30" s="56"/>
      <c r="I30" s="56"/>
      <c r="J30" s="56"/>
      <c r="K30" s="74"/>
      <c r="L30" s="73"/>
      <c r="M30" s="74"/>
      <c r="N30" s="74"/>
      <c r="O30" s="74"/>
      <c r="P30" s="74"/>
      <c r="Q30" s="56"/>
      <c r="R30" s="20">
        <v>1.0</v>
      </c>
      <c r="S30" s="56"/>
      <c r="T30" s="56"/>
      <c r="U30" s="56"/>
      <c r="V30" s="56"/>
      <c r="W30" s="56"/>
      <c r="X30" s="56"/>
      <c r="Y30" s="56"/>
      <c r="Z30" s="56"/>
      <c r="AA30" s="57"/>
      <c r="AB30" s="2"/>
      <c r="AC30" s="43" t="s">
        <v>18</v>
      </c>
      <c r="AD30" s="79">
        <f>Sum(Q4:Q22)+ SUM(Q27:Q43)+ if(AG7=TRUE, 'Consumables List'!M25, 0)+ if(AG8=TRUE, 'Raid Buffs'!M24, 0)</f>
        <v>19</v>
      </c>
      <c r="AE30" s="2"/>
      <c r="AF30" s="2"/>
      <c r="AG30" s="2"/>
      <c r="AH30" s="2"/>
      <c r="AI30" s="2"/>
    </row>
    <row r="31">
      <c r="A31" s="17" t="s">
        <v>43</v>
      </c>
      <c r="B31" s="18" t="s">
        <v>104</v>
      </c>
      <c r="C31" s="59"/>
      <c r="D31" s="59"/>
      <c r="E31" s="78">
        <v>10.0</v>
      </c>
      <c r="F31" s="59"/>
      <c r="G31" s="56"/>
      <c r="H31" s="56"/>
      <c r="I31" s="56"/>
      <c r="J31" s="56"/>
      <c r="K31" s="74"/>
      <c r="L31" s="74"/>
      <c r="M31" s="74"/>
      <c r="N31" s="74"/>
      <c r="O31" s="74"/>
      <c r="P31" s="74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7"/>
      <c r="AB31" s="2"/>
      <c r="AC31" s="7" t="s">
        <v>105</v>
      </c>
      <c r="AD31" s="8"/>
      <c r="AE31" s="2"/>
      <c r="AF31" s="2"/>
      <c r="AG31" s="2"/>
      <c r="AH31" s="2"/>
      <c r="AI31" s="2"/>
    </row>
    <row r="32">
      <c r="A32" s="17" t="s">
        <v>46</v>
      </c>
      <c r="B32" s="59"/>
      <c r="C32" s="59"/>
      <c r="D32" s="59"/>
      <c r="E32" s="78">
        <v>9.0</v>
      </c>
      <c r="F32" s="59"/>
      <c r="G32" s="59"/>
      <c r="H32" s="59"/>
      <c r="I32" s="59"/>
      <c r="J32" s="56"/>
      <c r="K32" s="74"/>
      <c r="L32" s="74"/>
      <c r="M32" s="74"/>
      <c r="N32" s="74"/>
      <c r="O32" s="74"/>
      <c r="P32" s="74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7"/>
      <c r="AB32" s="2"/>
      <c r="AC32" s="80" t="s">
        <v>24</v>
      </c>
      <c r="AD32" s="39">
        <f>Sum(W4:W20)+ SUM(W27:W43)</f>
        <v>0</v>
      </c>
      <c r="AE32" s="2"/>
      <c r="AF32" s="2"/>
      <c r="AG32" s="2"/>
      <c r="AH32" s="2"/>
      <c r="AI32" s="2"/>
    </row>
    <row r="33">
      <c r="A33" s="17" t="s">
        <v>49</v>
      </c>
      <c r="B33" s="59"/>
      <c r="C33" s="59"/>
      <c r="D33" s="59"/>
      <c r="E33" s="1"/>
      <c r="F33" s="56"/>
      <c r="G33" s="56"/>
      <c r="H33" s="59"/>
      <c r="I33" s="56"/>
      <c r="J33" s="56"/>
      <c r="K33" s="74"/>
      <c r="L33" s="74"/>
      <c r="M33" s="73"/>
      <c r="N33" s="74"/>
      <c r="O33" s="74"/>
      <c r="P33" s="74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7"/>
      <c r="AB33" s="2"/>
      <c r="AC33" s="41" t="s">
        <v>25</v>
      </c>
      <c r="AD33" s="81">
        <f>Sum(X4:X20)+ SUM(X27:X43)</f>
        <v>23</v>
      </c>
      <c r="AE33" s="2"/>
      <c r="AF33" s="2"/>
      <c r="AG33" s="2"/>
      <c r="AH33" s="2"/>
      <c r="AI33" s="2"/>
    </row>
    <row r="34">
      <c r="A34" s="17" t="s">
        <v>52</v>
      </c>
      <c r="B34" s="18" t="s">
        <v>106</v>
      </c>
      <c r="C34" s="59"/>
      <c r="D34" s="59"/>
      <c r="E34" s="1"/>
      <c r="F34" s="18">
        <v>6.0</v>
      </c>
      <c r="G34" s="56"/>
      <c r="H34" s="56"/>
      <c r="I34" s="56"/>
      <c r="J34" s="56"/>
      <c r="K34" s="74"/>
      <c r="L34" s="73"/>
      <c r="M34" s="74"/>
      <c r="N34" s="74"/>
      <c r="O34" s="74"/>
      <c r="P34" s="74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7"/>
      <c r="AB34" s="2"/>
      <c r="AC34" s="82" t="s">
        <v>26</v>
      </c>
      <c r="AD34" s="83">
        <f>Sum(Y4:Y20)+ SUM(Y27:Y43)</f>
        <v>15</v>
      </c>
      <c r="AE34" s="2"/>
      <c r="AF34" s="2"/>
      <c r="AG34" s="2"/>
      <c r="AH34" s="2"/>
      <c r="AI34" s="2"/>
    </row>
    <row r="35">
      <c r="A35" s="17" t="s">
        <v>56</v>
      </c>
      <c r="B35" s="37" t="s">
        <v>98</v>
      </c>
      <c r="C35" s="59"/>
      <c r="D35" s="59"/>
      <c r="E35" s="78">
        <v>10.0</v>
      </c>
      <c r="F35" s="59"/>
      <c r="G35" s="59"/>
      <c r="H35" s="59"/>
      <c r="I35" s="56"/>
      <c r="J35" s="20">
        <v>24.0</v>
      </c>
      <c r="K35" s="74"/>
      <c r="L35" s="74"/>
      <c r="M35" s="74"/>
      <c r="N35" s="74"/>
      <c r="O35" s="74"/>
      <c r="P35" s="74"/>
      <c r="Q35" s="56"/>
      <c r="R35" s="56"/>
      <c r="S35" s="56"/>
      <c r="T35" s="56"/>
      <c r="U35" s="59"/>
      <c r="V35" s="20">
        <v>7.0</v>
      </c>
      <c r="W35" s="56"/>
      <c r="X35" s="56"/>
      <c r="Y35" s="56"/>
      <c r="Z35" s="56"/>
      <c r="AA35" s="57"/>
      <c r="AB35" s="2"/>
      <c r="AC35" s="41" t="s">
        <v>27</v>
      </c>
      <c r="AD35" s="81">
        <f>Sum(Z4:Z20)+ SUM(Z27:Z43)</f>
        <v>0</v>
      </c>
      <c r="AE35" s="2"/>
      <c r="AF35" s="2"/>
      <c r="AG35" s="2"/>
      <c r="AH35" s="2"/>
      <c r="AI35" s="2"/>
    </row>
    <row r="36">
      <c r="A36" s="17" t="s">
        <v>59</v>
      </c>
      <c r="B36" s="18" t="s">
        <v>107</v>
      </c>
      <c r="C36" s="59"/>
      <c r="D36" s="59"/>
      <c r="E36" s="78">
        <v>7.0</v>
      </c>
      <c r="F36" s="59"/>
      <c r="G36" s="56"/>
      <c r="H36" s="56"/>
      <c r="I36" s="56"/>
      <c r="J36" s="56"/>
      <c r="K36" s="74"/>
      <c r="L36" s="74"/>
      <c r="M36" s="74"/>
      <c r="N36" s="74"/>
      <c r="O36" s="74"/>
      <c r="P36" s="74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7"/>
      <c r="AB36" s="2"/>
      <c r="AC36" s="84" t="s">
        <v>28</v>
      </c>
      <c r="AD36" s="79">
        <f>Sum(AA4:AA20)+ SUM(AA27:AA43)</f>
        <v>19</v>
      </c>
      <c r="AE36" s="2"/>
      <c r="AF36" s="2"/>
      <c r="AG36" s="2"/>
      <c r="AH36" s="2"/>
      <c r="AI36" s="2"/>
    </row>
    <row r="37">
      <c r="A37" s="17" t="s">
        <v>63</v>
      </c>
      <c r="B37" s="59"/>
      <c r="C37" s="56"/>
      <c r="D37" s="59"/>
      <c r="E37" s="59"/>
      <c r="F37" s="56"/>
      <c r="G37" s="59"/>
      <c r="H37" s="56"/>
      <c r="I37" s="56"/>
      <c r="J37" s="56"/>
      <c r="K37" s="74"/>
      <c r="L37" s="73"/>
      <c r="M37" s="73"/>
      <c r="N37" s="74"/>
      <c r="O37" s="74"/>
      <c r="P37" s="74"/>
      <c r="Q37" s="59"/>
      <c r="R37" s="56"/>
      <c r="S37" s="56"/>
      <c r="T37" s="56"/>
      <c r="U37" s="56"/>
      <c r="V37" s="56"/>
      <c r="W37" s="56"/>
      <c r="X37" s="56"/>
      <c r="Y37" s="56"/>
      <c r="Z37" s="56"/>
      <c r="AA37" s="57"/>
      <c r="AB37" s="2"/>
      <c r="AC37" s="4"/>
      <c r="AD37" s="4"/>
      <c r="AE37" s="2"/>
      <c r="AF37" s="2"/>
      <c r="AG37" s="2"/>
      <c r="AH37" s="2"/>
      <c r="AI37" s="2"/>
    </row>
    <row r="38">
      <c r="A38" s="17" t="s">
        <v>65</v>
      </c>
      <c r="B38" s="59"/>
      <c r="C38" s="56"/>
      <c r="D38" s="56"/>
      <c r="E38" s="59"/>
      <c r="F38" s="56"/>
      <c r="G38" s="56"/>
      <c r="H38" s="56"/>
      <c r="I38" s="56"/>
      <c r="J38" s="56"/>
      <c r="K38" s="73"/>
      <c r="L38" s="74"/>
      <c r="M38" s="73"/>
      <c r="N38" s="74"/>
      <c r="O38" s="74"/>
      <c r="P38" s="74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7"/>
      <c r="AB38" s="2"/>
      <c r="AC38" s="4"/>
      <c r="AD38" s="4"/>
      <c r="AE38" s="2"/>
      <c r="AF38" s="2"/>
      <c r="AG38" s="2"/>
      <c r="AH38" s="2"/>
      <c r="AI38" s="2"/>
    </row>
    <row r="39">
      <c r="A39" s="17" t="s">
        <v>68</v>
      </c>
      <c r="B39" s="59"/>
      <c r="C39" s="56"/>
      <c r="D39" s="56"/>
      <c r="E39" s="56"/>
      <c r="F39" s="56"/>
      <c r="G39" s="56"/>
      <c r="H39" s="56"/>
      <c r="I39" s="56"/>
      <c r="J39" s="56"/>
      <c r="K39" s="74"/>
      <c r="L39" s="74"/>
      <c r="M39" s="73"/>
      <c r="N39" s="74"/>
      <c r="O39" s="74"/>
      <c r="P39" s="74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7"/>
      <c r="AB39" s="2"/>
      <c r="AC39" s="2"/>
      <c r="AD39" s="2"/>
      <c r="AE39" s="2"/>
      <c r="AF39" s="2"/>
      <c r="AG39" s="2"/>
      <c r="AH39" s="2"/>
      <c r="AI39" s="2"/>
    </row>
    <row r="40">
      <c r="A40" s="17" t="s">
        <v>70</v>
      </c>
      <c r="B40" s="59"/>
      <c r="C40" s="56"/>
      <c r="D40" s="56"/>
      <c r="E40" s="56"/>
      <c r="F40" s="56"/>
      <c r="G40" s="56"/>
      <c r="H40" s="56"/>
      <c r="I40" s="56"/>
      <c r="J40" s="56"/>
      <c r="K40" s="73"/>
      <c r="L40" s="74"/>
      <c r="M40" s="74"/>
      <c r="N40" s="74"/>
      <c r="O40" s="74"/>
      <c r="P40" s="74"/>
      <c r="Q40" s="56"/>
      <c r="R40" s="56"/>
      <c r="S40" s="59"/>
      <c r="T40" s="56"/>
      <c r="U40" s="56"/>
      <c r="V40" s="56"/>
      <c r="W40" s="56"/>
      <c r="X40" s="56"/>
      <c r="Y40" s="56"/>
      <c r="Z40" s="56"/>
      <c r="AA40" s="57"/>
      <c r="AB40" s="2"/>
      <c r="AC40" s="2"/>
      <c r="AD40" s="2"/>
      <c r="AE40" s="2"/>
      <c r="AF40" s="2"/>
      <c r="AG40" s="2"/>
      <c r="AH40" s="2"/>
      <c r="AI40" s="2"/>
    </row>
    <row r="41">
      <c r="A41" s="17" t="s">
        <v>72</v>
      </c>
      <c r="B41" s="18" t="s">
        <v>108</v>
      </c>
      <c r="C41" s="56"/>
      <c r="D41" s="56"/>
      <c r="E41" s="59"/>
      <c r="F41" s="56"/>
      <c r="G41" s="56"/>
      <c r="H41" s="56"/>
      <c r="I41" s="18">
        <v>30.0</v>
      </c>
      <c r="J41" s="56"/>
      <c r="K41" s="74"/>
      <c r="L41" s="74"/>
      <c r="M41" s="74"/>
      <c r="N41" s="74"/>
      <c r="O41" s="74"/>
      <c r="P41" s="74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7"/>
      <c r="AB41" s="2"/>
      <c r="AC41" s="2"/>
      <c r="AD41" s="2"/>
      <c r="AE41" s="2"/>
      <c r="AF41" s="2"/>
      <c r="AG41" s="2"/>
      <c r="AH41" s="2"/>
      <c r="AI41" s="2"/>
    </row>
    <row r="42">
      <c r="A42" s="85" t="s">
        <v>74</v>
      </c>
      <c r="B42" s="18" t="s">
        <v>109</v>
      </c>
      <c r="C42" s="59"/>
      <c r="D42" s="56"/>
      <c r="E42" s="59"/>
      <c r="F42" s="56"/>
      <c r="G42" s="56"/>
      <c r="H42" s="56"/>
      <c r="I42" s="56"/>
      <c r="J42" s="56"/>
      <c r="K42" s="74"/>
      <c r="L42" s="74"/>
      <c r="M42" s="74"/>
      <c r="N42" s="74"/>
      <c r="O42" s="74"/>
      <c r="P42" s="74"/>
      <c r="Q42" s="56"/>
      <c r="R42" s="56"/>
      <c r="S42" s="56"/>
      <c r="T42" s="68">
        <v>2.0</v>
      </c>
      <c r="U42" s="56"/>
      <c r="V42" s="56"/>
      <c r="W42" s="56"/>
      <c r="X42" s="59"/>
      <c r="Y42" s="56"/>
      <c r="Z42" s="56"/>
      <c r="AA42" s="57"/>
      <c r="AB42" s="2"/>
      <c r="AC42" s="2"/>
      <c r="AD42" s="2"/>
      <c r="AE42" s="2"/>
      <c r="AF42" s="2"/>
      <c r="AG42" s="2"/>
      <c r="AH42" s="2"/>
      <c r="AI42" s="2"/>
    </row>
    <row r="43">
      <c r="A43" s="17" t="s">
        <v>77</v>
      </c>
      <c r="B43" s="64"/>
      <c r="C43" s="64"/>
      <c r="D43" s="64"/>
      <c r="E43" s="64"/>
      <c r="F43" s="64"/>
      <c r="G43" s="64"/>
      <c r="H43" s="64"/>
      <c r="I43" s="64"/>
      <c r="J43" s="64"/>
      <c r="K43" s="86"/>
      <c r="L43" s="86"/>
      <c r="M43" s="86"/>
      <c r="N43" s="86"/>
      <c r="O43" s="86"/>
      <c r="P43" s="86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5"/>
      <c r="AB43" s="2"/>
      <c r="AC43" s="2"/>
      <c r="AD43" s="2"/>
      <c r="AE43" s="2"/>
      <c r="AF43" s="2"/>
      <c r="AG43" s="2"/>
      <c r="AH43" s="2"/>
      <c r="AI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</sheetData>
  <mergeCells count="9">
    <mergeCell ref="AC25:AD25"/>
    <mergeCell ref="AC31:AD31"/>
    <mergeCell ref="G1:P2"/>
    <mergeCell ref="AC2:AD2"/>
    <mergeCell ref="AF4:AG4"/>
    <mergeCell ref="AC11:AD11"/>
    <mergeCell ref="AF19:AI19"/>
    <mergeCell ref="AC20:AD20"/>
    <mergeCell ref="G24:P25"/>
  </mergeCells>
  <conditionalFormatting sqref="AD22">
    <cfRule type="cellIs" dxfId="0" priority="1" operator="lessThan">
      <formula>0.09</formula>
    </cfRule>
  </conditionalFormatting>
  <conditionalFormatting sqref="AG13">
    <cfRule type="cellIs" dxfId="0" priority="2" operator="greaterThanOrEqual">
      <formula>32</formula>
    </cfRule>
  </conditionalFormatting>
  <hyperlinks>
    <hyperlink r:id="rId2" ref="B22"/>
  </hyperlinks>
  <drawing r:id="rId3"/>
  <legacyDrawing r:id="rId4"/>
  <tableParts count="3"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25.13"/>
    <col customWidth="1" min="3" max="3" width="6.25"/>
    <col customWidth="1" min="4" max="4" width="7.88"/>
    <col customWidth="1" min="5" max="5" width="7.75"/>
    <col customWidth="1" min="6" max="6" width="5.88"/>
    <col customWidth="1" min="7" max="7" width="7.63"/>
    <col customWidth="1" min="8" max="10" width="5.13"/>
    <col customWidth="1" min="11" max="12" width="5.38"/>
    <col customWidth="1" min="13" max="13" width="6.0"/>
    <col customWidth="1" min="14" max="14" width="7.88"/>
    <col customWidth="1" min="15" max="15" width="6.5"/>
    <col customWidth="1" min="16" max="16" width="6.63"/>
    <col customWidth="1" min="17" max="17" width="4.75"/>
    <col customWidth="1" min="18" max="18" width="7.63"/>
    <col customWidth="1" min="19" max="19" width="5.38"/>
    <col customWidth="1" min="20" max="20" width="5.5"/>
    <col customWidth="1" min="21" max="21" width="9.5"/>
    <col customWidth="1" min="22" max="22" width="7.88"/>
    <col customWidth="1" min="23" max="23" width="7.5"/>
    <col customWidth="1" hidden="1" min="24" max="24" width="12.13"/>
    <col customWidth="1" min="25" max="25" width="4.75"/>
    <col customWidth="1" min="26" max="26" width="6.75"/>
    <col customWidth="1" min="27" max="27" width="6.25"/>
    <col customWidth="1" min="28" max="28" width="8.25"/>
    <col customWidth="1" min="29" max="29" width="17.25"/>
    <col customWidth="1" min="31" max="33" width="17.25"/>
  </cols>
  <sheetData>
    <row r="1">
      <c r="A1" s="4"/>
      <c r="B1" s="87" t="s">
        <v>33</v>
      </c>
      <c r="C1" s="88"/>
      <c r="D1" s="4"/>
      <c r="E1" s="7" t="s">
        <v>1</v>
      </c>
      <c r="F1" s="8"/>
      <c r="G1" s="4"/>
      <c r="H1" s="7" t="s">
        <v>54</v>
      </c>
      <c r="I1" s="89"/>
      <c r="J1" s="89"/>
      <c r="K1" s="8"/>
      <c r="L1" s="4"/>
      <c r="M1" s="7" t="s">
        <v>110</v>
      </c>
      <c r="N1" s="89"/>
      <c r="O1" s="89"/>
      <c r="P1" s="8"/>
      <c r="Q1" s="4"/>
      <c r="R1" s="7" t="s">
        <v>105</v>
      </c>
      <c r="S1" s="8"/>
      <c r="T1" s="4"/>
      <c r="U1" s="24" t="s">
        <v>76</v>
      </c>
      <c r="V1" s="89"/>
      <c r="W1" s="48"/>
      <c r="X1" s="48"/>
      <c r="Y1" s="48"/>
      <c r="Z1" s="49"/>
      <c r="AA1" s="4"/>
      <c r="AB1" s="4"/>
      <c r="AC1" s="4"/>
      <c r="AD1" s="4"/>
      <c r="AE1" s="90"/>
      <c r="AF1" s="2"/>
      <c r="AG1" s="2"/>
      <c r="AH1" s="2"/>
      <c r="AI1" s="2"/>
    </row>
    <row r="2">
      <c r="A2" s="4"/>
      <c r="B2" s="38" t="s">
        <v>36</v>
      </c>
      <c r="C2" s="91">
        <v>63.0</v>
      </c>
      <c r="D2" s="4"/>
      <c r="E2" s="38" t="s">
        <v>29</v>
      </c>
      <c r="F2" s="58">
        <f>1201+(F6*10) + if(C4=TRUE, 'Consumables List'!C25, 0)</f>
        <v>4921</v>
      </c>
      <c r="G2" s="4"/>
      <c r="H2" s="38" t="s">
        <v>4</v>
      </c>
      <c r="I2" s="92"/>
      <c r="J2" s="93">
        <f>(Sum(C14:C32) + SUM(C36:C51)+ (2*F7)) + if(C4=TRUE, 'Consumables List'!B25, 0) + if(C5=TRUE, 'Raid Buffs'!B24, 0)</f>
        <v>8198.8</v>
      </c>
      <c r="K2" s="94"/>
      <c r="L2" s="95"/>
      <c r="M2" s="38" t="s">
        <v>85</v>
      </c>
      <c r="N2" s="96"/>
      <c r="O2" s="92"/>
      <c r="P2" s="58">
        <f>Sum(K14:K32) + SUM(K36:K51) + (160) + (F5*2 )+ if(C4=TRUE, 'Consumables List'!K25, 0)+ if(C5=TRUE, 'Raid Buffs'!K24, 0)</f>
        <v>604</v>
      </c>
      <c r="Q2" s="4"/>
      <c r="R2" s="80" t="s">
        <v>24</v>
      </c>
      <c r="S2" s="39">
        <f>Sum(W14:W32)+ SUM(W36:W51)</f>
        <v>0</v>
      </c>
      <c r="T2" s="4"/>
      <c r="U2" s="97" t="s">
        <v>80</v>
      </c>
      <c r="V2" s="89"/>
      <c r="W2" s="98" t="s">
        <v>81</v>
      </c>
      <c r="X2" s="99" t="s">
        <v>82</v>
      </c>
      <c r="Y2" s="99" t="s">
        <v>83</v>
      </c>
      <c r="Z2" s="49"/>
      <c r="AA2" s="4"/>
      <c r="AB2" s="4"/>
      <c r="AC2" s="4"/>
      <c r="AD2" s="4"/>
      <c r="AE2" s="4"/>
      <c r="AF2" s="2"/>
      <c r="AG2" s="2"/>
      <c r="AH2" s="2"/>
      <c r="AI2" s="2"/>
    </row>
    <row r="3">
      <c r="A3" s="4"/>
      <c r="B3" s="22" t="s">
        <v>39</v>
      </c>
      <c r="C3" s="100" t="b">
        <v>1</v>
      </c>
      <c r="D3" s="4"/>
      <c r="E3" s="22" t="s">
        <v>32</v>
      </c>
      <c r="F3" s="23">
        <f>1232+(F8*15)</f>
        <v>4847</v>
      </c>
      <c r="G3" s="4"/>
      <c r="H3" s="41" t="s">
        <v>61</v>
      </c>
      <c r="J3" s="101">
        <f>(J2/(J2+400+85*(C2)))</f>
        <v>0.5875675443</v>
      </c>
      <c r="K3" s="102"/>
      <c r="L3" s="95"/>
      <c r="M3" s="22" t="s">
        <v>89</v>
      </c>
      <c r="P3" s="42">
        <f>(Sum(M14:M32) + SUM(M36:M51) + (F7/20)+ if(C4=TRUE, 'Consumables List'!L25, 0)+ if(C5=TRUE, 'Raid Buffs'!L24, 0)) / 100</f>
        <v>0.158</v>
      </c>
      <c r="Q3" s="4"/>
      <c r="R3" s="41" t="s">
        <v>25</v>
      </c>
      <c r="S3" s="81">
        <f>Sum(Y14:Y32)+ SUM(Y36:Y51)</f>
        <v>47</v>
      </c>
      <c r="T3" s="4"/>
      <c r="U3" s="15" t="s">
        <v>67</v>
      </c>
      <c r="W3" s="103">
        <f t="shared" ref="W3:W6" si="1">(J5 * 100)</f>
        <v>4.96</v>
      </c>
      <c r="X3" s="103">
        <f>W3</f>
        <v>4.96</v>
      </c>
      <c r="Y3" s="104" t="str">
        <f>"0.01 - " &amp; X3</f>
        <v>0.01 - 4.96</v>
      </c>
      <c r="Z3" s="105"/>
      <c r="AA3" s="4"/>
      <c r="AB3" s="4"/>
      <c r="AC3" s="4"/>
      <c r="AD3" s="4"/>
      <c r="AE3" s="4"/>
      <c r="AF3" s="2"/>
      <c r="AG3" s="2"/>
      <c r="AH3" s="2"/>
      <c r="AI3" s="2"/>
    </row>
    <row r="4">
      <c r="A4" s="4"/>
      <c r="B4" s="82" t="s">
        <v>111</v>
      </c>
      <c r="C4" s="31" t="b">
        <v>0</v>
      </c>
      <c r="D4" s="4"/>
      <c r="E4" s="106"/>
      <c r="F4" s="107"/>
      <c r="G4" s="4"/>
      <c r="H4" s="15" t="s">
        <v>23</v>
      </c>
      <c r="J4" s="108">
        <f>300+Sum(V14:V32)+ SUM(V36:V51)</f>
        <v>314</v>
      </c>
      <c r="K4" s="109"/>
      <c r="L4" s="95"/>
      <c r="M4" s="15" t="s">
        <v>88</v>
      </c>
      <c r="P4" s="45">
        <f>(SUM(L14:L32) + SUM(L36:L51) + (IF(C3, 3, 0)))/100</f>
        <v>0.09</v>
      </c>
      <c r="Q4" s="4"/>
      <c r="R4" s="82" t="s">
        <v>26</v>
      </c>
      <c r="S4" s="83">
        <f>Sum(Z14:Z32)+ SUM(Z36:Z51)</f>
        <v>15</v>
      </c>
      <c r="T4" s="4"/>
      <c r="U4" s="22" t="s">
        <v>19</v>
      </c>
      <c r="W4" s="110">
        <f t="shared" si="1"/>
        <v>10.46</v>
      </c>
      <c r="X4" s="110">
        <f>if((W3 + W4) &gt; 100, 100, (W3 + W4))</f>
        <v>15.42</v>
      </c>
      <c r="Y4" s="111" t="str">
        <f t="shared" ref="Y4:Y9" si="2"> (X3+0.01) &amp; " - " &amp; X4</f>
        <v>4.97 - 15.42</v>
      </c>
      <c r="Z4" s="105"/>
      <c r="AA4" s="4"/>
      <c r="AB4" s="4"/>
      <c r="AC4" s="4"/>
      <c r="AD4" s="4"/>
      <c r="AE4" s="4"/>
      <c r="AF4" s="2"/>
      <c r="AG4" s="2"/>
      <c r="AH4" s="2"/>
      <c r="AI4" s="2"/>
    </row>
    <row r="5">
      <c r="A5" s="4"/>
      <c r="B5" s="41" t="s">
        <v>112</v>
      </c>
      <c r="C5" s="100" t="b">
        <v>0</v>
      </c>
      <c r="D5" s="4"/>
      <c r="E5" s="22" t="s">
        <v>5</v>
      </c>
      <c r="F5" s="27">
        <f>(SUM(D14:D32) + SUM(D36:D51) + 105 + if(C4=TRUE, 'Consumables List'!D25, 0) + if(C5=TRUE, 'Raid Buffs'!D24, 0)) *(IF(C6=TRUE, 1.1, 1))</f>
        <v>222</v>
      </c>
      <c r="G5" s="4"/>
      <c r="H5" s="22" t="s">
        <v>67</v>
      </c>
      <c r="J5" s="101">
        <f>( 5+((J4-(C2*5))*0.04)) / 100</f>
        <v>0.0496</v>
      </c>
      <c r="K5" s="102"/>
      <c r="L5" s="95"/>
      <c r="M5" s="112" t="s">
        <v>91</v>
      </c>
      <c r="P5" s="113">
        <f>(SUM(N14:N32) + SUM(N36:N51))/100</f>
        <v>0</v>
      </c>
      <c r="Q5" s="4"/>
      <c r="R5" s="41" t="s">
        <v>27</v>
      </c>
      <c r="S5" s="81">
        <f>Sum(AA14:AA32)+ SUM(AA36:AA51)</f>
        <v>0</v>
      </c>
      <c r="T5" s="4"/>
      <c r="U5" s="15" t="s">
        <v>20</v>
      </c>
      <c r="W5" s="103">
        <f t="shared" si="1"/>
        <v>9.96</v>
      </c>
      <c r="X5" s="103">
        <f> if((W3 +W4 + W5) &gt; 100, 100, (W3 +W4 + W5))</f>
        <v>25.38</v>
      </c>
      <c r="Y5" s="104" t="str">
        <f t="shared" si="2"/>
        <v>15.43 - 25.38</v>
      </c>
      <c r="Z5" s="105"/>
      <c r="AA5" s="4"/>
      <c r="AB5" s="4"/>
      <c r="AC5" s="4"/>
      <c r="AD5" s="4"/>
      <c r="AE5" s="4"/>
      <c r="AF5" s="2"/>
      <c r="AG5" s="2"/>
      <c r="AH5" s="2"/>
      <c r="AI5" s="2"/>
    </row>
    <row r="6">
      <c r="A6" s="4"/>
      <c r="B6" s="82" t="s">
        <v>113</v>
      </c>
      <c r="C6" s="31" t="b">
        <v>0</v>
      </c>
      <c r="D6" s="4"/>
      <c r="E6" s="15" t="s">
        <v>6</v>
      </c>
      <c r="F6" s="30">
        <f>(SUM(E14:E32) + SUM(E36:E51) + 100 + if(C4=TRUE, 'Consumables List'!E25, 0)+ if(C5=TRUE, 'Raid Buffs'!E24, 0)) *(IF(C6=TRUE, 1.1, 1))</f>
        <v>372</v>
      </c>
      <c r="G6" s="4"/>
      <c r="H6" s="15" t="s">
        <v>19</v>
      </c>
      <c r="J6" s="114">
        <f>( ((0.7) + (F7/20) + Sum(R14:R32) + SUM(R36:R51) + ((J4-(C2*5)) * 0.04))) / 100</f>
        <v>0.1046</v>
      </c>
      <c r="K6" s="109"/>
      <c r="L6" s="95"/>
      <c r="M6" s="82" t="s">
        <v>114</v>
      </c>
      <c r="P6" s="16">
        <f>Sum(I14:I32)+ SUM(I36:I51)+ if(C4=TRUE, 'Consumables List'!I25, 0)+ if(C5=TRUE, 'Raid Buffs'!I24, 0)</f>
        <v>359</v>
      </c>
      <c r="Q6" s="4"/>
      <c r="R6" s="84" t="s">
        <v>28</v>
      </c>
      <c r="S6" s="79">
        <f>Sum(AB14:AB32)+ SUM(AB36:AB51)</f>
        <v>0</v>
      </c>
      <c r="T6" s="4"/>
      <c r="U6" s="22" t="s">
        <v>21</v>
      </c>
      <c r="W6" s="110">
        <f t="shared" si="1"/>
        <v>6.96</v>
      </c>
      <c r="X6" s="110">
        <f> if((W3 +W4 + W5 + W6) &gt; 100, 100,(W3 +W4 + W5 + W6))</f>
        <v>32.34</v>
      </c>
      <c r="Y6" s="111" t="str">
        <f t="shared" si="2"/>
        <v>25.39 - 32.34</v>
      </c>
      <c r="Z6" s="105"/>
      <c r="AA6" s="4"/>
      <c r="AB6" s="4"/>
      <c r="AC6" s="4"/>
      <c r="AD6" s="4"/>
      <c r="AE6" s="4"/>
      <c r="AF6" s="2"/>
      <c r="AG6" s="2"/>
      <c r="AH6" s="2"/>
      <c r="AI6" s="2"/>
    </row>
    <row r="7">
      <c r="A7" s="4"/>
      <c r="B7" s="41" t="s">
        <v>115</v>
      </c>
      <c r="C7" s="100" t="b">
        <v>0</v>
      </c>
      <c r="D7" s="4"/>
      <c r="E7" s="22" t="s">
        <v>7</v>
      </c>
      <c r="F7" s="27">
        <f>(SUM(F14:F32) + SUM(F36:F51) + 65 + if(C4=TRUE, 'Consumables List'!F25, 0)+ if(C5=TRUE, 'Raid Buffs'!F24, 0)) *(IF(C6=TRUE, 1.1, 1))</f>
        <v>176</v>
      </c>
      <c r="G7" s="4"/>
      <c r="H7" s="22" t="s">
        <v>20</v>
      </c>
      <c r="J7" s="101">
        <f>(5+Sum(S14:S32)+ SUM(S36:S51) + ((J4-(C2*5)) * 0.04)) / 100</f>
        <v>0.0996</v>
      </c>
      <c r="K7" s="102"/>
      <c r="L7" s="95"/>
      <c r="M7" s="22" t="s">
        <v>99</v>
      </c>
      <c r="P7" s="42">
        <f>(Sum(P14:P32) + (F8/29.5)+ if(C4=TRUE, 'Consumables List'!J25, 0)+ if(C5=TRUE, 'Raid Buffs'!J24, 0)) / 100</f>
        <v>0.08169491525</v>
      </c>
      <c r="Q7" s="95"/>
      <c r="R7" s="4"/>
      <c r="S7" s="4"/>
      <c r="T7" s="95"/>
      <c r="U7" s="15" t="s">
        <v>93</v>
      </c>
      <c r="W7" s="108">
        <f> (5+ ((((C2*5) - J4)* 0.2) * 0.2)) - (J9*100)</f>
        <v>4.04</v>
      </c>
      <c r="X7" s="103">
        <f> If((W3 +W4 + W5 + W6 + W7)&gt; 100, 100, (W3 +W4 + W5 + W6 + W7))</f>
        <v>36.38</v>
      </c>
      <c r="Y7" s="104" t="str">
        <f t="shared" si="2"/>
        <v>32.35 - 36.38</v>
      </c>
      <c r="Z7" s="105"/>
      <c r="AA7" s="4"/>
      <c r="AB7" s="4"/>
      <c r="AC7" s="4"/>
      <c r="AD7" s="4"/>
      <c r="AE7" s="4"/>
      <c r="AF7" s="2"/>
      <c r="AG7" s="2"/>
      <c r="AH7" s="2"/>
      <c r="AI7" s="2"/>
    </row>
    <row r="8">
      <c r="A8" s="4"/>
      <c r="B8" s="82" t="s">
        <v>116</v>
      </c>
      <c r="C8" s="31" t="b">
        <v>0</v>
      </c>
      <c r="D8" s="4"/>
      <c r="E8" s="15" t="s">
        <v>8</v>
      </c>
      <c r="F8" s="30">
        <f>(SUM(G14:G32) + SUM(G36:G51)+ 70+ if(C4=TRUE, 'Consumables List'!G25, 0)+ if(C5=TRUE, 'Raid Buffs'!G24, 0)) *(IF(C6=TRUE, 1.1, 1))</f>
        <v>241</v>
      </c>
      <c r="G8" s="4"/>
      <c r="H8" s="15" t="s">
        <v>21</v>
      </c>
      <c r="J8" s="114">
        <f>(5 + Sum(T14:T32)+Sum(T36:T51) + ((J4-(C2*5)) * 0.04) + (IF(C7=TRUE, 30, 0)) + (IF(C8=TRUE, 30, 0))) / 100</f>
        <v>0.0696</v>
      </c>
      <c r="K8" s="109"/>
      <c r="L8" s="95"/>
      <c r="M8" s="15" t="s">
        <v>101</v>
      </c>
      <c r="P8" s="45">
        <f>(SUM(O14:O32) + SUM(O36:O51))/100</f>
        <v>0</v>
      </c>
      <c r="Q8" s="95"/>
      <c r="R8" s="95"/>
      <c r="S8" s="95"/>
      <c r="T8" s="95"/>
      <c r="U8" s="115" t="s">
        <v>97</v>
      </c>
      <c r="W8" s="116">
        <v>15.0</v>
      </c>
      <c r="X8" s="110">
        <f> If((W3 +W4 + W5 + W6 + W7 + W8) &gt; 100, 100, (W3 +W4 + W5 + W6 + W7 + W8))</f>
        <v>51.38</v>
      </c>
      <c r="Y8" s="111" t="str">
        <f t="shared" si="2"/>
        <v>36.39 - 51.38</v>
      </c>
      <c r="Z8" s="105"/>
      <c r="AA8" s="4"/>
      <c r="AB8" s="4"/>
      <c r="AC8" s="4"/>
      <c r="AD8" s="4"/>
      <c r="AE8" s="4"/>
      <c r="AF8" s="2"/>
      <c r="AG8" s="2"/>
      <c r="AH8" s="2"/>
      <c r="AI8" s="2"/>
    </row>
    <row r="9">
      <c r="A9" s="1"/>
      <c r="B9" s="22" t="s">
        <v>58</v>
      </c>
      <c r="C9" s="117">
        <v>3.0</v>
      </c>
      <c r="D9" s="4"/>
      <c r="E9" s="32" t="s">
        <v>9</v>
      </c>
      <c r="F9" s="33">
        <f>(SUM(H14:H32) + SUM(H36:H51)+ 79+ if(C4=TRUE, 'Consumables List'!H25, 0) + if(C5=TRUE, 'Raid Buffs'!G24, 0)) *(IF(C6=TRUE, 1.1, 1))</f>
        <v>99</v>
      </c>
      <c r="G9" s="2"/>
      <c r="H9" s="32" t="s">
        <v>22</v>
      </c>
      <c r="I9" s="118"/>
      <c r="J9" s="119">
        <f>(SUM(U14:U32) + SUM(U36:U51))/100</f>
        <v>0.01</v>
      </c>
      <c r="K9" s="120"/>
      <c r="L9" s="95"/>
      <c r="M9" s="22" t="s">
        <v>103</v>
      </c>
      <c r="P9" s="23">
        <f>Sum(I14:J32)+ SUM(I36:J51)</f>
        <v>429</v>
      </c>
      <c r="Q9" s="2"/>
      <c r="R9" s="2"/>
      <c r="S9" s="2"/>
      <c r="T9" s="2"/>
      <c r="U9" s="84" t="s">
        <v>100</v>
      </c>
      <c r="V9" s="121"/>
      <c r="W9" s="122">
        <f>100-X7</f>
        <v>63.62</v>
      </c>
      <c r="X9" s="123">
        <f> if((W4 +W5 + W6 + W7 + W8 + W9) &gt; 100, 100, (W4 +W5 + W6 + W7 + W8 + W9))</f>
        <v>100</v>
      </c>
      <c r="Y9" s="124" t="str">
        <f t="shared" si="2"/>
        <v>51.39 - 100</v>
      </c>
      <c r="Z9" s="125"/>
      <c r="AA9" s="2"/>
      <c r="AB9" s="2"/>
      <c r="AC9" s="4"/>
      <c r="AD9" s="4"/>
      <c r="AE9" s="4"/>
      <c r="AF9" s="2"/>
      <c r="AG9" s="2"/>
      <c r="AH9" s="2"/>
      <c r="AI9" s="2"/>
    </row>
    <row r="10">
      <c r="A10" s="1"/>
      <c r="B10" s="43" t="s">
        <v>62</v>
      </c>
      <c r="C10" s="44">
        <f>(if(C4=TRUE,'Consumables List'!B27, 0) + if(C5=TRUE,'Raid Buffs'!B26, 0)) + if(C6=TRUE, 1, 0)+ if(C7=TRUE, 1, 0) + if(C8=TRUE, 1, 0) + C9</f>
        <v>3</v>
      </c>
      <c r="D10" s="2"/>
      <c r="E10" s="2"/>
      <c r="F10" s="2"/>
      <c r="G10" s="95"/>
      <c r="H10" s="95"/>
      <c r="I10" s="95"/>
      <c r="J10" s="95"/>
      <c r="K10" s="95"/>
      <c r="L10" s="95"/>
      <c r="M10" s="43" t="s">
        <v>18</v>
      </c>
      <c r="N10" s="121"/>
      <c r="O10" s="121"/>
      <c r="P10" s="79">
        <f>Sum(Q14:Q32)+ SUM(Q36:Q51)+ if(C4=TRUE, 'Consumables List'!M25, 0)+ if(C5=TRUE, 'Raid Buffs'!M24, 0)</f>
        <v>19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4"/>
      <c r="AD10" s="4"/>
      <c r="AE10" s="4"/>
      <c r="AF10" s="2"/>
      <c r="AG10" s="2"/>
      <c r="AH10" s="2"/>
      <c r="AI10" s="2"/>
    </row>
    <row r="11">
      <c r="A11" s="1"/>
      <c r="B11" s="4"/>
      <c r="C11" s="4"/>
      <c r="D11" s="2"/>
      <c r="E11" s="2"/>
      <c r="F11" s="2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4"/>
      <c r="AD11" s="4"/>
      <c r="AE11" s="4"/>
      <c r="AF11" s="2"/>
      <c r="AG11" s="2"/>
      <c r="AH11" s="2"/>
      <c r="AI11" s="2"/>
    </row>
    <row r="12">
      <c r="A12" s="5"/>
      <c r="B12" s="4"/>
      <c r="C12" s="4"/>
      <c r="D12" s="6"/>
      <c r="E12" s="6"/>
      <c r="F12" s="6"/>
      <c r="G12" s="95"/>
      <c r="H12" s="95"/>
      <c r="I12" s="95"/>
      <c r="J12" s="3" t="s">
        <v>0</v>
      </c>
      <c r="N12" s="95"/>
      <c r="O12" s="95"/>
      <c r="P12" s="95"/>
      <c r="Q12" s="6"/>
      <c r="R12" s="6"/>
      <c r="S12" s="6"/>
      <c r="T12" s="6"/>
      <c r="U12" s="2"/>
      <c r="V12" s="2"/>
      <c r="W12" s="2"/>
      <c r="X12" s="2"/>
      <c r="Y12" s="2"/>
      <c r="Z12" s="6"/>
      <c r="AA12" s="6"/>
      <c r="AB12" s="2"/>
      <c r="AC12" s="4"/>
      <c r="AD12" s="4"/>
      <c r="AE12" s="4"/>
      <c r="AF12" s="2"/>
      <c r="AG12" s="2"/>
      <c r="AH12" s="2"/>
      <c r="AI12" s="2"/>
    </row>
    <row r="13">
      <c r="A13" s="126"/>
      <c r="B13" s="127"/>
      <c r="C13" s="13" t="s">
        <v>4</v>
      </c>
      <c r="D13" s="11" t="s">
        <v>5</v>
      </c>
      <c r="E13" s="11" t="s">
        <v>6</v>
      </c>
      <c r="F13" s="11" t="s">
        <v>7</v>
      </c>
      <c r="G13" s="12" t="s">
        <v>8</v>
      </c>
      <c r="H13" s="13" t="s">
        <v>9</v>
      </c>
      <c r="I13" s="13" t="s">
        <v>10</v>
      </c>
      <c r="J13" s="13" t="s">
        <v>11</v>
      </c>
      <c r="K13" s="13" t="s">
        <v>12</v>
      </c>
      <c r="L13" s="13" t="s">
        <v>13</v>
      </c>
      <c r="M13" s="13" t="s">
        <v>14</v>
      </c>
      <c r="N13" s="14" t="s">
        <v>15</v>
      </c>
      <c r="O13" s="13" t="s">
        <v>16</v>
      </c>
      <c r="P13" s="13" t="s">
        <v>17</v>
      </c>
      <c r="Q13" s="11" t="s">
        <v>18</v>
      </c>
      <c r="R13" s="11" t="s">
        <v>19</v>
      </c>
      <c r="S13" s="11" t="s">
        <v>20</v>
      </c>
      <c r="T13" s="11" t="s">
        <v>21</v>
      </c>
      <c r="U13" s="13" t="s">
        <v>22</v>
      </c>
      <c r="V13" s="13" t="s">
        <v>23</v>
      </c>
      <c r="W13" s="14" t="s">
        <v>24</v>
      </c>
      <c r="X13" s="14" t="s">
        <v>117</v>
      </c>
      <c r="Y13" s="14" t="s">
        <v>25</v>
      </c>
      <c r="Z13" s="10" t="s">
        <v>26</v>
      </c>
      <c r="AA13" s="10" t="s">
        <v>27</v>
      </c>
      <c r="AB13" s="69" t="s">
        <v>28</v>
      </c>
      <c r="AC13" s="1"/>
      <c r="AD13" s="4"/>
      <c r="AE13" s="4"/>
      <c r="AF13" s="2"/>
      <c r="AG13" s="2"/>
      <c r="AH13" s="2"/>
      <c r="AI13" s="2"/>
    </row>
    <row r="14" ht="18.75" customHeight="1">
      <c r="A14" s="17" t="s">
        <v>30</v>
      </c>
      <c r="B14" s="18" t="s">
        <v>31</v>
      </c>
      <c r="C14" s="19">
        <v>696.0</v>
      </c>
      <c r="D14" s="19">
        <v>17.0</v>
      </c>
      <c r="E14" s="19">
        <v>18.0</v>
      </c>
      <c r="F14" s="19">
        <v>12.0</v>
      </c>
      <c r="G14" s="19">
        <v>23.0</v>
      </c>
      <c r="H14" s="20"/>
      <c r="I14" s="19">
        <v>32.0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128"/>
      <c r="Y14" s="20"/>
      <c r="Z14" s="20"/>
      <c r="AA14" s="19"/>
      <c r="AB14" s="129">
        <v>10.0</v>
      </c>
      <c r="AC14" s="4"/>
      <c r="AD14" s="4"/>
      <c r="AE14" s="2"/>
      <c r="AF14" s="2"/>
      <c r="AG14" s="2"/>
      <c r="AH14" s="2"/>
      <c r="AI14" s="2"/>
    </row>
    <row r="15" ht="18.75" customHeight="1">
      <c r="A15" s="17" t="s">
        <v>34</v>
      </c>
      <c r="B15" s="18" t="s">
        <v>35</v>
      </c>
      <c r="C15" s="20"/>
      <c r="D15" s="20"/>
      <c r="E15" s="19">
        <v>9.0</v>
      </c>
      <c r="F15" s="19">
        <v>12.0</v>
      </c>
      <c r="G15" s="20"/>
      <c r="H15" s="20"/>
      <c r="I15" s="20"/>
      <c r="J15" s="20"/>
      <c r="K15" s="20"/>
      <c r="L15" s="19">
        <v>1.0</v>
      </c>
      <c r="M15" s="19">
        <v>1.0</v>
      </c>
      <c r="N15" s="19"/>
      <c r="O15" s="20"/>
      <c r="P15" s="20"/>
      <c r="Q15" s="20"/>
      <c r="R15" s="20"/>
      <c r="S15" s="20"/>
      <c r="T15" s="20"/>
      <c r="U15" s="20"/>
      <c r="V15" s="20"/>
      <c r="W15" s="20"/>
      <c r="X15" s="130"/>
      <c r="Y15" s="19">
        <v>10.0</v>
      </c>
      <c r="Z15" s="20"/>
      <c r="AA15" s="20"/>
      <c r="AB15" s="21"/>
      <c r="AC15" s="4"/>
      <c r="AD15" s="4"/>
      <c r="AE15" s="4"/>
      <c r="AF15" s="2"/>
      <c r="AG15" s="2"/>
      <c r="AH15" s="2"/>
      <c r="AI15" s="2"/>
    </row>
    <row r="16" ht="18.75" customHeight="1">
      <c r="A16" s="17" t="s">
        <v>37</v>
      </c>
      <c r="B16" s="18" t="s">
        <v>38</v>
      </c>
      <c r="C16" s="19">
        <v>642.0</v>
      </c>
      <c r="D16" s="19">
        <v>13.0</v>
      </c>
      <c r="E16" s="19">
        <v>20.0</v>
      </c>
      <c r="F16" s="19">
        <v>6.0</v>
      </c>
      <c r="G16" s="19">
        <v>14.0</v>
      </c>
      <c r="H16" s="20"/>
      <c r="I16" s="19">
        <v>13.0</v>
      </c>
      <c r="J16" s="20"/>
      <c r="K16" s="20"/>
      <c r="L16" s="20"/>
      <c r="M16" s="20"/>
      <c r="N16" s="19"/>
      <c r="O16" s="20"/>
      <c r="P16" s="20"/>
      <c r="Q16" s="19">
        <v>5.0</v>
      </c>
      <c r="R16" s="20"/>
      <c r="S16" s="20"/>
      <c r="T16" s="20"/>
      <c r="U16" s="20"/>
      <c r="V16" s="20"/>
      <c r="W16" s="20"/>
      <c r="X16" s="130"/>
      <c r="Y16" s="19">
        <v>10.0</v>
      </c>
      <c r="Z16" s="20"/>
      <c r="AA16" s="20"/>
      <c r="AB16" s="21"/>
      <c r="AC16" s="4"/>
      <c r="AD16" s="4"/>
      <c r="AE16" s="4"/>
      <c r="AF16" s="2"/>
      <c r="AG16" s="2"/>
      <c r="AH16" s="2"/>
      <c r="AI16" s="2"/>
    </row>
    <row r="17" ht="18.75" customHeight="1">
      <c r="A17" s="17" t="s">
        <v>40</v>
      </c>
      <c r="B17" s="18" t="s">
        <v>41</v>
      </c>
      <c r="C17" s="19">
        <v>48.0</v>
      </c>
      <c r="D17" s="20"/>
      <c r="E17" s="19">
        <v>6.0</v>
      </c>
      <c r="F17" s="20"/>
      <c r="G17" s="19">
        <v>6.0</v>
      </c>
      <c r="H17" s="20"/>
      <c r="I17" s="19">
        <v>23.0</v>
      </c>
      <c r="J17" s="20"/>
      <c r="K17" s="20"/>
      <c r="L17" s="20"/>
      <c r="M17" s="20"/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128"/>
      <c r="Y17" s="20"/>
      <c r="Z17" s="20"/>
      <c r="AA17" s="20"/>
      <c r="AB17" s="21"/>
      <c r="AC17" s="4"/>
      <c r="AD17" s="4"/>
      <c r="AE17" s="4"/>
      <c r="AF17" s="2"/>
      <c r="AG17" s="2"/>
      <c r="AH17" s="2"/>
      <c r="AI17" s="2"/>
    </row>
    <row r="18" ht="18.75" customHeight="1">
      <c r="A18" s="17" t="s">
        <v>43</v>
      </c>
      <c r="B18" s="18" t="s">
        <v>44</v>
      </c>
      <c r="C18" s="19">
        <v>738.0</v>
      </c>
      <c r="D18" s="19">
        <v>19.0</v>
      </c>
      <c r="E18" s="19">
        <v>26.0</v>
      </c>
      <c r="F18" s="19">
        <v>7.0</v>
      </c>
      <c r="G18" s="19">
        <v>16.0</v>
      </c>
      <c r="H18" s="20"/>
      <c r="I18" s="20"/>
      <c r="J18" s="20"/>
      <c r="K18" s="20"/>
      <c r="L18" s="20"/>
      <c r="M18" s="19">
        <v>1.0</v>
      </c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128"/>
      <c r="Y18" s="20"/>
      <c r="Z18" s="20"/>
      <c r="AA18" s="20"/>
      <c r="AB18" s="21"/>
      <c r="AC18" s="4"/>
      <c r="AD18" s="4"/>
      <c r="AE18" s="4"/>
      <c r="AF18" s="2"/>
      <c r="AG18" s="2"/>
      <c r="AH18" s="2"/>
      <c r="AI18" s="2"/>
    </row>
    <row r="19" ht="18.75" customHeight="1">
      <c r="A19" s="17" t="s">
        <v>46</v>
      </c>
      <c r="B19" s="18" t="s">
        <v>47</v>
      </c>
      <c r="C19" s="19">
        <v>304.0</v>
      </c>
      <c r="D19" s="19">
        <v>12.0</v>
      </c>
      <c r="E19" s="19">
        <v>12.0</v>
      </c>
      <c r="F19" s="19">
        <v>6.0</v>
      </c>
      <c r="G19" s="19">
        <v>10.0</v>
      </c>
      <c r="H19" s="20"/>
      <c r="I19" s="19">
        <v>6.0</v>
      </c>
      <c r="J19" s="19">
        <v>7.0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128"/>
      <c r="Y19" s="20"/>
      <c r="Z19" s="20"/>
      <c r="AA19" s="20"/>
      <c r="AB19" s="21"/>
      <c r="AC19" s="1"/>
      <c r="AD19" s="2"/>
      <c r="AE19" s="4"/>
      <c r="AF19" s="2"/>
      <c r="AG19" s="2"/>
      <c r="AH19" s="2"/>
      <c r="AI19" s="2"/>
    </row>
    <row r="20" ht="18.75" customHeight="1">
      <c r="A20" s="17" t="s">
        <v>49</v>
      </c>
      <c r="B20" s="18" t="s">
        <v>50</v>
      </c>
      <c r="C20" s="19">
        <v>535.0</v>
      </c>
      <c r="D20" s="19">
        <v>6.0</v>
      </c>
      <c r="E20" s="19">
        <v>15.0</v>
      </c>
      <c r="F20" s="19">
        <v>6.0</v>
      </c>
      <c r="G20" s="19">
        <v>20.0</v>
      </c>
      <c r="H20" s="20"/>
      <c r="I20" s="19">
        <v>15.0</v>
      </c>
      <c r="J20" s="20"/>
      <c r="K20" s="20"/>
      <c r="L20" s="20"/>
      <c r="M20" s="20"/>
      <c r="N20" s="20"/>
      <c r="O20" s="20"/>
      <c r="P20" s="20"/>
      <c r="Q20" s="19">
        <v>6.0</v>
      </c>
      <c r="R20" s="20"/>
      <c r="S20" s="20"/>
      <c r="T20" s="20"/>
      <c r="U20" s="20"/>
      <c r="V20" s="20"/>
      <c r="W20" s="20"/>
      <c r="X20" s="130"/>
      <c r="Y20" s="19">
        <v>7.0</v>
      </c>
      <c r="Z20" s="20"/>
      <c r="AA20" s="20"/>
      <c r="AB20" s="21"/>
      <c r="AC20" s="4"/>
      <c r="AD20" s="4"/>
      <c r="AE20" s="4"/>
      <c r="AF20" s="2"/>
      <c r="AG20" s="2"/>
      <c r="AH20" s="2"/>
      <c r="AI20" s="2"/>
    </row>
    <row r="21" ht="18.75" customHeight="1">
      <c r="A21" s="17" t="s">
        <v>52</v>
      </c>
      <c r="B21" s="18" t="s">
        <v>53</v>
      </c>
      <c r="C21" s="19">
        <v>391.0</v>
      </c>
      <c r="D21" s="19">
        <v>16.0</v>
      </c>
      <c r="E21" s="19">
        <v>16.0</v>
      </c>
      <c r="F21" s="19">
        <v>10.0</v>
      </c>
      <c r="G21" s="19">
        <v>12.0</v>
      </c>
      <c r="H21" s="20"/>
      <c r="I21" s="19">
        <v>12.0</v>
      </c>
      <c r="J21" s="19">
        <v>15.0</v>
      </c>
      <c r="K21" s="20"/>
      <c r="L21" s="20"/>
      <c r="M21" s="20"/>
      <c r="N21" s="20"/>
      <c r="O21" s="20"/>
      <c r="P21" s="20"/>
      <c r="Q21" s="19"/>
      <c r="R21" s="20"/>
      <c r="S21" s="20"/>
      <c r="T21" s="20"/>
      <c r="U21" s="20"/>
      <c r="V21" s="20"/>
      <c r="W21" s="20"/>
      <c r="X21" s="128"/>
      <c r="Y21" s="20"/>
      <c r="Z21" s="20"/>
      <c r="AA21" s="20"/>
      <c r="AB21" s="21"/>
      <c r="AC21" s="4"/>
      <c r="AD21" s="4"/>
      <c r="AE21" s="4"/>
      <c r="AF21" s="2"/>
      <c r="AG21" s="2"/>
      <c r="AH21" s="2"/>
      <c r="AI21" s="2"/>
    </row>
    <row r="22" ht="18.75" customHeight="1">
      <c r="A22" s="17" t="s">
        <v>56</v>
      </c>
      <c r="B22" s="37" t="s">
        <v>57</v>
      </c>
      <c r="C22" s="19">
        <v>749.0</v>
      </c>
      <c r="D22" s="19">
        <v>10.0</v>
      </c>
      <c r="E22" s="19">
        <v>26.0</v>
      </c>
      <c r="F22" s="19">
        <v>11.0</v>
      </c>
      <c r="G22" s="19">
        <v>27.0</v>
      </c>
      <c r="H22" s="20"/>
      <c r="I22" s="19">
        <v>20.0</v>
      </c>
      <c r="J22" s="20"/>
      <c r="K22" s="20"/>
      <c r="L22" s="20"/>
      <c r="M22" s="20"/>
      <c r="N22" s="20"/>
      <c r="O22" s="20"/>
      <c r="P22" s="20"/>
      <c r="Q22" s="19">
        <v>4.0</v>
      </c>
      <c r="R22" s="20"/>
      <c r="S22" s="20"/>
      <c r="T22" s="20"/>
      <c r="U22" s="20"/>
      <c r="V22" s="20"/>
      <c r="W22" s="20"/>
      <c r="X22" s="130"/>
      <c r="Y22" s="19">
        <v>10.0</v>
      </c>
      <c r="Z22" s="20"/>
      <c r="AA22" s="20"/>
      <c r="AB22" s="21"/>
      <c r="AC22" s="4"/>
      <c r="AD22" s="4"/>
      <c r="AE22" s="4"/>
      <c r="AF22" s="2"/>
      <c r="AG22" s="2"/>
      <c r="AH22" s="2"/>
      <c r="AI22" s="2"/>
    </row>
    <row r="23" ht="18.75" customHeight="1">
      <c r="A23" s="17" t="s">
        <v>59</v>
      </c>
      <c r="B23" s="18" t="s">
        <v>60</v>
      </c>
      <c r="C23" s="19">
        <v>589.0</v>
      </c>
      <c r="D23" s="19">
        <v>13.0</v>
      </c>
      <c r="E23" s="19">
        <v>20.0</v>
      </c>
      <c r="F23" s="19">
        <v>8.0</v>
      </c>
      <c r="G23" s="19">
        <v>14.0</v>
      </c>
      <c r="H23" s="20"/>
      <c r="I23" s="19">
        <v>18.0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130"/>
      <c r="Y23" s="19">
        <v>10.0</v>
      </c>
      <c r="Z23" s="20"/>
      <c r="AA23" s="20"/>
      <c r="AB23" s="21"/>
      <c r="AC23" s="4"/>
      <c r="AD23" s="4"/>
      <c r="AE23" s="2"/>
      <c r="AF23" s="2"/>
      <c r="AG23" s="2"/>
      <c r="AH23" s="2"/>
      <c r="AI23" s="2"/>
    </row>
    <row r="24" ht="18.75" customHeight="1">
      <c r="A24" s="17" t="s">
        <v>63</v>
      </c>
      <c r="B24" s="18" t="s">
        <v>64</v>
      </c>
      <c r="C24" s="20"/>
      <c r="D24" s="20"/>
      <c r="E24" s="19">
        <v>13.0</v>
      </c>
      <c r="F24" s="20"/>
      <c r="G24" s="20"/>
      <c r="H24" s="20"/>
      <c r="I24" s="19">
        <v>22.0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9">
        <v>1.0</v>
      </c>
      <c r="V24" s="20"/>
      <c r="W24" s="20"/>
      <c r="X24" s="128"/>
      <c r="Y24" s="20"/>
      <c r="Z24" s="20"/>
      <c r="AA24" s="20"/>
      <c r="AB24" s="21"/>
      <c r="AC24" s="4"/>
      <c r="AD24" s="4"/>
      <c r="AE24" s="2"/>
      <c r="AF24" s="2"/>
      <c r="AG24" s="2"/>
      <c r="AH24" s="2"/>
      <c r="AI24" s="2"/>
    </row>
    <row r="25" ht="18.75" customHeight="1">
      <c r="A25" s="17" t="s">
        <v>65</v>
      </c>
      <c r="B25" s="18" t="s">
        <v>66</v>
      </c>
      <c r="C25" s="20"/>
      <c r="D25" s="20"/>
      <c r="E25" s="19">
        <v>10.0</v>
      </c>
      <c r="F25" s="19">
        <v>16.0</v>
      </c>
      <c r="G25" s="20"/>
      <c r="H25" s="20"/>
      <c r="I25" s="20"/>
      <c r="J25" s="20"/>
      <c r="K25" s="20"/>
      <c r="L25" s="19">
        <v>2.0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128"/>
      <c r="Y25" s="20"/>
      <c r="Z25" s="20"/>
      <c r="AA25" s="20"/>
      <c r="AB25" s="21"/>
      <c r="AC25" s="4"/>
      <c r="AD25" s="4"/>
      <c r="AE25" s="2"/>
      <c r="AF25" s="1"/>
      <c r="AG25" s="1"/>
      <c r="AH25" s="2"/>
      <c r="AI25" s="2"/>
    </row>
    <row r="26" ht="18.75" customHeight="1">
      <c r="A26" s="17" t="s">
        <v>68</v>
      </c>
      <c r="B26" s="18" t="s">
        <v>71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128"/>
      <c r="Y26" s="20"/>
      <c r="Z26" s="20"/>
      <c r="AA26" s="20"/>
      <c r="AB26" s="21"/>
      <c r="AC26" s="4"/>
      <c r="AD26" s="4"/>
      <c r="AE26" s="2"/>
      <c r="AF26" s="1"/>
      <c r="AG26" s="1"/>
      <c r="AH26" s="2"/>
      <c r="AI26" s="2"/>
    </row>
    <row r="27" ht="18.75" customHeight="1">
      <c r="A27" s="17" t="s">
        <v>70</v>
      </c>
      <c r="B27" s="18" t="s">
        <v>118</v>
      </c>
      <c r="C27" s="20"/>
      <c r="D27" s="20"/>
      <c r="E27" s="20"/>
      <c r="F27" s="20"/>
      <c r="G27" s="20"/>
      <c r="H27" s="20"/>
      <c r="I27" s="19">
        <v>37.0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128"/>
      <c r="Y27" s="20"/>
      <c r="Z27" s="20"/>
      <c r="AA27" s="20"/>
      <c r="AB27" s="131">
        <v>-10.0</v>
      </c>
      <c r="AC27" s="4"/>
      <c r="AD27" s="4"/>
      <c r="AE27" s="2"/>
      <c r="AF27" s="1"/>
      <c r="AG27" s="1"/>
      <c r="AH27" s="2"/>
      <c r="AI27" s="2"/>
    </row>
    <row r="28" ht="18.75" customHeight="1">
      <c r="A28" s="17" t="s">
        <v>72</v>
      </c>
      <c r="B28" s="18" t="s">
        <v>73</v>
      </c>
      <c r="C28" s="20"/>
      <c r="D28" s="20"/>
      <c r="E28" s="19">
        <v>10.0</v>
      </c>
      <c r="F28" s="20"/>
      <c r="G28" s="19">
        <v>18.0</v>
      </c>
      <c r="H28" s="19">
        <v>8.0</v>
      </c>
      <c r="I28" s="19">
        <v>84.0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128"/>
      <c r="Y28" s="20"/>
      <c r="Z28" s="20"/>
      <c r="AA28" s="20"/>
      <c r="AB28" s="21"/>
      <c r="AC28" s="4"/>
      <c r="AD28" s="4"/>
      <c r="AE28" s="2"/>
      <c r="AF28" s="1"/>
      <c r="AG28" s="1"/>
      <c r="AH28" s="2"/>
      <c r="AI28" s="2"/>
    </row>
    <row r="29" ht="18.75" customHeight="1">
      <c r="A29" s="17" t="s">
        <v>74</v>
      </c>
      <c r="B29" s="18" t="s">
        <v>75</v>
      </c>
      <c r="C29" s="19">
        <v>2853.0</v>
      </c>
      <c r="D29" s="19">
        <v>11.0</v>
      </c>
      <c r="E29" s="19">
        <v>11.0</v>
      </c>
      <c r="F29" s="19">
        <v>11.0</v>
      </c>
      <c r="G29" s="19">
        <v>11.0</v>
      </c>
      <c r="H29" s="19">
        <v>12.0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128"/>
      <c r="Y29" s="132"/>
      <c r="Z29" s="19">
        <v>15.0</v>
      </c>
      <c r="AA29" s="20"/>
      <c r="AB29" s="21"/>
      <c r="AC29" s="1"/>
      <c r="AD29" s="1"/>
      <c r="AE29" s="4"/>
      <c r="AF29" s="4"/>
      <c r="AG29" s="4"/>
      <c r="AH29" s="4"/>
      <c r="AI29" s="4"/>
    </row>
    <row r="30" ht="18.75" customHeight="1">
      <c r="A30" s="21" t="s">
        <v>77</v>
      </c>
      <c r="B30" s="18" t="s">
        <v>78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128"/>
      <c r="Y30" s="20"/>
      <c r="Z30" s="20"/>
      <c r="AA30" s="20"/>
      <c r="AB30" s="21"/>
      <c r="AC30" s="4"/>
      <c r="AD30" s="4"/>
      <c r="AE30" s="4"/>
      <c r="AF30" s="4"/>
      <c r="AG30" s="4"/>
      <c r="AH30" s="4"/>
      <c r="AI30" s="4"/>
    </row>
    <row r="31">
      <c r="A31" s="54" t="s">
        <v>119</v>
      </c>
      <c r="B31" s="55"/>
      <c r="C31" s="20"/>
      <c r="D31" s="56"/>
      <c r="E31" s="56"/>
      <c r="F31" s="56"/>
      <c r="G31" s="56"/>
      <c r="H31" s="56"/>
      <c r="I31" s="18">
        <v>47.0</v>
      </c>
      <c r="J31" s="56"/>
      <c r="K31" s="56"/>
      <c r="L31" s="20"/>
      <c r="M31" s="20"/>
      <c r="N31" s="56"/>
      <c r="O31" s="56"/>
      <c r="P31" s="56"/>
      <c r="Q31" s="18">
        <v>4.0</v>
      </c>
      <c r="R31" s="56"/>
      <c r="S31" s="20"/>
      <c r="T31" s="56"/>
      <c r="U31" s="56"/>
      <c r="V31" s="56"/>
      <c r="W31" s="56"/>
      <c r="X31" s="133"/>
      <c r="Y31" s="56"/>
      <c r="Z31" s="56"/>
      <c r="AA31" s="56"/>
      <c r="AB31" s="57"/>
      <c r="AC31" s="4"/>
      <c r="AD31" s="4"/>
      <c r="AE31" s="4"/>
      <c r="AF31" s="4"/>
      <c r="AG31" s="4"/>
      <c r="AH31" s="4"/>
      <c r="AI31" s="4"/>
    </row>
    <row r="32">
      <c r="A32" s="17" t="s">
        <v>86</v>
      </c>
      <c r="B32" s="62" t="s">
        <v>87</v>
      </c>
      <c r="C32" s="63">
        <f>(SUM(C14:C30)) * 0.04</f>
        <v>301.8</v>
      </c>
      <c r="D32" s="64"/>
      <c r="E32" s="64"/>
      <c r="F32" s="64"/>
      <c r="G32" s="64"/>
      <c r="H32" s="64"/>
      <c r="I32" s="64"/>
      <c r="J32" s="64"/>
      <c r="K32" s="64"/>
      <c r="L32" s="63">
        <v>3.0</v>
      </c>
      <c r="M32" s="63">
        <v>5.0</v>
      </c>
      <c r="N32" s="64"/>
      <c r="O32" s="64"/>
      <c r="P32" s="64"/>
      <c r="Q32" s="64"/>
      <c r="R32" s="64"/>
      <c r="S32" s="63">
        <v>5.0</v>
      </c>
      <c r="T32" s="64"/>
      <c r="U32" s="64"/>
      <c r="V32" s="64"/>
      <c r="W32" s="64"/>
      <c r="X32" s="134"/>
      <c r="Y32" s="64"/>
      <c r="Z32" s="64"/>
      <c r="AA32" s="64"/>
      <c r="AB32" s="65"/>
      <c r="AC32" s="4"/>
      <c r="AD32" s="4"/>
      <c r="AE32" s="4"/>
      <c r="AF32" s="4"/>
      <c r="AG32" s="4"/>
      <c r="AH32" s="4"/>
      <c r="AI32" s="4"/>
    </row>
    <row r="33">
      <c r="A33" s="2"/>
      <c r="B33" s="4"/>
      <c r="C33" s="4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4"/>
      <c r="AD33" s="4"/>
      <c r="AE33" s="4"/>
      <c r="AF33" s="4"/>
      <c r="AG33" s="4"/>
      <c r="AH33" s="4"/>
      <c r="AI33" s="4"/>
    </row>
    <row r="34">
      <c r="A34" s="6"/>
      <c r="B34" s="6"/>
      <c r="C34" s="6"/>
      <c r="D34" s="6"/>
      <c r="E34" s="6"/>
      <c r="F34" s="6"/>
      <c r="G34" s="95"/>
      <c r="H34" s="95"/>
      <c r="I34" s="95"/>
      <c r="J34" s="3" t="s">
        <v>90</v>
      </c>
      <c r="N34" s="95"/>
      <c r="O34" s="95"/>
      <c r="P34" s="95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2"/>
      <c r="AC34" s="4"/>
      <c r="AD34" s="4"/>
      <c r="AE34" s="4"/>
      <c r="AF34" s="4"/>
      <c r="AG34" s="4"/>
      <c r="AH34" s="4"/>
      <c r="AI34" s="4"/>
    </row>
    <row r="35">
      <c r="A35" s="85"/>
      <c r="B35" s="127"/>
      <c r="C35" s="13" t="s">
        <v>4</v>
      </c>
      <c r="D35" s="13" t="s">
        <v>5</v>
      </c>
      <c r="E35" s="13" t="s">
        <v>6</v>
      </c>
      <c r="F35" s="13" t="s">
        <v>7</v>
      </c>
      <c r="G35" s="13" t="s">
        <v>8</v>
      </c>
      <c r="H35" s="13" t="s">
        <v>9</v>
      </c>
      <c r="I35" s="13" t="s">
        <v>10</v>
      </c>
      <c r="J35" s="13" t="s">
        <v>11</v>
      </c>
      <c r="K35" s="70" t="s">
        <v>12</v>
      </c>
      <c r="L35" s="70" t="s">
        <v>13</v>
      </c>
      <c r="M35" s="70" t="s">
        <v>14</v>
      </c>
      <c r="N35" s="14" t="s">
        <v>15</v>
      </c>
      <c r="O35" s="70" t="s">
        <v>16</v>
      </c>
      <c r="P35" s="70" t="s">
        <v>17</v>
      </c>
      <c r="Q35" s="13" t="s">
        <v>18</v>
      </c>
      <c r="R35" s="13" t="s">
        <v>19</v>
      </c>
      <c r="S35" s="13" t="s">
        <v>20</v>
      </c>
      <c r="T35" s="13" t="s">
        <v>21</v>
      </c>
      <c r="U35" s="13" t="s">
        <v>22</v>
      </c>
      <c r="V35" s="13" t="s">
        <v>23</v>
      </c>
      <c r="W35" s="14" t="s">
        <v>24</v>
      </c>
      <c r="X35" s="14" t="s">
        <v>117</v>
      </c>
      <c r="Y35" s="14" t="s">
        <v>25</v>
      </c>
      <c r="Z35" s="69" t="s">
        <v>26</v>
      </c>
      <c r="AA35" s="14" t="s">
        <v>27</v>
      </c>
      <c r="AB35" s="69" t="s">
        <v>28</v>
      </c>
      <c r="AC35" s="4"/>
      <c r="AD35" s="4"/>
      <c r="AE35" s="4"/>
      <c r="AF35" s="4"/>
      <c r="AG35" s="4"/>
      <c r="AH35" s="4"/>
      <c r="AI35" s="4"/>
    </row>
    <row r="36">
      <c r="A36" s="126" t="s">
        <v>30</v>
      </c>
      <c r="B36" s="59"/>
      <c r="C36" s="59"/>
      <c r="D36" s="59"/>
      <c r="E36" s="72">
        <v>10.0</v>
      </c>
      <c r="F36" s="59"/>
      <c r="G36" s="56"/>
      <c r="H36" s="56"/>
      <c r="I36" s="59"/>
      <c r="J36" s="20">
        <v>24.0</v>
      </c>
      <c r="K36" s="73"/>
      <c r="L36" s="73"/>
      <c r="M36" s="74"/>
      <c r="N36" s="74"/>
      <c r="O36" s="74"/>
      <c r="P36" s="74"/>
      <c r="Q36" s="56"/>
      <c r="R36" s="56"/>
      <c r="S36" s="56"/>
      <c r="T36" s="56"/>
      <c r="U36" s="59"/>
      <c r="V36" s="20">
        <v>7.0</v>
      </c>
      <c r="W36" s="56"/>
      <c r="X36" s="135"/>
      <c r="Y36" s="59"/>
      <c r="Z36" s="59"/>
      <c r="AA36" s="59"/>
      <c r="AB36" s="57"/>
      <c r="AC36" s="4"/>
      <c r="AD36" s="4"/>
      <c r="AE36" s="4"/>
      <c r="AF36" s="4"/>
      <c r="AG36" s="4"/>
      <c r="AH36" s="4"/>
      <c r="AI36" s="4"/>
    </row>
    <row r="37">
      <c r="A37" s="126" t="s">
        <v>34</v>
      </c>
      <c r="B37" s="59"/>
      <c r="C37" s="59"/>
      <c r="D37" s="56"/>
      <c r="E37" s="1"/>
      <c r="F37" s="56"/>
      <c r="G37" s="56"/>
      <c r="H37" s="56"/>
      <c r="I37" s="56"/>
      <c r="J37" s="56"/>
      <c r="K37" s="73"/>
      <c r="L37" s="73"/>
      <c r="M37" s="74"/>
      <c r="N37" s="74"/>
      <c r="O37" s="74"/>
      <c r="P37" s="74"/>
      <c r="Q37" s="56"/>
      <c r="R37" s="56"/>
      <c r="S37" s="56"/>
      <c r="T37" s="56"/>
      <c r="U37" s="56"/>
      <c r="V37" s="56"/>
      <c r="W37" s="56"/>
      <c r="X37" s="133"/>
      <c r="Y37" s="56"/>
      <c r="Z37" s="56"/>
      <c r="AA37" s="56"/>
      <c r="AB37" s="57"/>
      <c r="AC37" s="4"/>
      <c r="AD37" s="4"/>
      <c r="AE37" s="4"/>
      <c r="AF37" s="4"/>
      <c r="AG37" s="4"/>
      <c r="AH37" s="4"/>
      <c r="AI37" s="4"/>
    </row>
    <row r="38">
      <c r="A38" s="126" t="s">
        <v>37</v>
      </c>
      <c r="B38" s="59"/>
      <c r="C38" s="59"/>
      <c r="D38" s="59"/>
      <c r="E38" s="136">
        <v>14.0</v>
      </c>
      <c r="F38" s="59"/>
      <c r="G38" s="59"/>
      <c r="H38" s="59"/>
      <c r="I38" s="56"/>
      <c r="J38" s="56"/>
      <c r="K38" s="74"/>
      <c r="L38" s="74"/>
      <c r="M38" s="74"/>
      <c r="N38" s="74"/>
      <c r="O38" s="74"/>
      <c r="P38" s="74"/>
      <c r="Q38" s="56"/>
      <c r="R38" s="56"/>
      <c r="S38" s="56"/>
      <c r="T38" s="56"/>
      <c r="U38" s="56"/>
      <c r="V38" s="56"/>
      <c r="W38" s="56"/>
      <c r="X38" s="130"/>
      <c r="Y38" s="56"/>
      <c r="Z38" s="56"/>
      <c r="AA38" s="56"/>
      <c r="AB38" s="57"/>
      <c r="AC38" s="4"/>
      <c r="AD38" s="4"/>
      <c r="AE38" s="4"/>
      <c r="AF38" s="4"/>
      <c r="AG38" s="4"/>
      <c r="AH38" s="4"/>
      <c r="AI38" s="4"/>
    </row>
    <row r="39">
      <c r="A39" s="126" t="s">
        <v>40</v>
      </c>
      <c r="B39" s="59"/>
      <c r="C39" s="59"/>
      <c r="D39" s="56"/>
      <c r="E39" s="2"/>
      <c r="F39" s="59"/>
      <c r="G39" s="56"/>
      <c r="H39" s="56"/>
      <c r="I39" s="56"/>
      <c r="J39" s="56"/>
      <c r="K39" s="74"/>
      <c r="L39" s="73"/>
      <c r="M39" s="74"/>
      <c r="N39" s="74"/>
      <c r="O39" s="74"/>
      <c r="P39" s="74"/>
      <c r="Q39" s="56"/>
      <c r="R39" s="20">
        <v>1.0</v>
      </c>
      <c r="S39" s="56"/>
      <c r="T39" s="56"/>
      <c r="U39" s="56"/>
      <c r="V39" s="56"/>
      <c r="W39" s="56"/>
      <c r="X39" s="133"/>
      <c r="Y39" s="56"/>
      <c r="Z39" s="56"/>
      <c r="AA39" s="56"/>
      <c r="AB39" s="57"/>
      <c r="AC39" s="4"/>
      <c r="AD39" s="4"/>
      <c r="AE39" s="2"/>
      <c r="AF39" s="2"/>
      <c r="AG39" s="2"/>
      <c r="AH39" s="2"/>
      <c r="AI39" s="2"/>
    </row>
    <row r="40">
      <c r="A40" s="126" t="s">
        <v>43</v>
      </c>
      <c r="B40" s="59"/>
      <c r="C40" s="59"/>
      <c r="D40" s="59"/>
      <c r="E40" s="78">
        <v>10.0</v>
      </c>
      <c r="F40" s="59"/>
      <c r="G40" s="56"/>
      <c r="H40" s="56"/>
      <c r="I40" s="56"/>
      <c r="J40" s="56"/>
      <c r="K40" s="74"/>
      <c r="L40" s="74"/>
      <c r="M40" s="74"/>
      <c r="N40" s="74"/>
      <c r="O40" s="74"/>
      <c r="P40" s="74"/>
      <c r="Q40" s="56"/>
      <c r="R40" s="56"/>
      <c r="S40" s="56"/>
      <c r="T40" s="56"/>
      <c r="U40" s="56"/>
      <c r="V40" s="56"/>
      <c r="W40" s="56"/>
      <c r="X40" s="133"/>
      <c r="Y40" s="56"/>
      <c r="Z40" s="56"/>
      <c r="AA40" s="56"/>
      <c r="AB40" s="57"/>
      <c r="AC40" s="2"/>
      <c r="AD40" s="2"/>
      <c r="AE40" s="2"/>
      <c r="AF40" s="2"/>
      <c r="AG40" s="2"/>
      <c r="AH40" s="2"/>
      <c r="AI40" s="2"/>
    </row>
    <row r="41">
      <c r="A41" s="126" t="s">
        <v>46</v>
      </c>
      <c r="B41" s="59"/>
      <c r="C41" s="59"/>
      <c r="D41" s="59"/>
      <c r="E41" s="78">
        <v>9.0</v>
      </c>
      <c r="F41" s="59"/>
      <c r="G41" s="59"/>
      <c r="H41" s="59"/>
      <c r="I41" s="59"/>
      <c r="J41" s="56"/>
      <c r="K41" s="74"/>
      <c r="L41" s="74"/>
      <c r="M41" s="74"/>
      <c r="N41" s="74"/>
      <c r="O41" s="74"/>
      <c r="P41" s="74"/>
      <c r="Q41" s="56"/>
      <c r="R41" s="56"/>
      <c r="S41" s="56"/>
      <c r="T41" s="56"/>
      <c r="U41" s="56"/>
      <c r="V41" s="56"/>
      <c r="W41" s="56"/>
      <c r="X41" s="133"/>
      <c r="Y41" s="56"/>
      <c r="Z41" s="56"/>
      <c r="AA41" s="56"/>
      <c r="AB41" s="57"/>
      <c r="AC41" s="2"/>
      <c r="AD41" s="2"/>
      <c r="AE41" s="2"/>
      <c r="AF41" s="2"/>
      <c r="AG41" s="2"/>
      <c r="AH41" s="2"/>
      <c r="AI41" s="2"/>
    </row>
    <row r="42">
      <c r="A42" s="126" t="s">
        <v>49</v>
      </c>
      <c r="B42" s="59"/>
      <c r="C42" s="59"/>
      <c r="D42" s="59"/>
      <c r="E42" s="1"/>
      <c r="F42" s="56"/>
      <c r="G42" s="56"/>
      <c r="H42" s="59"/>
      <c r="I42" s="56"/>
      <c r="J42" s="56"/>
      <c r="K42" s="74"/>
      <c r="L42" s="74"/>
      <c r="M42" s="73"/>
      <c r="N42" s="74"/>
      <c r="O42" s="74"/>
      <c r="P42" s="74"/>
      <c r="Q42" s="56"/>
      <c r="R42" s="56"/>
      <c r="S42" s="56"/>
      <c r="T42" s="56"/>
      <c r="U42" s="56"/>
      <c r="V42" s="56"/>
      <c r="W42" s="56"/>
      <c r="X42" s="133"/>
      <c r="Y42" s="56"/>
      <c r="Z42" s="56"/>
      <c r="AA42" s="56"/>
      <c r="AB42" s="57"/>
      <c r="AC42" s="1"/>
      <c r="AD42" s="2"/>
      <c r="AE42" s="2"/>
      <c r="AF42" s="2"/>
      <c r="AG42" s="2"/>
      <c r="AH42" s="2"/>
      <c r="AI42" s="2"/>
    </row>
    <row r="43">
      <c r="A43" s="126" t="s">
        <v>52</v>
      </c>
      <c r="B43" s="59"/>
      <c r="C43" s="59"/>
      <c r="D43" s="59"/>
      <c r="E43" s="1"/>
      <c r="F43" s="18">
        <v>6.0</v>
      </c>
      <c r="G43" s="56"/>
      <c r="H43" s="56"/>
      <c r="I43" s="56"/>
      <c r="J43" s="56"/>
      <c r="K43" s="74"/>
      <c r="L43" s="73"/>
      <c r="M43" s="74"/>
      <c r="N43" s="74"/>
      <c r="O43" s="74"/>
      <c r="P43" s="74"/>
      <c r="Q43" s="56"/>
      <c r="R43" s="56"/>
      <c r="S43" s="56"/>
      <c r="T43" s="56"/>
      <c r="U43" s="56"/>
      <c r="V43" s="56"/>
      <c r="W43" s="56"/>
      <c r="X43" s="133"/>
      <c r="Y43" s="56"/>
      <c r="Z43" s="56"/>
      <c r="AA43" s="56"/>
      <c r="AB43" s="57"/>
      <c r="AC43" s="4"/>
      <c r="AD43" s="4"/>
      <c r="AE43" s="2"/>
      <c r="AF43" s="2"/>
      <c r="AG43" s="2"/>
      <c r="AH43" s="2"/>
      <c r="AI43" s="2"/>
    </row>
    <row r="44">
      <c r="A44" s="126" t="s">
        <v>56</v>
      </c>
      <c r="B44" s="137"/>
      <c r="C44" s="59"/>
      <c r="D44" s="59"/>
      <c r="E44" s="78">
        <v>10.0</v>
      </c>
      <c r="F44" s="59"/>
      <c r="G44" s="59"/>
      <c r="H44" s="59"/>
      <c r="I44" s="56"/>
      <c r="J44" s="20">
        <v>24.0</v>
      </c>
      <c r="K44" s="74"/>
      <c r="L44" s="74"/>
      <c r="M44" s="74"/>
      <c r="N44" s="74"/>
      <c r="O44" s="74"/>
      <c r="P44" s="74"/>
      <c r="Q44" s="56"/>
      <c r="R44" s="56"/>
      <c r="S44" s="56"/>
      <c r="T44" s="56"/>
      <c r="U44" s="59"/>
      <c r="V44" s="20">
        <v>7.0</v>
      </c>
      <c r="W44" s="56"/>
      <c r="X44" s="133"/>
      <c r="Y44" s="56"/>
      <c r="Z44" s="56"/>
      <c r="AA44" s="56"/>
      <c r="AB44" s="57"/>
      <c r="AC44" s="4"/>
      <c r="AD44" s="4"/>
      <c r="AE44" s="2"/>
      <c r="AF44" s="2"/>
      <c r="AG44" s="2"/>
      <c r="AH44" s="2"/>
      <c r="AI44" s="2"/>
    </row>
    <row r="45">
      <c r="A45" s="126" t="s">
        <v>59</v>
      </c>
      <c r="B45" s="59"/>
      <c r="C45" s="59"/>
      <c r="D45" s="59"/>
      <c r="E45" s="78">
        <v>7.0</v>
      </c>
      <c r="F45" s="59"/>
      <c r="G45" s="56"/>
      <c r="H45" s="56"/>
      <c r="I45" s="56"/>
      <c r="J45" s="56"/>
      <c r="K45" s="74"/>
      <c r="L45" s="74"/>
      <c r="M45" s="74"/>
      <c r="N45" s="74"/>
      <c r="O45" s="74"/>
      <c r="P45" s="74"/>
      <c r="Q45" s="56"/>
      <c r="R45" s="56"/>
      <c r="S45" s="56"/>
      <c r="T45" s="56"/>
      <c r="U45" s="56"/>
      <c r="V45" s="56"/>
      <c r="W45" s="56"/>
      <c r="X45" s="133"/>
      <c r="Y45" s="56"/>
      <c r="Z45" s="56"/>
      <c r="AA45" s="56"/>
      <c r="AB45" s="57"/>
      <c r="AC45" s="4"/>
      <c r="AD45" s="4"/>
      <c r="AE45" s="2"/>
      <c r="AF45" s="2"/>
      <c r="AG45" s="2"/>
      <c r="AH45" s="2"/>
      <c r="AI45" s="2"/>
    </row>
    <row r="46">
      <c r="A46" s="126" t="s">
        <v>63</v>
      </c>
      <c r="B46" s="59"/>
      <c r="C46" s="56"/>
      <c r="D46" s="59"/>
      <c r="E46" s="59"/>
      <c r="F46" s="56"/>
      <c r="G46" s="59"/>
      <c r="H46" s="56"/>
      <c r="I46" s="56"/>
      <c r="J46" s="56"/>
      <c r="K46" s="74"/>
      <c r="L46" s="73"/>
      <c r="M46" s="73"/>
      <c r="N46" s="74"/>
      <c r="O46" s="74"/>
      <c r="P46" s="74"/>
      <c r="Q46" s="59"/>
      <c r="R46" s="56"/>
      <c r="S46" s="56"/>
      <c r="T46" s="56"/>
      <c r="U46" s="56"/>
      <c r="V46" s="56"/>
      <c r="W46" s="56"/>
      <c r="X46" s="133"/>
      <c r="Y46" s="56"/>
      <c r="Z46" s="56"/>
      <c r="AA46" s="56"/>
      <c r="AB46" s="57"/>
      <c r="AC46" s="4"/>
      <c r="AD46" s="4"/>
      <c r="AE46" s="2"/>
      <c r="AF46" s="2"/>
      <c r="AG46" s="2"/>
      <c r="AH46" s="2"/>
      <c r="AI46" s="2"/>
    </row>
    <row r="47">
      <c r="A47" s="126" t="s">
        <v>65</v>
      </c>
      <c r="B47" s="59"/>
      <c r="C47" s="56"/>
      <c r="D47" s="56"/>
      <c r="E47" s="59"/>
      <c r="F47" s="56"/>
      <c r="G47" s="56"/>
      <c r="H47" s="56"/>
      <c r="I47" s="56"/>
      <c r="J47" s="56"/>
      <c r="K47" s="73"/>
      <c r="L47" s="74"/>
      <c r="M47" s="73"/>
      <c r="N47" s="74"/>
      <c r="O47" s="74"/>
      <c r="P47" s="74"/>
      <c r="Q47" s="56"/>
      <c r="R47" s="56"/>
      <c r="S47" s="56"/>
      <c r="T47" s="56"/>
      <c r="U47" s="56"/>
      <c r="V47" s="56"/>
      <c r="W47" s="56"/>
      <c r="X47" s="133"/>
      <c r="Y47" s="56"/>
      <c r="Z47" s="56"/>
      <c r="AA47" s="56"/>
      <c r="AB47" s="57"/>
      <c r="AC47" s="4"/>
      <c r="AD47" s="4"/>
      <c r="AE47" s="2"/>
      <c r="AF47" s="2"/>
      <c r="AG47" s="2"/>
      <c r="AH47" s="2"/>
      <c r="AI47" s="2"/>
    </row>
    <row r="48">
      <c r="A48" s="126" t="s">
        <v>68</v>
      </c>
      <c r="B48" s="59"/>
      <c r="C48" s="56"/>
      <c r="D48" s="56"/>
      <c r="E48" s="56"/>
      <c r="F48" s="56"/>
      <c r="G48" s="56"/>
      <c r="H48" s="56"/>
      <c r="I48" s="56"/>
      <c r="J48" s="56"/>
      <c r="K48" s="74"/>
      <c r="L48" s="74"/>
      <c r="M48" s="73"/>
      <c r="N48" s="74"/>
      <c r="O48" s="74"/>
      <c r="P48" s="74"/>
      <c r="Q48" s="56"/>
      <c r="R48" s="56"/>
      <c r="S48" s="56"/>
      <c r="T48" s="56"/>
      <c r="U48" s="56"/>
      <c r="V48" s="56"/>
      <c r="W48" s="56"/>
      <c r="X48" s="133"/>
      <c r="Y48" s="56"/>
      <c r="Z48" s="56"/>
      <c r="AA48" s="56"/>
      <c r="AB48" s="57"/>
      <c r="AC48" s="2"/>
      <c r="AD48" s="2"/>
      <c r="AE48" s="2"/>
      <c r="AF48" s="2"/>
      <c r="AG48" s="2"/>
      <c r="AH48" s="2"/>
      <c r="AI48" s="2"/>
    </row>
    <row r="49">
      <c r="A49" s="126" t="s">
        <v>70</v>
      </c>
      <c r="B49" s="59"/>
      <c r="C49" s="56"/>
      <c r="D49" s="56"/>
      <c r="E49" s="56"/>
      <c r="F49" s="56"/>
      <c r="G49" s="56"/>
      <c r="H49" s="56"/>
      <c r="I49" s="56"/>
      <c r="J49" s="56"/>
      <c r="K49" s="73"/>
      <c r="L49" s="74"/>
      <c r="M49" s="74"/>
      <c r="N49" s="74"/>
      <c r="O49" s="74"/>
      <c r="P49" s="74"/>
      <c r="Q49" s="56"/>
      <c r="R49" s="56"/>
      <c r="S49" s="59"/>
      <c r="T49" s="56"/>
      <c r="U49" s="56"/>
      <c r="V49" s="56"/>
      <c r="W49" s="56"/>
      <c r="X49" s="133"/>
      <c r="Y49" s="56"/>
      <c r="Z49" s="56"/>
      <c r="AA49" s="56"/>
      <c r="AB49" s="57"/>
      <c r="AC49" s="2"/>
      <c r="AD49" s="2"/>
      <c r="AE49" s="2"/>
      <c r="AF49" s="2"/>
      <c r="AG49" s="2"/>
      <c r="AH49" s="2"/>
      <c r="AI49" s="2"/>
    </row>
    <row r="50">
      <c r="A50" s="126" t="s">
        <v>72</v>
      </c>
      <c r="B50" s="59"/>
      <c r="C50" s="56"/>
      <c r="D50" s="56"/>
      <c r="E50" s="59"/>
      <c r="F50" s="56"/>
      <c r="G50" s="56"/>
      <c r="H50" s="56"/>
      <c r="I50" s="18">
        <v>30.0</v>
      </c>
      <c r="J50" s="56"/>
      <c r="K50" s="74"/>
      <c r="L50" s="74"/>
      <c r="M50" s="74"/>
      <c r="N50" s="74"/>
      <c r="O50" s="74"/>
      <c r="P50" s="74"/>
      <c r="Q50" s="56"/>
      <c r="R50" s="56"/>
      <c r="S50" s="56"/>
      <c r="T50" s="56"/>
      <c r="U50" s="56"/>
      <c r="V50" s="56"/>
      <c r="W50" s="56"/>
      <c r="X50" s="133"/>
      <c r="Y50" s="56"/>
      <c r="Z50" s="56"/>
      <c r="AA50" s="56"/>
      <c r="AB50" s="57"/>
      <c r="AC50" s="2"/>
      <c r="AD50" s="2"/>
      <c r="AE50" s="2"/>
      <c r="AF50" s="2"/>
      <c r="AG50" s="2"/>
      <c r="AH50" s="2"/>
      <c r="AI50" s="2"/>
    </row>
    <row r="51">
      <c r="A51" s="126" t="s">
        <v>74</v>
      </c>
      <c r="B51" s="138"/>
      <c r="C51" s="138"/>
      <c r="D51" s="64"/>
      <c r="E51" s="138"/>
      <c r="F51" s="64"/>
      <c r="G51" s="64"/>
      <c r="H51" s="64"/>
      <c r="I51" s="64"/>
      <c r="J51" s="64"/>
      <c r="K51" s="86"/>
      <c r="L51" s="86"/>
      <c r="M51" s="86"/>
      <c r="N51" s="86"/>
      <c r="O51" s="86"/>
      <c r="P51" s="86"/>
      <c r="Q51" s="64"/>
      <c r="R51" s="64"/>
      <c r="S51" s="64"/>
      <c r="T51" s="77">
        <v>2.0</v>
      </c>
      <c r="U51" s="64"/>
      <c r="V51" s="64"/>
      <c r="W51" s="64"/>
      <c r="X51" s="139"/>
      <c r="Y51" s="64"/>
      <c r="Z51" s="64"/>
      <c r="AA51" s="64"/>
      <c r="AB51" s="65"/>
      <c r="AC51" s="2"/>
      <c r="AD51" s="2"/>
      <c r="AE51" s="2"/>
      <c r="AF51" s="2"/>
      <c r="AG51" s="2"/>
      <c r="AH51" s="2"/>
      <c r="AI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</row>
  </sheetData>
  <mergeCells count="49">
    <mergeCell ref="B1:C1"/>
    <mergeCell ref="E1:F1"/>
    <mergeCell ref="H1:K1"/>
    <mergeCell ref="M1:P1"/>
    <mergeCell ref="R1:S1"/>
    <mergeCell ref="U1:Z1"/>
    <mergeCell ref="H2:I2"/>
    <mergeCell ref="M5:O5"/>
    <mergeCell ref="M6:O6"/>
    <mergeCell ref="M7:O7"/>
    <mergeCell ref="M8:O8"/>
    <mergeCell ref="M9:O9"/>
    <mergeCell ref="M10:O10"/>
    <mergeCell ref="J2:K2"/>
    <mergeCell ref="N2:O2"/>
    <mergeCell ref="H3:I3"/>
    <mergeCell ref="J3:K3"/>
    <mergeCell ref="M3:O3"/>
    <mergeCell ref="J4:K4"/>
    <mergeCell ref="M4:O4"/>
    <mergeCell ref="U5:V5"/>
    <mergeCell ref="U6:V6"/>
    <mergeCell ref="U7:V7"/>
    <mergeCell ref="U8:V8"/>
    <mergeCell ref="U9:V9"/>
    <mergeCell ref="Y6:Z6"/>
    <mergeCell ref="Y7:Z7"/>
    <mergeCell ref="Y8:Z8"/>
    <mergeCell ref="Y9:Z9"/>
    <mergeCell ref="U2:V2"/>
    <mergeCell ref="Y2:Z2"/>
    <mergeCell ref="U3:V3"/>
    <mergeCell ref="Y3:Z3"/>
    <mergeCell ref="U4:V4"/>
    <mergeCell ref="Y4:Z4"/>
    <mergeCell ref="Y5:Z5"/>
    <mergeCell ref="H8:I8"/>
    <mergeCell ref="J8:K8"/>
    <mergeCell ref="H9:I9"/>
    <mergeCell ref="J9:K9"/>
    <mergeCell ref="J12:M12"/>
    <mergeCell ref="J34:M34"/>
    <mergeCell ref="H4:I4"/>
    <mergeCell ref="H5:I5"/>
    <mergeCell ref="J5:K5"/>
    <mergeCell ref="H6:I6"/>
    <mergeCell ref="J6:K6"/>
    <mergeCell ref="H7:I7"/>
    <mergeCell ref="J7:K7"/>
  </mergeCells>
  <conditionalFormatting sqref="P4">
    <cfRule type="cellIs" dxfId="6" priority="1" operator="lessThan">
      <formula>0.09</formula>
    </cfRule>
  </conditionalFormatting>
  <conditionalFormatting sqref="C10">
    <cfRule type="cellIs" dxfId="0" priority="2" operator="greaterThanOrEqual">
      <formula>32</formula>
    </cfRule>
  </conditionalFormatting>
  <hyperlinks>
    <hyperlink r:id="rId2" ref="B32"/>
  </hyperlinks>
  <drawing r:id="rId3"/>
  <legacyDrawing r:id="rId4"/>
  <tableParts count="2"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14" width="10.13"/>
    <col customWidth="1" min="15" max="15" width="12.38"/>
    <col customWidth="1" min="16" max="16" width="13.88"/>
    <col customWidth="1" min="17" max="17" width="12.63"/>
    <col customWidth="1" min="18" max="18" width="10.13"/>
  </cols>
  <sheetData>
    <row r="1">
      <c r="A1" s="140" t="s">
        <v>120</v>
      </c>
      <c r="B1" s="141" t="s">
        <v>4</v>
      </c>
      <c r="C1" s="140" t="s">
        <v>29</v>
      </c>
      <c r="D1" s="140" t="s">
        <v>5</v>
      </c>
      <c r="E1" s="140" t="s">
        <v>6</v>
      </c>
      <c r="F1" s="140" t="s">
        <v>7</v>
      </c>
      <c r="G1" s="140" t="s">
        <v>8</v>
      </c>
      <c r="H1" s="140" t="s">
        <v>9</v>
      </c>
      <c r="I1" s="140" t="s">
        <v>10</v>
      </c>
      <c r="J1" s="140" t="s">
        <v>121</v>
      </c>
      <c r="K1" s="140" t="s">
        <v>12</v>
      </c>
      <c r="L1" s="140" t="s">
        <v>14</v>
      </c>
      <c r="M1" s="142" t="s">
        <v>18</v>
      </c>
      <c r="N1" s="142" t="s">
        <v>122</v>
      </c>
      <c r="O1" s="140" t="s">
        <v>123</v>
      </c>
      <c r="P1" s="142" t="s">
        <v>124</v>
      </c>
      <c r="Q1" s="140" t="s">
        <v>125</v>
      </c>
      <c r="R1" s="140" t="s">
        <v>126</v>
      </c>
      <c r="S1" s="143"/>
      <c r="T1" s="143"/>
      <c r="U1" s="143"/>
      <c r="V1" s="143"/>
      <c r="W1" s="143"/>
      <c r="X1" s="143"/>
      <c r="Y1" s="4"/>
      <c r="Z1" s="4"/>
      <c r="AA1" s="4"/>
      <c r="AB1" s="4"/>
    </row>
    <row r="2">
      <c r="A2" s="144" t="s">
        <v>127</v>
      </c>
      <c r="B2" s="145"/>
      <c r="C2" s="146">
        <v>1200.0</v>
      </c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7"/>
      <c r="O2" s="147"/>
      <c r="P2" s="148">
        <v>2.0</v>
      </c>
      <c r="Q2" s="149">
        <f t="shared" ref="Q2:Q12" si="1">O2/P2</f>
        <v>0</v>
      </c>
      <c r="R2" s="150" t="b">
        <v>1</v>
      </c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151" t="s">
        <v>128</v>
      </c>
      <c r="B3" s="152"/>
      <c r="C3" s="152"/>
      <c r="D3" s="152"/>
      <c r="E3" s="152"/>
      <c r="F3" s="153">
        <v>25.0</v>
      </c>
      <c r="G3" s="152"/>
      <c r="H3" s="152"/>
      <c r="I3" s="152"/>
      <c r="J3" s="152"/>
      <c r="K3" s="152"/>
      <c r="L3" s="152"/>
      <c r="M3" s="152"/>
      <c r="N3" s="154"/>
      <c r="O3" s="152"/>
      <c r="P3" s="153">
        <v>1.0</v>
      </c>
      <c r="Q3" s="155">
        <f t="shared" si="1"/>
        <v>0</v>
      </c>
      <c r="R3" s="150" t="b">
        <v>1</v>
      </c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56" t="s">
        <v>129</v>
      </c>
      <c r="B4" s="157"/>
      <c r="C4" s="157"/>
      <c r="D4" s="157"/>
      <c r="E4" s="158">
        <v>25.0</v>
      </c>
      <c r="F4" s="157"/>
      <c r="G4" s="157"/>
      <c r="H4" s="157"/>
      <c r="I4" s="157"/>
      <c r="J4" s="157"/>
      <c r="K4" s="157"/>
      <c r="L4" s="157"/>
      <c r="M4" s="157"/>
      <c r="N4" s="159"/>
      <c r="O4" s="157"/>
      <c r="P4" s="158">
        <v>1.0</v>
      </c>
      <c r="Q4" s="160">
        <f t="shared" si="1"/>
        <v>0</v>
      </c>
      <c r="R4" s="150" t="b">
        <v>0</v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51" t="s">
        <v>130</v>
      </c>
      <c r="B5" s="152"/>
      <c r="C5" s="152"/>
      <c r="D5" s="152"/>
      <c r="E5" s="152"/>
      <c r="F5" s="153">
        <v>25.0</v>
      </c>
      <c r="G5" s="152"/>
      <c r="H5" s="152"/>
      <c r="I5" s="152"/>
      <c r="J5" s="152"/>
      <c r="K5" s="152"/>
      <c r="L5" s="153">
        <v>2.0</v>
      </c>
      <c r="M5" s="152"/>
      <c r="N5" s="154"/>
      <c r="O5" s="152"/>
      <c r="P5" s="153">
        <v>1.0</v>
      </c>
      <c r="Q5" s="155">
        <f t="shared" si="1"/>
        <v>0</v>
      </c>
      <c r="R5" s="150" t="b">
        <v>1</v>
      </c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56" t="s">
        <v>131</v>
      </c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8">
        <v>12.0</v>
      </c>
      <c r="N6" s="159"/>
      <c r="O6" s="157"/>
      <c r="P6" s="158">
        <v>1.0</v>
      </c>
      <c r="Q6" s="160">
        <f t="shared" si="1"/>
        <v>0</v>
      </c>
      <c r="R6" s="150" t="b">
        <v>1</v>
      </c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51" t="s">
        <v>132</v>
      </c>
      <c r="B7" s="152"/>
      <c r="C7" s="153">
        <v>120.0</v>
      </c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4"/>
      <c r="O7" s="152"/>
      <c r="P7" s="153">
        <v>1.0</v>
      </c>
      <c r="Q7" s="155">
        <f t="shared" si="1"/>
        <v>0</v>
      </c>
      <c r="R7" s="150" t="b">
        <v>1</v>
      </c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56" t="s">
        <v>133</v>
      </c>
      <c r="B8" s="158">
        <v>450.0</v>
      </c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8">
        <v>1.0</v>
      </c>
      <c r="Q8" s="160">
        <f t="shared" si="1"/>
        <v>0</v>
      </c>
      <c r="R8" s="150" t="b">
        <v>1</v>
      </c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51" t="s">
        <v>134</v>
      </c>
      <c r="B9" s="152"/>
      <c r="C9" s="152"/>
      <c r="D9" s="153">
        <v>25.0</v>
      </c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3">
        <v>1.0</v>
      </c>
      <c r="Q9" s="155">
        <f t="shared" si="1"/>
        <v>0</v>
      </c>
      <c r="R9" s="150" t="b">
        <v>0</v>
      </c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56" t="s">
        <v>135</v>
      </c>
      <c r="B10" s="157"/>
      <c r="C10" s="157"/>
      <c r="D10" s="157"/>
      <c r="E10" s="157"/>
      <c r="F10" s="157"/>
      <c r="G10" s="157"/>
      <c r="H10" s="157"/>
      <c r="I10" s="157"/>
      <c r="J10" s="157"/>
      <c r="K10" s="158">
        <v>35.0</v>
      </c>
      <c r="L10" s="157"/>
      <c r="M10" s="157"/>
      <c r="N10" s="157"/>
      <c r="O10" s="157"/>
      <c r="P10" s="158">
        <v>0.334</v>
      </c>
      <c r="Q10" s="161">
        <f t="shared" si="1"/>
        <v>0</v>
      </c>
      <c r="R10" s="150" t="b">
        <v>1</v>
      </c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51" t="s">
        <v>136</v>
      </c>
      <c r="B11" s="152"/>
      <c r="C11" s="152"/>
      <c r="D11" s="152"/>
      <c r="E11" s="152"/>
      <c r="F11" s="152"/>
      <c r="G11" s="152"/>
      <c r="H11" s="152"/>
      <c r="I11" s="153">
        <v>15.0</v>
      </c>
      <c r="J11" s="153">
        <v>2.0</v>
      </c>
      <c r="K11" s="152"/>
      <c r="L11" s="152"/>
      <c r="M11" s="152"/>
      <c r="N11" s="152"/>
      <c r="O11" s="152"/>
      <c r="P11" s="153">
        <v>1.0</v>
      </c>
      <c r="Q11" s="162">
        <f t="shared" si="1"/>
        <v>0</v>
      </c>
      <c r="R11" s="150" t="b">
        <v>0</v>
      </c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56" t="s">
        <v>137</v>
      </c>
      <c r="B12" s="157"/>
      <c r="C12" s="157"/>
      <c r="D12" s="157"/>
      <c r="E12" s="157"/>
      <c r="F12" s="157"/>
      <c r="G12" s="157"/>
      <c r="H12" s="157"/>
      <c r="I12" s="158">
        <v>35.0</v>
      </c>
      <c r="J12" s="157"/>
      <c r="K12" s="157"/>
      <c r="L12" s="157"/>
      <c r="M12" s="157"/>
      <c r="N12" s="157"/>
      <c r="O12" s="157"/>
      <c r="P12" s="158">
        <v>1.0</v>
      </c>
      <c r="Q12" s="160">
        <f t="shared" si="1"/>
        <v>0</v>
      </c>
      <c r="R12" s="150" t="b">
        <v>1</v>
      </c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51" t="s">
        <v>138</v>
      </c>
      <c r="B13" s="152"/>
      <c r="C13" s="152"/>
      <c r="D13" s="152"/>
      <c r="E13" s="152"/>
      <c r="F13" s="152"/>
      <c r="G13" s="152"/>
      <c r="H13" s="152"/>
      <c r="I13" s="153">
        <v>35.0</v>
      </c>
      <c r="J13" s="152"/>
      <c r="K13" s="152"/>
      <c r="L13" s="152"/>
      <c r="M13" s="152"/>
      <c r="N13" s="152"/>
      <c r="O13" s="152"/>
      <c r="P13" s="153">
        <v>0.334</v>
      </c>
      <c r="Q13" s="163"/>
      <c r="R13" s="150" t="b">
        <v>1</v>
      </c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56" t="s">
        <v>139</v>
      </c>
      <c r="B14" s="157"/>
      <c r="C14" s="157"/>
      <c r="D14" s="157"/>
      <c r="E14" s="158">
        <v>25.0</v>
      </c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8">
        <v>0.25</v>
      </c>
      <c r="Q14" s="160">
        <f t="shared" ref="Q14:Q20" si="2">O14/P14</f>
        <v>0</v>
      </c>
      <c r="R14" s="150" t="b">
        <v>1</v>
      </c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51" t="s">
        <v>140</v>
      </c>
      <c r="B15" s="152"/>
      <c r="C15" s="152"/>
      <c r="D15" s="152"/>
      <c r="E15" s="153">
        <v>15.0</v>
      </c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3">
        <v>0.25</v>
      </c>
      <c r="Q15" s="155">
        <f t="shared" si="2"/>
        <v>0</v>
      </c>
      <c r="R15" s="150" t="b">
        <v>1</v>
      </c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56" t="s">
        <v>141</v>
      </c>
      <c r="B16" s="157"/>
      <c r="C16" s="157"/>
      <c r="D16" s="157"/>
      <c r="E16" s="158">
        <v>50.0</v>
      </c>
      <c r="F16" s="157"/>
      <c r="G16" s="157"/>
      <c r="H16" s="158">
        <v>50.0</v>
      </c>
      <c r="I16" s="157"/>
      <c r="J16" s="157"/>
      <c r="K16" s="157"/>
      <c r="L16" s="157"/>
      <c r="M16" s="157"/>
      <c r="N16" s="159"/>
      <c r="O16" s="157"/>
      <c r="P16" s="158">
        <v>2.0</v>
      </c>
      <c r="Q16" s="160">
        <f t="shared" si="2"/>
        <v>0</v>
      </c>
      <c r="R16" s="150" t="b">
        <v>1</v>
      </c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51" t="s">
        <v>142</v>
      </c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3">
        <v>8.0</v>
      </c>
      <c r="N17" s="154"/>
      <c r="O17" s="152"/>
      <c r="P17" s="153">
        <v>0.25</v>
      </c>
      <c r="Q17" s="155">
        <f t="shared" si="2"/>
        <v>0</v>
      </c>
      <c r="R17" s="164" t="b">
        <v>0</v>
      </c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56" t="s">
        <v>143</v>
      </c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8">
        <v>20.0</v>
      </c>
      <c r="O18" s="157"/>
      <c r="P18" s="158">
        <v>1.0</v>
      </c>
      <c r="Q18" s="160">
        <f t="shared" si="2"/>
        <v>0</v>
      </c>
      <c r="R18" s="150" t="b">
        <v>0</v>
      </c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51" t="s">
        <v>144</v>
      </c>
      <c r="B19" s="152"/>
      <c r="C19" s="152"/>
      <c r="D19" s="152"/>
      <c r="E19" s="152"/>
      <c r="F19" s="152"/>
      <c r="G19" s="152"/>
      <c r="H19" s="152"/>
      <c r="I19" s="152"/>
      <c r="J19" s="152"/>
      <c r="K19" s="153">
        <v>40.0</v>
      </c>
      <c r="L19" s="152"/>
      <c r="M19" s="152"/>
      <c r="N19" s="152"/>
      <c r="O19" s="152"/>
      <c r="P19" s="153">
        <v>0.5</v>
      </c>
      <c r="Q19" s="155">
        <f t="shared" si="2"/>
        <v>0</v>
      </c>
      <c r="R19" s="150" t="b">
        <v>0</v>
      </c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56" t="s">
        <v>145</v>
      </c>
      <c r="B20" s="157"/>
      <c r="C20" s="157"/>
      <c r="D20" s="158">
        <v>30.0</v>
      </c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8">
        <v>0.5</v>
      </c>
      <c r="Q20" s="160">
        <f t="shared" si="2"/>
        <v>0</v>
      </c>
      <c r="R20" s="150" t="b">
        <v>1</v>
      </c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154"/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4"/>
      <c r="O21" s="154"/>
      <c r="P21" s="154"/>
      <c r="Q21" s="165"/>
      <c r="R21" s="164" t="b">
        <v>0</v>
      </c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66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9"/>
      <c r="O22" s="159"/>
      <c r="P22" s="159"/>
      <c r="Q22" s="167"/>
      <c r="R22" s="164" t="b">
        <v>0</v>
      </c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154"/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4"/>
      <c r="O23" s="154"/>
      <c r="P23" s="154"/>
      <c r="Q23" s="165"/>
      <c r="R23" s="150" t="b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168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70"/>
      <c r="R24" s="171" t="b">
        <v>0</v>
      </c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143" t="s">
        <v>146</v>
      </c>
      <c r="B25" s="4">
        <f>SUMIF(R2:R1004,TRUE,B2:B1004)</f>
        <v>450</v>
      </c>
      <c r="C25" s="4">
        <f>SUMIF(R2:R1004,TRUE,C2:C1004)</f>
        <v>1320</v>
      </c>
      <c r="D25" s="4">
        <f>SUMIF(R2:R1004,TRUE,D2:D1004)</f>
        <v>30</v>
      </c>
      <c r="E25" s="4">
        <f>SUMIF(R2:R1004,TRUE,E2:E1004)</f>
        <v>90</v>
      </c>
      <c r="F25" s="4">
        <f>SUMIF(R2:R1004,TRUE,F2:F1004)</f>
        <v>50</v>
      </c>
      <c r="G25" s="4">
        <f>SUMIF(R2:R1004,TRUE,G2:G1004)</f>
        <v>0</v>
      </c>
      <c r="H25" s="4">
        <f>SUMIF(R2:R1004,TRUE,H2:H1004)</f>
        <v>50</v>
      </c>
      <c r="I25" s="4">
        <f>SUMIF(R2:R1004,TRUE,I2:I1004)</f>
        <v>70</v>
      </c>
      <c r="J25" s="4">
        <f t="shared" ref="J25:K25" si="3">SUMIF(Q2:Q1004,TRUE,J2:J1004)</f>
        <v>0</v>
      </c>
      <c r="K25" s="4">
        <f t="shared" si="3"/>
        <v>35</v>
      </c>
      <c r="L25" s="4">
        <f>SUMIF(R2:R1004,TRUE,L2:L1004)</f>
        <v>2</v>
      </c>
      <c r="M25" s="4">
        <f>SUMIF(R2:R1004,TRUE,M2:M1004)</f>
        <v>12</v>
      </c>
      <c r="N25" s="4">
        <f>SUMIF(R2:R1004,TRUE,N2:N1004)</f>
        <v>0</v>
      </c>
      <c r="O25" s="4">
        <f>SUMIF(R2:R1004,TRUE,O2:O1004)</f>
        <v>0</v>
      </c>
      <c r="P25" s="4"/>
      <c r="Q25" s="172">
        <f>SUMIF(R2:R1004,TRUE,Q2:Q1004)</f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143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143" t="s">
        <v>62</v>
      </c>
      <c r="B27" s="4">
        <f>COUNTIF(R2:R24, TRUE)</f>
        <v>13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16" width="10.13"/>
  </cols>
  <sheetData>
    <row r="1">
      <c r="A1" s="140" t="s">
        <v>120</v>
      </c>
      <c r="B1" s="141" t="s">
        <v>4</v>
      </c>
      <c r="C1" s="140" t="s">
        <v>29</v>
      </c>
      <c r="D1" s="140" t="s">
        <v>5</v>
      </c>
      <c r="E1" s="140" t="s">
        <v>6</v>
      </c>
      <c r="F1" s="140" t="s">
        <v>7</v>
      </c>
      <c r="G1" s="140" t="s">
        <v>8</v>
      </c>
      <c r="H1" s="140" t="s">
        <v>9</v>
      </c>
      <c r="I1" s="140" t="s">
        <v>10</v>
      </c>
      <c r="J1" s="142" t="s">
        <v>121</v>
      </c>
      <c r="K1" s="140" t="s">
        <v>12</v>
      </c>
      <c r="L1" s="140" t="s">
        <v>14</v>
      </c>
      <c r="M1" s="142" t="s">
        <v>18</v>
      </c>
      <c r="N1" s="173" t="s">
        <v>122</v>
      </c>
      <c r="O1" s="141" t="s">
        <v>147</v>
      </c>
      <c r="P1" s="174" t="s">
        <v>126</v>
      </c>
      <c r="Q1" s="143"/>
      <c r="R1" s="143"/>
      <c r="S1" s="143"/>
      <c r="T1" s="143"/>
      <c r="U1" s="143"/>
      <c r="V1" s="143"/>
      <c r="W1" s="4"/>
      <c r="X1" s="4"/>
      <c r="Y1" s="4"/>
      <c r="Z1" s="4"/>
    </row>
    <row r="2">
      <c r="A2" s="175" t="s">
        <v>148</v>
      </c>
      <c r="B2" s="176">
        <v>285.0</v>
      </c>
      <c r="C2" s="176"/>
      <c r="D2" s="176">
        <v>12.0</v>
      </c>
      <c r="E2" s="177">
        <v>12.0</v>
      </c>
      <c r="F2" s="176">
        <v>12.0</v>
      </c>
      <c r="G2" s="176">
        <v>12.0</v>
      </c>
      <c r="H2" s="176">
        <v>12.0</v>
      </c>
      <c r="I2" s="178"/>
      <c r="J2" s="178"/>
      <c r="K2" s="178"/>
      <c r="L2" s="178"/>
      <c r="M2" s="178"/>
      <c r="N2" s="179"/>
      <c r="O2" s="180" t="s">
        <v>149</v>
      </c>
      <c r="P2" s="180" t="b">
        <v>0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75" t="s">
        <v>150</v>
      </c>
      <c r="B3" s="176"/>
      <c r="C3" s="176"/>
      <c r="D3" s="176"/>
      <c r="E3" s="176"/>
      <c r="F3" s="176"/>
      <c r="G3" s="176"/>
      <c r="H3" s="176"/>
      <c r="I3" s="176"/>
      <c r="J3" s="176">
        <v>3.0</v>
      </c>
      <c r="K3" s="176"/>
      <c r="L3" s="176"/>
      <c r="M3" s="176"/>
      <c r="N3" s="178"/>
      <c r="O3" s="180" t="s">
        <v>149</v>
      </c>
      <c r="P3" s="180" t="b">
        <v>0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75" t="s">
        <v>151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>
        <v>3.0</v>
      </c>
      <c r="M4" s="176"/>
      <c r="N4" s="178"/>
      <c r="O4" s="180" t="s">
        <v>149</v>
      </c>
      <c r="P4" s="180" t="b">
        <v>0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75" t="s">
        <v>152</v>
      </c>
      <c r="B5" s="176"/>
      <c r="C5" s="176"/>
      <c r="D5" s="176"/>
      <c r="E5" s="176"/>
      <c r="F5" s="176"/>
      <c r="G5" s="176"/>
      <c r="H5" s="176"/>
      <c r="I5" s="176"/>
      <c r="J5" s="176"/>
      <c r="K5" s="176">
        <v>100.0</v>
      </c>
      <c r="L5" s="176"/>
      <c r="M5" s="176"/>
      <c r="N5" s="178"/>
      <c r="O5" s="180" t="s">
        <v>153</v>
      </c>
      <c r="P5" s="180" t="b">
        <v>0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75" t="s">
        <v>154</v>
      </c>
      <c r="B6" s="176"/>
      <c r="C6" s="176"/>
      <c r="D6" s="176"/>
      <c r="E6" s="176"/>
      <c r="F6" s="176"/>
      <c r="G6" s="176">
        <v>31.0</v>
      </c>
      <c r="H6" s="176"/>
      <c r="I6" s="176"/>
      <c r="J6" s="176"/>
      <c r="K6" s="176"/>
      <c r="L6" s="176"/>
      <c r="M6" s="176"/>
      <c r="N6" s="178"/>
      <c r="O6" s="180" t="s">
        <v>155</v>
      </c>
      <c r="P6" s="180" t="b">
        <v>1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75" t="s">
        <v>156</v>
      </c>
      <c r="B7" s="176"/>
      <c r="C7" s="176"/>
      <c r="D7" s="176"/>
      <c r="E7" s="176"/>
      <c r="F7" s="176"/>
      <c r="G7" s="176"/>
      <c r="H7" s="176"/>
      <c r="I7" s="176"/>
      <c r="J7" s="176"/>
      <c r="K7" s="176">
        <v>185.0</v>
      </c>
      <c r="L7" s="176"/>
      <c r="M7" s="181"/>
      <c r="N7" s="178"/>
      <c r="O7" s="180" t="s">
        <v>157</v>
      </c>
      <c r="P7" s="180" t="b">
        <v>1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75" t="s">
        <v>158</v>
      </c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>
        <v>33.0</v>
      </c>
      <c r="N8" s="176"/>
      <c r="O8" s="180" t="s">
        <v>157</v>
      </c>
      <c r="P8" s="180" t="b">
        <v>1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75" t="s">
        <v>159</v>
      </c>
      <c r="B9" s="176">
        <v>735.0</v>
      </c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80" t="s">
        <v>157</v>
      </c>
      <c r="P9" s="180" t="b">
        <v>0</v>
      </c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75" t="s">
        <v>160</v>
      </c>
      <c r="B10" s="176"/>
      <c r="C10" s="176"/>
      <c r="D10" s="176"/>
      <c r="E10" s="176">
        <v>54.0</v>
      </c>
      <c r="F10" s="176"/>
      <c r="G10" s="176"/>
      <c r="H10" s="176"/>
      <c r="I10" s="176"/>
      <c r="J10" s="176"/>
      <c r="K10" s="176"/>
      <c r="L10" s="176"/>
      <c r="M10" s="176"/>
      <c r="N10" s="176"/>
      <c r="O10" s="180" t="s">
        <v>161</v>
      </c>
      <c r="P10" s="180" t="b">
        <v>1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75" t="s">
        <v>162</v>
      </c>
      <c r="B11" s="176">
        <v>230.0</v>
      </c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80" t="s">
        <v>161</v>
      </c>
      <c r="P11" s="180" t="b">
        <v>1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75" t="s">
        <v>163</v>
      </c>
      <c r="B12" s="176"/>
      <c r="C12" s="176"/>
      <c r="D12" s="176"/>
      <c r="E12" s="176"/>
      <c r="F12" s="176"/>
      <c r="G12" s="176"/>
      <c r="H12" s="176"/>
      <c r="I12" s="176">
        <v>25.0</v>
      </c>
      <c r="J12" s="176"/>
      <c r="K12" s="176">
        <v>30.0</v>
      </c>
      <c r="L12" s="176"/>
      <c r="M12" s="176"/>
      <c r="N12" s="176"/>
      <c r="O12" s="180" t="s">
        <v>161</v>
      </c>
      <c r="P12" s="180" t="b">
        <v>1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75" t="s">
        <v>164</v>
      </c>
      <c r="B13" s="176"/>
      <c r="C13" s="176"/>
      <c r="D13" s="176">
        <v>77.0</v>
      </c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80" t="s">
        <v>165</v>
      </c>
      <c r="P13" s="180" t="b">
        <v>1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75" t="s">
        <v>166</v>
      </c>
      <c r="B14" s="176"/>
      <c r="C14" s="176"/>
      <c r="D14" s="176"/>
      <c r="E14" s="176">
        <v>42.0</v>
      </c>
      <c r="F14" s="176"/>
      <c r="G14" s="176"/>
      <c r="H14" s="176"/>
      <c r="I14" s="176"/>
      <c r="J14" s="176"/>
      <c r="K14" s="176"/>
      <c r="L14" s="176"/>
      <c r="M14" s="176"/>
      <c r="N14" s="176"/>
      <c r="O14" s="180" t="s">
        <v>167</v>
      </c>
      <c r="P14" s="180" t="b">
        <v>0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75" t="s">
        <v>168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6">
        <v>232.0</v>
      </c>
      <c r="L15" s="176"/>
      <c r="M15" s="176"/>
      <c r="N15" s="176"/>
      <c r="O15" s="180" t="s">
        <v>169</v>
      </c>
      <c r="P15" s="180" t="b">
        <v>1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75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8"/>
      <c r="O16" s="180"/>
      <c r="P16" s="182" t="b">
        <v>0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75"/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80"/>
      <c r="P17" s="180" t="b">
        <v>0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75"/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80"/>
      <c r="P18" s="180" t="b">
        <v>0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83"/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84"/>
      <c r="P19" s="180" t="b">
        <v>0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85"/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8"/>
      <c r="O20" s="180"/>
      <c r="P20" s="182" t="b">
        <v>0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85"/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8"/>
      <c r="O21" s="180"/>
      <c r="P21" s="182" t="b">
        <v>0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83"/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8"/>
      <c r="O22" s="180"/>
      <c r="P22" s="180" t="b">
        <v>0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86"/>
      <c r="B23" s="187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8"/>
      <c r="P23" s="188" t="b">
        <v>0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43" t="s">
        <v>146</v>
      </c>
      <c r="B24" s="4">
        <f>SUMIF(P2:P1003,TRUE,B2:B1003)</f>
        <v>230</v>
      </c>
      <c r="C24" s="4">
        <f>SUMIF(P2:P1003,TRUE,C2:C1003)</f>
        <v>0</v>
      </c>
      <c r="D24" s="4">
        <f>SUMIF(P2:P1003,TRUE,D2:D1003)</f>
        <v>77</v>
      </c>
      <c r="E24" s="4">
        <f>SUMIF(P2:P1003,TRUE,E2:E1003)</f>
        <v>54</v>
      </c>
      <c r="F24" s="4">
        <f>SUMIF(P2:P1003,TRUE,F2:F1003)</f>
        <v>0</v>
      </c>
      <c r="G24" s="4">
        <f>SUMIF(P2:P1003,TRUE,G2:G1003)</f>
        <v>31</v>
      </c>
      <c r="H24" s="4">
        <f>SUMIF(P2:P1003,TRUE,H2:H1003)</f>
        <v>0</v>
      </c>
      <c r="I24" s="4">
        <f>SUMIF(P2:P1003,TRUE,I2:I1003)</f>
        <v>25</v>
      </c>
      <c r="J24" s="4">
        <f>SUMIF(P2:P1003,TRUE,J2:J1003)</f>
        <v>0</v>
      </c>
      <c r="K24" s="4">
        <f>SUMIF(P2:P1003,TRUE,K2:K1003)</f>
        <v>447</v>
      </c>
      <c r="L24" s="4">
        <f>SUMIF(P2:P1003,TRUE,L2:L1003)</f>
        <v>0</v>
      </c>
      <c r="M24" s="4">
        <f>SUMIF(P2:P1003,TRUE,M2:M1003)</f>
        <v>33</v>
      </c>
      <c r="N24" s="4">
        <f>SUMIF(P2:P1003,TRUE,N2:N1003)</f>
        <v>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4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43" t="s">
        <v>62</v>
      </c>
      <c r="B26" s="143">
        <f>COUNTIF(P2:P24, TRUE)</f>
        <v>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9" t="s">
        <v>170</v>
      </c>
      <c r="F1" s="190" t="s">
        <v>171</v>
      </c>
      <c r="H1" s="190" t="s">
        <v>172</v>
      </c>
    </row>
    <row r="2">
      <c r="A2" s="190" t="s">
        <v>173</v>
      </c>
    </row>
    <row r="3">
      <c r="A3" s="190" t="s">
        <v>174</v>
      </c>
    </row>
    <row r="4">
      <c r="A4" s="190"/>
      <c r="F4" s="190" t="s">
        <v>175</v>
      </c>
    </row>
    <row r="5">
      <c r="A5" s="189" t="s">
        <v>176</v>
      </c>
    </row>
    <row r="6">
      <c r="A6" s="190" t="s">
        <v>177</v>
      </c>
    </row>
    <row r="7">
      <c r="A7" s="190" t="s">
        <v>178</v>
      </c>
    </row>
    <row r="8">
      <c r="A8" s="190" t="s">
        <v>179</v>
      </c>
    </row>
    <row r="10">
      <c r="A10" s="189" t="s">
        <v>180</v>
      </c>
    </row>
    <row r="11">
      <c r="A11" s="190" t="s">
        <v>181</v>
      </c>
    </row>
    <row r="12">
      <c r="A12" s="190" t="s">
        <v>182</v>
      </c>
    </row>
    <row r="14">
      <c r="A14" s="189" t="s">
        <v>183</v>
      </c>
    </row>
    <row r="15">
      <c r="A15" s="190" t="s">
        <v>184</v>
      </c>
    </row>
    <row r="17">
      <c r="A17" s="189" t="s">
        <v>12</v>
      </c>
    </row>
    <row r="18">
      <c r="A18" s="190" t="s">
        <v>185</v>
      </c>
    </row>
    <row r="20">
      <c r="A20" s="189" t="s">
        <v>186</v>
      </c>
    </row>
    <row r="21">
      <c r="A21" s="190" t="s">
        <v>187</v>
      </c>
    </row>
    <row r="23">
      <c r="A23" s="190" t="s">
        <v>188</v>
      </c>
    </row>
    <row r="24">
      <c r="A24" s="190" t="s">
        <v>189</v>
      </c>
    </row>
    <row r="25">
      <c r="A25" s="190" t="s">
        <v>190</v>
      </c>
    </row>
    <row r="26">
      <c r="A26" s="190" t="s">
        <v>191</v>
      </c>
    </row>
    <row r="27">
      <c r="A27" s="190" t="s">
        <v>192</v>
      </c>
    </row>
    <row r="29">
      <c r="A29" s="190" t="s">
        <v>193</v>
      </c>
    </row>
    <row r="30">
      <c r="A30" s="190" t="s">
        <v>194</v>
      </c>
    </row>
    <row r="31">
      <c r="A31" s="190" t="s">
        <v>195</v>
      </c>
    </row>
  </sheetData>
  <drawing r:id="rId1"/>
</worksheet>
</file>