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lunag\Documents\Edu\2de master\Thesis\Data Thesis\Documentation\"/>
    </mc:Choice>
  </mc:AlternateContent>
  <xr:revisionPtr revIDLastSave="0" documentId="13_ncr:1_{3D68ECD9-B483-4608-B0A7-A0375596E197}" xr6:coauthVersionLast="47" xr6:coauthVersionMax="47" xr10:uidLastSave="{00000000-0000-0000-0000-000000000000}"/>
  <bookViews>
    <workbookView xWindow="-120" yWindow="-120" windowWidth="29040" windowHeight="15720" activeTab="1" xr2:uid="{23405313-7B64-48C9-B84C-0F95A78BA4DE}"/>
  </bookViews>
  <sheets>
    <sheet name="Main Tests Monthly" sheetId="1" r:id="rId1"/>
    <sheet name="Alternative Monthly" sheetId="22" r:id="rId2"/>
    <sheet name="Weighted Monthly" sheetId="18" r:id="rId3"/>
    <sheet name="National Monthly" sheetId="21" r:id="rId4"/>
    <sheet name="Fama and MacBeth Univar" sheetId="20" r:id="rId5"/>
    <sheet name="Fama and MacBeth Monthly" sheetId="14" r:id="rId6"/>
    <sheet name="MeasuresDependency" sheetId="15" state="hidden" r:id="rId7"/>
    <sheet name="BenchhmarksFixedSkipped" sheetId="16" state="hidden" r:id="rId8"/>
    <sheet name="VaryingComoveMeasureSampe" sheetId="17" state="hidden" r:id="rId9"/>
    <sheet name="PerComove_Summary_FullSample" sheetId="2" state="hidden" r:id="rId10"/>
    <sheet name="HighLow_Dummy_FullSample" sheetId="3" state="hidden" r:id="rId11"/>
    <sheet name="HighLow_Summary_FullSample" sheetId="5" state="hidden" r:id="rId12"/>
    <sheet name="HighLow_4F_FullSample" sheetId="4" state="hidden" r:id="rId13"/>
    <sheet name="PerComove_Summary_FirstHalf" sheetId="6" state="hidden" r:id="rId14"/>
    <sheet name="HighLow_Dummy_FirstHalf" sheetId="7" state="hidden" r:id="rId15"/>
    <sheet name="HighLow_Summary_FirstHalf" sheetId="8" state="hidden" r:id="rId16"/>
    <sheet name="HighLow_4F_FirstHalf" sheetId="9" state="hidden" r:id="rId17"/>
    <sheet name="PerComove_Summary_SecHalf" sheetId="10" state="hidden" r:id="rId18"/>
    <sheet name="HighLow_Dummy_SecHalf" sheetId="11" state="hidden" r:id="rId19"/>
    <sheet name="HighLow_Summary_SecHalf" sheetId="12" state="hidden" r:id="rId20"/>
    <sheet name="HighLow_4F_SecHalf" sheetId="13" state="hidden" r:id="rId21"/>
  </sheets>
  <definedNames>
    <definedName name="AlphaCAPM">HighLow_Summary_FirstHalf!$B$2</definedName>
    <definedName name="AlphaFF3">HighLow_Summary_FirstHalf!$B$3</definedName>
    <definedName name="AlphaFF4">HighLow_Summary_FirstHalf!$B$4</definedName>
    <definedName name="ExternalData_1" localSheetId="4" hidden="1">'Fama and MacBeth Univar'!$A$1:$G$14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E3" i="22" l="1"/>
  <c r="C3" i="22" l="1"/>
  <c r="C15" i="21"/>
  <c r="D15" i="21"/>
  <c r="E15" i="21"/>
  <c r="F15" i="21"/>
  <c r="G15" i="21"/>
  <c r="B15" i="21"/>
  <c r="C12" i="21"/>
  <c r="D12" i="21"/>
  <c r="E12" i="21"/>
  <c r="F12" i="21"/>
  <c r="G12" i="21"/>
  <c r="B12" i="21"/>
  <c r="C9" i="21"/>
  <c r="D9" i="21"/>
  <c r="E9" i="21"/>
  <c r="F9" i="21"/>
  <c r="G9" i="21"/>
  <c r="B9" i="21"/>
  <c r="C6" i="21"/>
  <c r="D6" i="21"/>
  <c r="E6" i="21"/>
  <c r="F6" i="21"/>
  <c r="G6" i="21"/>
  <c r="B6" i="21"/>
  <c r="C3" i="21"/>
  <c r="D3" i="21"/>
  <c r="E3" i="21"/>
  <c r="F3" i="21"/>
  <c r="G3" i="21"/>
  <c r="B3" i="21"/>
  <c r="B23" i="18"/>
  <c r="C23" i="18" s="1"/>
  <c r="G54" i="14"/>
  <c r="H46" i="14"/>
  <c r="H48" i="14"/>
  <c r="I48" i="14"/>
  <c r="H50" i="14"/>
  <c r="I50" i="14"/>
  <c r="H52" i="14"/>
  <c r="I52" i="14"/>
  <c r="H54" i="14"/>
  <c r="I54" i="14"/>
  <c r="E48" i="14"/>
  <c r="G20" i="14"/>
  <c r="D12" i="14"/>
  <c r="E12" i="14"/>
  <c r="D14" i="14"/>
  <c r="H10" i="14"/>
  <c r="I10" i="14" s="1"/>
  <c r="L8" i="14"/>
  <c r="M8" i="14" s="1"/>
  <c r="C43" i="18"/>
  <c r="C41" i="18"/>
  <c r="C39" i="18"/>
  <c r="C37" i="18"/>
  <c r="C35" i="18"/>
  <c r="C33" i="18"/>
  <c r="C31" i="18"/>
  <c r="C29" i="18"/>
  <c r="C27" i="18"/>
  <c r="C25" i="18"/>
  <c r="O2" i="18"/>
  <c r="C14" i="18"/>
  <c r="C16" i="18" s="1"/>
  <c r="O12" i="18"/>
  <c r="N12" i="18"/>
  <c r="M12" i="18"/>
  <c r="B14" i="18"/>
  <c r="B16" i="18" s="1"/>
  <c r="O11" i="18"/>
  <c r="N11" i="18"/>
  <c r="M11" i="18"/>
  <c r="L11" i="18"/>
  <c r="O10" i="18"/>
  <c r="N10" i="18"/>
  <c r="M10" i="18"/>
  <c r="L10" i="18"/>
  <c r="O9" i="18"/>
  <c r="N9" i="18"/>
  <c r="M9" i="18"/>
  <c r="L9" i="18"/>
  <c r="O8" i="18"/>
  <c r="N8" i="18"/>
  <c r="M8" i="18"/>
  <c r="L8" i="18"/>
  <c r="O7" i="18"/>
  <c r="N7" i="18"/>
  <c r="M7" i="18"/>
  <c r="L7" i="18"/>
  <c r="O6" i="18"/>
  <c r="N6" i="18"/>
  <c r="M6" i="18"/>
  <c r="L6" i="18"/>
  <c r="O5" i="18"/>
  <c r="N5" i="18"/>
  <c r="M5" i="18"/>
  <c r="L5" i="18"/>
  <c r="O4" i="18"/>
  <c r="N4" i="18"/>
  <c r="M4" i="18"/>
  <c r="L4" i="18"/>
  <c r="O3" i="18"/>
  <c r="N3" i="18"/>
  <c r="M3" i="18"/>
  <c r="L3" i="18"/>
  <c r="N2" i="18"/>
  <c r="M2" i="18"/>
  <c r="L2" i="18"/>
  <c r="O1" i="18"/>
  <c r="N1" i="18"/>
  <c r="M1" i="18"/>
  <c r="M77" i="14"/>
  <c r="L77" i="14"/>
  <c r="K77" i="14"/>
  <c r="J77" i="14"/>
  <c r="I77" i="14"/>
  <c r="M87" i="14"/>
  <c r="M89" i="14"/>
  <c r="M91" i="14"/>
  <c r="M85" i="14"/>
  <c r="L91" i="14"/>
  <c r="L87" i="14"/>
  <c r="L89" i="14"/>
  <c r="L85" i="14"/>
  <c r="K87" i="14"/>
  <c r="K89" i="14"/>
  <c r="K91" i="14"/>
  <c r="K85" i="14"/>
  <c r="J91" i="14"/>
  <c r="J87" i="14"/>
  <c r="J89" i="14"/>
  <c r="J85" i="14"/>
  <c r="I87" i="14"/>
  <c r="I89" i="14"/>
  <c r="I91" i="14"/>
  <c r="I85" i="14"/>
  <c r="H91" i="14"/>
  <c r="H87" i="14"/>
  <c r="H89" i="14"/>
  <c r="H85" i="14"/>
  <c r="H77" i="14"/>
  <c r="G91" i="14"/>
  <c r="G89" i="14"/>
  <c r="G87" i="14"/>
  <c r="G85" i="14"/>
  <c r="G83" i="14"/>
  <c r="F91" i="14"/>
  <c r="F87" i="14"/>
  <c r="F89" i="14"/>
  <c r="F85" i="14"/>
  <c r="F83" i="14"/>
  <c r="E85" i="14"/>
  <c r="E87" i="14"/>
  <c r="E89" i="14"/>
  <c r="E91" i="14"/>
  <c r="E81" i="14"/>
  <c r="D91" i="14"/>
  <c r="D87" i="14"/>
  <c r="D81" i="14"/>
  <c r="D89" i="14"/>
  <c r="D85" i="14"/>
  <c r="C85" i="14"/>
  <c r="C87" i="14"/>
  <c r="C89" i="14"/>
  <c r="C91" i="14"/>
  <c r="C79" i="14"/>
  <c r="B91" i="14"/>
  <c r="B87" i="14"/>
  <c r="B89" i="14"/>
  <c r="B85" i="14"/>
  <c r="B79" i="14"/>
  <c r="I46" i="14"/>
  <c r="F54" i="14"/>
  <c r="F52" i="14"/>
  <c r="G52" i="14" s="1"/>
  <c r="F50" i="14"/>
  <c r="G50" i="14" s="1"/>
  <c r="F48" i="14"/>
  <c r="G48" i="14" s="1"/>
  <c r="F44" i="14"/>
  <c r="G44" i="14" s="1"/>
  <c r="D66" i="14"/>
  <c r="E66" i="14" s="1"/>
  <c r="D64" i="14"/>
  <c r="E64" i="14" s="1"/>
  <c r="D52" i="14"/>
  <c r="E52" i="14" s="1"/>
  <c r="D50" i="14"/>
  <c r="E50" i="14" s="1"/>
  <c r="D48" i="14"/>
  <c r="D44" i="14"/>
  <c r="E44" i="14" s="1"/>
  <c r="C56" i="14"/>
  <c r="C52" i="14"/>
  <c r="C48" i="14"/>
  <c r="B60" i="14"/>
  <c r="C60" i="14" s="1"/>
  <c r="B58" i="14"/>
  <c r="C58" i="14" s="1"/>
  <c r="B56" i="14"/>
  <c r="B52" i="14"/>
  <c r="B50" i="14"/>
  <c r="C50" i="14" s="1"/>
  <c r="B48" i="14"/>
  <c r="B44" i="14"/>
  <c r="C44" i="14" s="1"/>
  <c r="N34" i="14"/>
  <c r="O34" i="14" s="1"/>
  <c r="N32" i="14"/>
  <c r="O32" i="14" s="1"/>
  <c r="N14" i="14"/>
  <c r="O14" i="14" s="1"/>
  <c r="N8" i="14"/>
  <c r="N6" i="14"/>
  <c r="O6" i="14" s="1"/>
  <c r="N12" i="14"/>
  <c r="O12" i="14" s="1"/>
  <c r="N10" i="14"/>
  <c r="O10" i="14" s="1"/>
  <c r="O8" i="14"/>
  <c r="L30" i="14"/>
  <c r="M30" i="14" s="1"/>
  <c r="L14" i="14"/>
  <c r="M14" i="14" s="1"/>
  <c r="L6" i="14"/>
  <c r="M6" i="14" s="1"/>
  <c r="L10" i="14"/>
  <c r="M10" i="14" s="1"/>
  <c r="L12" i="14"/>
  <c r="M12" i="14" s="1"/>
  <c r="J28" i="14"/>
  <c r="K28" i="14" s="1"/>
  <c r="J26" i="14"/>
  <c r="K26" i="14" s="1"/>
  <c r="J14" i="14"/>
  <c r="K14" i="14" s="1"/>
  <c r="J12" i="14"/>
  <c r="K12" i="14" s="1"/>
  <c r="J10" i="14"/>
  <c r="K10" i="14" s="1"/>
  <c r="J8" i="14"/>
  <c r="K8" i="14" s="1"/>
  <c r="J6" i="14"/>
  <c r="K6" i="14" s="1"/>
  <c r="H24" i="14"/>
  <c r="I24" i="14" s="1"/>
  <c r="H14" i="14"/>
  <c r="I14" i="14" s="1"/>
  <c r="H12" i="14"/>
  <c r="I12" i="14" s="1"/>
  <c r="H8" i="14"/>
  <c r="I8" i="14" s="1"/>
  <c r="H6" i="14"/>
  <c r="F10" i="14"/>
  <c r="G10" i="14" s="1"/>
  <c r="F22" i="14"/>
  <c r="G22" i="14" s="1"/>
  <c r="F20" i="14"/>
  <c r="F14" i="14"/>
  <c r="G14" i="14" s="1"/>
  <c r="F12" i="14"/>
  <c r="G12" i="14" s="1"/>
  <c r="F8" i="14"/>
  <c r="G8" i="14" s="1"/>
  <c r="F6" i="14"/>
  <c r="G6" i="14" s="1"/>
  <c r="C6" i="14"/>
  <c r="E16" i="14"/>
  <c r="E10" i="14"/>
  <c r="E8" i="14"/>
  <c r="E6" i="14"/>
  <c r="C14" i="14"/>
  <c r="I6" i="14"/>
  <c r="E18" i="14"/>
  <c r="E14" i="14"/>
  <c r="C12" i="14"/>
  <c r="C10" i="14"/>
  <c r="C8" i="14"/>
  <c r="O12" i="1"/>
  <c r="N12" i="1"/>
  <c r="M12" i="1"/>
  <c r="G43" i="1"/>
  <c r="E43" i="1"/>
  <c r="O1" i="1"/>
  <c r="O3" i="1"/>
  <c r="O4" i="1"/>
  <c r="O5" i="1"/>
  <c r="O6" i="1"/>
  <c r="O7" i="1"/>
  <c r="O8" i="1"/>
  <c r="O9" i="1"/>
  <c r="O10" i="1"/>
  <c r="O11" i="1"/>
  <c r="O2" i="1"/>
  <c r="N3" i="1"/>
  <c r="N4" i="1"/>
  <c r="N5" i="1"/>
  <c r="N6" i="1"/>
  <c r="N7" i="1"/>
  <c r="N8" i="1"/>
  <c r="N9" i="1"/>
  <c r="N10" i="1"/>
  <c r="N11" i="1"/>
  <c r="N2" i="1"/>
  <c r="N1" i="1"/>
  <c r="M1" i="1"/>
  <c r="M3" i="1"/>
  <c r="M4" i="1"/>
  <c r="M5" i="1"/>
  <c r="M6" i="1"/>
  <c r="M7" i="1"/>
  <c r="M8" i="1"/>
  <c r="M9" i="1"/>
  <c r="M10" i="1"/>
  <c r="M11" i="1"/>
  <c r="M2" i="1"/>
  <c r="L3" i="1"/>
  <c r="L4" i="1"/>
  <c r="L5" i="1"/>
  <c r="L6" i="1"/>
  <c r="L7" i="1"/>
  <c r="L8" i="1"/>
  <c r="L9" i="1"/>
  <c r="L10" i="1"/>
  <c r="L11" i="1"/>
  <c r="L2" i="1"/>
  <c r="G25" i="1"/>
  <c r="G27" i="1"/>
  <c r="G29" i="1"/>
  <c r="G31" i="1"/>
  <c r="G33" i="1"/>
  <c r="G35" i="1"/>
  <c r="G37" i="1"/>
  <c r="G39" i="1"/>
  <c r="G41" i="1"/>
  <c r="E27" i="1"/>
  <c r="E29" i="1"/>
  <c r="E31" i="1"/>
  <c r="E33" i="1"/>
  <c r="E35" i="1"/>
  <c r="E37" i="1"/>
  <c r="E39" i="1"/>
  <c r="E41" i="1"/>
  <c r="E25" i="1"/>
  <c r="F41" i="1"/>
  <c r="F39" i="1"/>
  <c r="F37" i="1"/>
  <c r="F35" i="1"/>
  <c r="F33" i="1"/>
  <c r="F31" i="1"/>
  <c r="F29" i="1"/>
  <c r="G23" i="1"/>
  <c r="E23" i="1"/>
  <c r="F23" i="1"/>
  <c r="D23" i="1"/>
  <c r="B23" i="1"/>
  <c r="C23" i="1" s="1"/>
  <c r="G17" i="1"/>
  <c r="E17" i="1"/>
  <c r="C17" i="1"/>
  <c r="F17" i="1"/>
  <c r="D17" i="1"/>
  <c r="B17" i="1"/>
  <c r="D16" i="1"/>
  <c r="E16" i="1"/>
  <c r="F16" i="1"/>
  <c r="G16" i="1"/>
  <c r="D14" i="1"/>
  <c r="E14" i="1"/>
  <c r="F14" i="1"/>
  <c r="G14" i="1"/>
  <c r="G9" i="1"/>
  <c r="G10" i="1"/>
  <c r="G11" i="1"/>
  <c r="G12" i="1"/>
  <c r="G8" i="1"/>
  <c r="E9" i="1"/>
  <c r="E10" i="1"/>
  <c r="E11" i="1"/>
  <c r="E12" i="1"/>
  <c r="E8" i="1"/>
  <c r="C8" i="1"/>
  <c r="F9" i="1"/>
  <c r="F10" i="1"/>
  <c r="F11" i="1"/>
  <c r="F12" i="1"/>
  <c r="F8" i="1"/>
  <c r="D9" i="1"/>
  <c r="D10" i="1"/>
  <c r="D11" i="1"/>
  <c r="D12" i="1"/>
  <c r="D8" i="1"/>
  <c r="B8" i="1"/>
  <c r="C41" i="1"/>
  <c r="C39" i="1"/>
  <c r="B39" i="1"/>
  <c r="C43" i="1"/>
  <c r="C37" i="1"/>
  <c r="C33" i="1"/>
  <c r="C31" i="1"/>
  <c r="B35" i="1"/>
  <c r="C35" i="1" s="1"/>
  <c r="C29" i="1"/>
  <c r="C27" i="1"/>
  <c r="C25" i="1"/>
  <c r="C9" i="1"/>
  <c r="C10" i="1"/>
  <c r="C11" i="1"/>
  <c r="C12" i="1"/>
  <c r="C14" i="1"/>
  <c r="C16" i="1" s="1"/>
  <c r="B9" i="1"/>
  <c r="B10" i="1"/>
  <c r="B11" i="1"/>
  <c r="B12" i="1"/>
  <c r="B14" i="1" l="1"/>
  <c r="B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tc={0DFE18D7-A8D4-43E6-B8C1-4CDC675B8E06}</author>
    <author>tc={AA138A72-1522-4C39-AF7F-4F27EF4534CD}</author>
    <author>tc={A4161F8D-51E3-448A-AC97-439D5BEF364B}</author>
  </authors>
  <commentList>
    <comment ref="A1" authorId="0" shapeId="0" xr:uid="{0DFE18D7-A8D4-43E6-B8C1-4CDC675B8E06}">
      <text>
        <t>[Threaded comment]
Your version of Excel allows you to read this threaded comment; however, any edits to it will get removed if the file is opened in a newer version of Excel. Learn more: https://go.microsoft.com/fwlink/?linkid=870924
Comment:
    Deze resultaten zijn nog aan te passen voor omzetting naar euro, maar gewoon is kijken wat we al hebben</t>
      </text>
    </comment>
    <comment ref="B23" authorId="1" shapeId="0" xr:uid="{AA138A72-1522-4C39-AF7F-4F27EF4534CD}">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H23" authorId="2" shapeId="0" xr:uid="{A4161F8D-51E3-448A-AC97-439D5BEF364B}">
      <text>
        <t>[Threaded comment]
Your version of Excel allows you to read this threaded comment; however, any edits to it will get removed if the file is opened in a newer version of Excel. Learn more: https://go.microsoft.com/fwlink/?linkid=870924
Comment:
    Eig dit maart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tc={7D9F1BC3-E00E-4F12-80A2-016BBE34097D}</author>
    <author>tc={7E60C018-9904-494C-AADE-E09BF090B879}</author>
    <author>tc={7735AC4B-EA55-4DD0-A634-7EE7372BD8E5}</author>
  </authors>
  <commentList>
    <comment ref="A1" authorId="0" shapeId="0" xr:uid="{7D9F1BC3-E00E-4F12-80A2-016BBE34097D}">
      <text>
        <t>[Threaded comment]
Your version of Excel allows you to read this threaded comment; however, any edits to it will get removed if the file is opened in a newer version of Excel. Learn more: https://go.microsoft.com/fwlink/?linkid=870924
Comment:
    Deze resultaten zijn nog aan te passen voor omzetting naar euro, maar gewoon is kijken wat we al hebben</t>
      </text>
    </comment>
    <comment ref="B23" authorId="1" shapeId="0" xr:uid="{7E60C018-9904-494C-AADE-E09BF090B879}">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H23" authorId="2" shapeId="0" xr:uid="{7735AC4B-EA55-4DD0-A634-7EE7372BD8E5}">
      <text>
        <t>[Threaded comment]
Your version of Excel allows you to read this threaded comment; however, any edits to it will get removed if the file is opened in a newer version of Excel. Learn more: https://go.microsoft.com/fwlink/?linkid=870924
Comment:
    Eig dit maart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tc={AFC98E46-BD00-4743-BD42-4358C007F2DF}</author>
    <author>tc={663B6F3C-9D37-44F3-BAA9-7C264C8B454D}</author>
    <author>tc={030919C8-95DB-48CB-A144-97DC6C7C8969}</author>
    <author>tc={9A4DDB8E-8F63-465F-A8D8-F17E015BDF1E}</author>
    <author>tc={B90246E6-18B7-4441-8099-0AB14E6680C2}</author>
    <author>tc={F6A660FE-2A73-45AF-ACC8-4382CF5FACE0}</author>
    <author>tc={FAABF5FD-BE71-42A8-9021-6481C989EEFD}</author>
    <author>tc={428FDE20-DFB0-4619-8C72-CE4340FFA2FC}</author>
    <author>tc={AFFD938F-D5EE-420A-B017-DB5D09E33214}</author>
    <author>tc={CE15FEF1-56DB-46A4-BD02-F9FE01DDA1AB}</author>
    <author>tc={A7DE984E-0A40-4F63-AF28-7AB3A51E15FC}</author>
    <author>tc={BCBFEC68-5C67-44F7-ADBC-388CDDD4B084}</author>
    <author>tc={DDCCDA25-1AEF-4CA9-9CD6-53CF99317797}</author>
    <author>tc={EEFBBB7A-34D1-4288-BDC5-D09AE602DB85}</author>
    <author>tc={208BDF45-43B9-4AC2-A2C0-02CB27099C88}</author>
    <author>tc={9BC17521-C887-4F6A-A7C7-BE417DB962EE}</author>
    <author>tc={0008999C-EE15-4CFC-ABDF-8DD80E056BAA}</author>
    <author>tc={FDB8FED0-EB0E-43DD-BF14-0D3F58888704}</author>
    <author>tc={7037DF97-1EB3-4BA9-B982-E921B8D0887F}</author>
    <author>tc={EE0AECF4-4177-45B4-8DA6-4D9B87A3E822}</author>
  </authors>
  <commentList>
    <comment ref="B6" authorId="0" shapeId="0" xr:uid="{AFC98E46-BD00-4743-BD42-4358C007F2DF}">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H6" authorId="1" shapeId="0" xr:uid="{663B6F3C-9D37-44F3-BAA9-7C264C8B454D}">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J6" authorId="2" shapeId="0" xr:uid="{030919C8-95DB-48CB-A144-97DC6C7C8969}">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L6" authorId="3" shapeId="0" xr:uid="{9A4DDB8E-8F63-465F-A8D8-F17E015BDF1E}">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N6" authorId="4" shapeId="0" xr:uid="{B90246E6-18B7-4441-8099-0AB14E6680C2}">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F20" authorId="5" shapeId="0" xr:uid="{F6A660FE-2A73-45AF-ACC8-4382CF5FACE0}">
      <text>
        <t>[Threaded comment]
Your version of Excel allows you to read this threaded comment; however, any edits to it will get removed if the file is opened in a newer version of Excel. Learn more: https://go.microsoft.com/fwlink/?linkid=870924
Comment:
    Kan niet</t>
      </text>
    </comment>
    <comment ref="J28" authorId="6" shapeId="0" xr:uid="{FAABF5FD-BE71-42A8-9021-6481C989EEFD}">
      <text>
        <t>[Threaded comment]
Your version of Excel allows you to read this threaded comment; however, any edits to it will get removed if the file is opened in a newer version of Excel. Learn more: https://go.microsoft.com/fwlink/?linkid=870924
Comment:
    Kan niet</t>
      </text>
    </comment>
    <comment ref="L30" authorId="7" shapeId="0" xr:uid="{428FDE20-DFB0-4619-8C72-CE4340FFA2FC}">
      <text>
        <t xml:space="preserve">[Threaded comment]
Your version of Excel allows you to read this threaded comment; however, any edits to it will get removed if the file is opened in a newer version of Excel. Learn more: https://go.microsoft.com/fwlink/?linkid=870924
Comment:
    Kan niet
Reply:
    These small numbers indicate that the price impact per unit of volume is minimal, which is typical for highly liquid stocks with high trading volumes. The Amihud ratio is designed to reflect the price impact of trading; hence, a smaller ratio signifies lower price impact (i.e., higher liquidity). </t>
      </text>
    </comment>
    <comment ref="B44" authorId="8" shapeId="0" xr:uid="{AFFD938F-D5EE-420A-B017-DB5D09E33214}">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H44" authorId="9" shapeId="0" xr:uid="{CE15FEF1-56DB-46A4-BD02-F9FE01DDA1AB}">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J44" authorId="10" shapeId="0" xr:uid="{A7DE984E-0A40-4F63-AF28-7AB3A51E15FC}">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L44" authorId="11" shapeId="0" xr:uid="{BCBFEC68-5C67-44F7-ADBC-388CDDD4B084}">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N44" authorId="12" shapeId="0" xr:uid="{DDCCDA25-1AEF-4CA9-9CD6-53CF99317797}">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F58" authorId="13" shapeId="0" xr:uid="{EEFBBB7A-34D1-4288-BDC5-D09AE602DB85}">
      <text>
        <t>[Threaded comment]
Your version of Excel allows you to read this threaded comment; however, any edits to it will get removed if the file is opened in a newer version of Excel. Learn more: https://go.microsoft.com/fwlink/?linkid=870924
Comment:
    Kan niet</t>
      </text>
    </comment>
    <comment ref="J66" authorId="14" shapeId="0" xr:uid="{208BDF45-43B9-4AC2-A2C0-02CB27099C88}">
      <text>
        <t>[Threaded comment]
Your version of Excel allows you to read this threaded comment; however, any edits to it will get removed if the file is opened in a newer version of Excel. Learn more: https://go.microsoft.com/fwlink/?linkid=870924
Comment:
    Kan niet</t>
      </text>
    </comment>
    <comment ref="B77" authorId="15" shapeId="0" xr:uid="{9BC17521-C887-4F6A-A7C7-BE417DB962EE}">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H77" authorId="16" shapeId="0" xr:uid="{0008999C-EE15-4CFC-ABDF-8DD80E056BAA}">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J77" authorId="17" shapeId="0" xr:uid="{FDB8FED0-EB0E-43DD-BF14-0D3F58888704}">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L77" authorId="18" shapeId="0" xr:uid="{7037DF97-1EB3-4BA9-B982-E921B8D0887F}">
      <text>
        <t>[Threaded comment]
Your version of Excel allows you to read this threaded comment; however, any edits to it will get removed if the file is opened in a newer version of Excel. Learn more: https://go.microsoft.com/fwlink/?linkid=870924
Comment:
    Resultaat van dummy</t>
      </text>
    </comment>
    <comment ref="F91" authorId="19" shapeId="0" xr:uid="{EE0AECF4-4177-45B4-8DA6-4D9B87A3E822}">
      <text>
        <t>[Threaded comment]
Your version of Excel allows you to read this threaded comment; however, any edits to it will get removed if the file is opened in a newer version of Excel. Learn more: https://go.microsoft.com/fwlink/?linkid=870924
Comment:
    Kan niet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B32CFE-5297-47A2-8078-48BF3FB20B10}" keepAlive="1" name="Query - UnivariateDistributions" description="Connection to the 'UnivariateDistributions' query in the workbook." type="5" refreshedVersion="0" background="1">
    <dbPr connection="Provider=Microsoft.Mashup.OleDb.1;Data Source=$Workbook$;Location=UnivariateDistributions;Extended Properties=&quot;&quot;" command="SELECT * FROM [UnivariateDistributions]"/>
  </connection>
  <connection id="2" xr16:uid="{F84DE239-2BA6-4CF1-8BD3-00FE180E7090}" keepAlive="1" name="Query - UnivariateDistributions (2)" description="Connection to the 'UnivariateDistributions (2)' query in the workbook." type="5" refreshedVersion="8" background="1" saveData="1">
    <dbPr connection="Provider=Microsoft.Mashup.OleDb.1;Data Source=$Workbook$;Location=&quot;UnivariateDistributions (2)&quot;;Extended Properties=&quot;&quot;" command="SELECT * FROM [UnivariateDistributions (2)]"/>
  </connection>
</connections>
</file>

<file path=xl/sharedStrings.xml><?xml version="1.0" encoding="utf-8"?>
<sst xmlns="http://schemas.openxmlformats.org/spreadsheetml/2006/main" count="866" uniqueCount="413">
  <si>
    <t>Tabel 12</t>
  </si>
  <si>
    <t>Panel A: Sort by Comove, Controlling for Beta</t>
  </si>
  <si>
    <t xml:space="preserve">Raw </t>
  </si>
  <si>
    <t>Carhartt Alpha</t>
  </si>
  <si>
    <t>High-Low</t>
  </si>
  <si>
    <t>Annualized</t>
  </si>
  <si>
    <t>Alpha</t>
  </si>
  <si>
    <t>Annualized Alpha</t>
  </si>
  <si>
    <t>Available</t>
  </si>
  <si>
    <t>Raw</t>
  </si>
  <si>
    <t xml:space="preserve">CAPM </t>
  </si>
  <si>
    <t>3F</t>
  </si>
  <si>
    <t>4F</t>
  </si>
  <si>
    <t>4F + QMJ</t>
  </si>
  <si>
    <t>4F + BAB</t>
  </si>
  <si>
    <t>5F</t>
  </si>
  <si>
    <t>4F + Carry</t>
  </si>
  <si>
    <t>4F + Seasonality</t>
  </si>
  <si>
    <t>Jan 2002 - Dec 2016</t>
  </si>
  <si>
    <t xml:space="preserve">Panel B: Other Factor Models </t>
  </si>
  <si>
    <t>Low comove</t>
  </si>
  <si>
    <t xml:space="preserve">High comove </t>
  </si>
  <si>
    <t>Jan 2002 - Feb 2024</t>
  </si>
  <si>
    <t>Comove rank</t>
  </si>
  <si>
    <t>Raw Return</t>
  </si>
  <si>
    <t>index</t>
  </si>
  <si>
    <t>Coefficient</t>
  </si>
  <si>
    <t>P&gt;|z|</t>
  </si>
  <si>
    <t>Significance</t>
  </si>
  <si>
    <t>const</t>
  </si>
  <si>
    <t>HighestComove_Dummy</t>
  </si>
  <si>
    <t>*</t>
  </si>
  <si>
    <t>Mkt-RF</t>
  </si>
  <si>
    <t>SMB</t>
  </si>
  <si>
    <t>**</t>
  </si>
  <si>
    <t>HML</t>
  </si>
  <si>
    <t>UMD</t>
  </si>
  <si>
    <t>P-value</t>
  </si>
  <si>
    <t>Model</t>
  </si>
  <si>
    <t>HML_Devil</t>
  </si>
  <si>
    <t>UMD_Trend</t>
  </si>
  <si>
    <t>BAB</t>
  </si>
  <si>
    <t>Carry</t>
  </si>
  <si>
    <t>QMJ</t>
  </si>
  <si>
    <t>Seasonal</t>
  </si>
  <si>
    <t>RMW</t>
  </si>
  <si>
    <t>CMA</t>
  </si>
  <si>
    <t>CAPM</t>
  </si>
  <si>
    <t>0.005637583848332407***</t>
  </si>
  <si>
    <t>-0.09920941012400361</t>
  </si>
  <si>
    <t>FF3</t>
  </si>
  <si>
    <t>0.006226431551224773***</t>
  </si>
  <si>
    <t>-0.07254913686086907</t>
  </si>
  <si>
    <t>-0.258111311065272**</t>
  </si>
  <si>
    <t>-0.17205844857712344</t>
  </si>
  <si>
    <t>FF4</t>
  </si>
  <si>
    <t>0.004509919024434968*</t>
  </si>
  <si>
    <t>-0.025507056647174876</t>
  </si>
  <si>
    <t>-0.27406292521695996**</t>
  </si>
  <si>
    <t>-0.1277254220017788</t>
  </si>
  <si>
    <t>FF4 + BAB</t>
  </si>
  <si>
    <t>0.0045178012896241295*</t>
  </si>
  <si>
    <t>-0.025110989411106125</t>
  </si>
  <si>
    <t>-0.2717526842164394**</t>
  </si>
  <si>
    <t>-0.127178547040874</t>
  </si>
  <si>
    <t>-0.0035863598741034527</t>
  </si>
  <si>
    <t>FF4 + Carry</t>
  </si>
  <si>
    <t>0.005725135575659969*</t>
  </si>
  <si>
    <t>0.03422152331373818</t>
  </si>
  <si>
    <t>-0.19401084567343474</t>
  </si>
  <si>
    <t>-0.13270287260304897</t>
  </si>
  <si>
    <t>0.06959796747236657</t>
  </si>
  <si>
    <t>0.004181712027921912</t>
  </si>
  <si>
    <t>FF4 + QMJ</t>
  </si>
  <si>
    <t>0.0070853432239675294**</t>
  </si>
  <si>
    <t>-0.11635615271169908**</t>
  </si>
  <si>
    <t>-0.3563149941896904***</t>
  </si>
  <si>
    <t>-0.3083624341712669**</t>
  </si>
  <si>
    <t>-0.5288896593707954***</t>
  </si>
  <si>
    <t>FF4 + Seasonal</t>
  </si>
  <si>
    <t>0.00645135703177082**</t>
  </si>
  <si>
    <t>0.027896847052130753</t>
  </si>
  <si>
    <t>-0.16809173600840122</t>
  </si>
  <si>
    <t>-0.16466527614379786</t>
  </si>
  <si>
    <t>0.05160251367062284</t>
  </si>
  <si>
    <t>-0.1920878572331883*</t>
  </si>
  <si>
    <t>FF4 + UMD_Trend</t>
  </si>
  <si>
    <t>0.005752132220073506*</t>
  </si>
  <si>
    <t>0.034608078670996106</t>
  </si>
  <si>
    <t>-0.19432851368224777</t>
  </si>
  <si>
    <t>-0.13007844392143741</t>
  </si>
  <si>
    <t>0.07346491607887437</t>
  </si>
  <si>
    <t>-0.00847260834752301</t>
  </si>
  <si>
    <t>FF4 with HML_Devil</t>
  </si>
  <si>
    <t>0.007492057019420233**</t>
  </si>
  <si>
    <t>0.037943819606811334</t>
  </si>
  <si>
    <t>-0.18654291214820198</t>
  </si>
  <si>
    <t>-0.35092933261775583*</t>
  </si>
  <si>
    <t>-0.06725574543519278</t>
  </si>
  <si>
    <t>FF5</t>
  </si>
  <si>
    <t>0.008821454781260134***</t>
  </si>
  <si>
    <t>-0.11059116786163155**</t>
  </si>
  <si>
    <t>-0.22298148598231649**</t>
  </si>
  <si>
    <t>-0.398353872200554**</t>
  </si>
  <si>
    <t>-0.6286958186824816***</t>
  </si>
  <si>
    <t>-0.0832828227073961</t>
  </si>
  <si>
    <t>0.0050</t>
  </si>
  <si>
    <t>***</t>
  </si>
  <si>
    <t>4F + UMD_Trend</t>
  </si>
  <si>
    <t>4F with HML_Devil</t>
  </si>
  <si>
    <t>Jan 2002 - Dec 2012</t>
  </si>
  <si>
    <t>Jan 2013 - Feb 2024</t>
  </si>
  <si>
    <t>-0.024133771642737382</t>
  </si>
  <si>
    <t>0.012816537803592638</t>
  </si>
  <si>
    <t>-0.16565546735524392</t>
  </si>
  <si>
    <t>-0.2433726694399919</t>
  </si>
  <si>
    <t>0.03724608042857761</t>
  </si>
  <si>
    <t>-0.17651576274134673</t>
  </si>
  <si>
    <t>-0.23108665469938203</t>
  </si>
  <si>
    <t>0.047191550140836605</t>
  </si>
  <si>
    <t>-0.13351303158885902</t>
  </si>
  <si>
    <t>-0.22803418246578802</t>
  </si>
  <si>
    <t>-0.053706437717742014</t>
  </si>
  <si>
    <t>0.049075709407805056</t>
  </si>
  <si>
    <t>-0.1571353293176006</t>
  </si>
  <si>
    <t>-0.2480303389092814</t>
  </si>
  <si>
    <t>0.0606514416909556</t>
  </si>
  <si>
    <t>-0.1810875365397901</t>
  </si>
  <si>
    <t>-0.10534362343963398</t>
  </si>
  <si>
    <t>-0.230508276622639</t>
  </si>
  <si>
    <t>-0.48417958183932486*</t>
  </si>
  <si>
    <t>-0.7037131902035909***</t>
  </si>
  <si>
    <t>0.021033460168263574</t>
  </si>
  <si>
    <t>-0.12212794198663975</t>
  </si>
  <si>
    <t>-0.28800326821971345</t>
  </si>
  <si>
    <t>0.03130128294262669</t>
  </si>
  <si>
    <t>-0.31907808293350853**</t>
  </si>
  <si>
    <t>0.03678742461738338</t>
  </si>
  <si>
    <t>-0.1739815196965619</t>
  </si>
  <si>
    <t>-0.2231157635069084</t>
  </si>
  <si>
    <t>0.0779051877330319</t>
  </si>
  <si>
    <t>-0.029756826250311428</t>
  </si>
  <si>
    <t>0.034543851990344626</t>
  </si>
  <si>
    <t>-0.1621577445065372</t>
  </si>
  <si>
    <t>-0.5449268065025865**</t>
  </si>
  <si>
    <t>-0.14536337200307675</t>
  </si>
  <si>
    <t>-0.037083582760106884</t>
  </si>
  <si>
    <t>-0.0844950536517628</t>
  </si>
  <si>
    <t>-0.48422161654555107</t>
  </si>
  <si>
    <t>-0.6307838394010526**</t>
  </si>
  <si>
    <t>0.04412085490341533</t>
  </si>
  <si>
    <t>-0.21752847810072898**</t>
  </si>
  <si>
    <t>-0.17939828603458108**</t>
  </si>
  <si>
    <t>-0.3163354277949596**</t>
  </si>
  <si>
    <t>-0.17463798350119025</t>
  </si>
  <si>
    <t>-0.06501343000587606</t>
  </si>
  <si>
    <t>-0.3064211288596772**</t>
  </si>
  <si>
    <t>-0.027656247472234004</t>
  </si>
  <si>
    <t>-0.06502547919247179</t>
  </si>
  <si>
    <t>-0.3065945712514147**</t>
  </si>
  <si>
    <t>-0.02771126611856027</t>
  </si>
  <si>
    <t>0.0003616922379824552</t>
  </si>
  <si>
    <t>0.10437723421837511</t>
  </si>
  <si>
    <t>-0.0571170254830556</t>
  </si>
  <si>
    <t>-0.027838960148334924</t>
  </si>
  <si>
    <t>0.14351469379344317</t>
  </si>
  <si>
    <t>0.2912901343884106***</t>
  </si>
  <si>
    <t>-0.07210718159806423</t>
  </si>
  <si>
    <t>-0.32593657338885274**</t>
  </si>
  <si>
    <t>-0.04973185470240474</t>
  </si>
  <si>
    <t>-0.05823987707922734</t>
  </si>
  <si>
    <t>0.08138320744368427</t>
  </si>
  <si>
    <t>-0.18596896100886529</t>
  </si>
  <si>
    <t>0.07466274144171303</t>
  </si>
  <si>
    <t>0.14269056016837062</t>
  </si>
  <si>
    <t>0.037409440842618796</t>
  </si>
  <si>
    <t>0.09229052973408773</t>
  </si>
  <si>
    <t>-0.1980694251014119</t>
  </si>
  <si>
    <t>0.06988746480882768</t>
  </si>
  <si>
    <t>0.14575341141065923</t>
  </si>
  <si>
    <t>-0.027226032659090876</t>
  </si>
  <si>
    <t>0.09659753068645252</t>
  </si>
  <si>
    <t>-0.17744577720258356</t>
  </si>
  <si>
    <t>-0.020422315855620807</t>
  </si>
  <si>
    <t>0.09788481204780819</t>
  </si>
  <si>
    <t>-0.20694053897144188***</t>
  </si>
  <si>
    <t>-0.4358714503121408***</t>
  </si>
  <si>
    <t>-0.25876685861616733</t>
  </si>
  <si>
    <t>-0.5920884042133656***</t>
  </si>
  <si>
    <t>-0.4332677568131681*</t>
  </si>
  <si>
    <t>0,0064276727323281935**</t>
  </si>
  <si>
    <t>0,007524288399367922***</t>
  </si>
  <si>
    <t>0,006703609853138445*</t>
  </si>
  <si>
    <t>0,006832708302488626*</t>
  </si>
  <si>
    <t>0,007824941062219402**</t>
  </si>
  <si>
    <t>0,010387569462998516***</t>
  </si>
  <si>
    <t>0,008424561384980414**</t>
  </si>
  <si>
    <t>0,006699322943681238*</t>
  </si>
  <si>
    <t>0,009826239433777247***</t>
  </si>
  <si>
    <t>0,010596939992727775***</t>
  </si>
  <si>
    <t>0,005051602110123174*</t>
  </si>
  <si>
    <t>0,0050383865985210155**</t>
  </si>
  <si>
    <t>0,0065053253522061785***</t>
  </si>
  <si>
    <t>Panel A: Other Measurements of Volatility and Dependency</t>
  </si>
  <si>
    <t>4F Baseline</t>
  </si>
  <si>
    <t>Assymetric Risk (Downside Upside)</t>
  </si>
  <si>
    <t>Assymetric Risk</t>
  </si>
  <si>
    <t>Downside &amp;  Upside Beta</t>
  </si>
  <si>
    <t>Upper &amp; Lower Tail Dependency</t>
  </si>
  <si>
    <t>Idiosyncratic Risk</t>
  </si>
  <si>
    <t>Idiosyncratic Volatility</t>
  </si>
  <si>
    <t>Min &amp; Max Return</t>
  </si>
  <si>
    <t>Illiquidity</t>
  </si>
  <si>
    <t>Trading Activity</t>
  </si>
  <si>
    <t>Comove</t>
  </si>
  <si>
    <t>Beta</t>
  </si>
  <si>
    <t>Size</t>
  </si>
  <si>
    <t>Value</t>
  </si>
  <si>
    <t>Momentum</t>
  </si>
  <si>
    <t>Beta_Downside</t>
  </si>
  <si>
    <t>Beta_Upside</t>
  </si>
  <si>
    <t>UTD</t>
  </si>
  <si>
    <t>LTD</t>
  </si>
  <si>
    <t>IdioVol</t>
  </si>
  <si>
    <t>Min</t>
  </si>
  <si>
    <t>Max</t>
  </si>
  <si>
    <t>Ln(Turnover)</t>
  </si>
  <si>
    <t>Diff in Ln(Turnover)</t>
  </si>
  <si>
    <t>Avg R^2</t>
  </si>
  <si>
    <t>Avg N</t>
  </si>
  <si>
    <t>T</t>
  </si>
  <si>
    <t>Upside Beta</t>
  </si>
  <si>
    <t>Downside beta</t>
  </si>
  <si>
    <t>Avg. R squared</t>
  </si>
  <si>
    <t>Avg. N</t>
  </si>
  <si>
    <t>Assymetric Risk (Tail)</t>
  </si>
  <si>
    <t>Idiosyncratic Risk (IdioVol)</t>
  </si>
  <si>
    <t>Idiosyncratic Risk (Min Max)</t>
  </si>
  <si>
    <t>0.5893877193260687***</t>
  </si>
  <si>
    <t>0.7201156310813677***</t>
  </si>
  <si>
    <t>0.6209362881149866***</t>
  </si>
  <si>
    <t>0.5839292753058489***</t>
  </si>
  <si>
    <t>0.46430685244779524**</t>
  </si>
  <si>
    <t>0.8373694351727425***</t>
  </si>
  <si>
    <t>0.5918229604304672***</t>
  </si>
  <si>
    <t>-0.25774864275443654***</t>
  </si>
  <si>
    <t>0.2677728846811278*</t>
  </si>
  <si>
    <t>-0.19606743659921155**</t>
  </si>
  <si>
    <t>-0.2039680601690246***</t>
  </si>
  <si>
    <t>-0.15072123114996616***</t>
  </si>
  <si>
    <t>-0.2673331091702174***</t>
  </si>
  <si>
    <t>-0.2528754402324649***</t>
  </si>
  <si>
    <t>0.14790236833619458***</t>
  </si>
  <si>
    <t>0.1674176831893462***</t>
  </si>
  <si>
    <t>0.17486172547158893***</t>
  </si>
  <si>
    <t>0.1357875954919079***</t>
  </si>
  <si>
    <t>0.1438306753928879***</t>
  </si>
  <si>
    <t>0.18149651935988934***</t>
  </si>
  <si>
    <t>0.14312693503483223***</t>
  </si>
  <si>
    <t>-0.06275748346585466**</t>
  </si>
  <si>
    <t>-0.062080455568872005**</t>
  </si>
  <si>
    <t>-0.06682088702619665**</t>
  </si>
  <si>
    <t>-0.055355203449392355**</t>
  </si>
  <si>
    <t>-0.06097487442396397**</t>
  </si>
  <si>
    <t>-0.03959143749716567</t>
  </si>
  <si>
    <t>-0.08046988148488425***</t>
  </si>
  <si>
    <t>0.6931822080436345***</t>
  </si>
  <si>
    <t>0.7000207523858699***</t>
  </si>
  <si>
    <t>0.7466307520151951***</t>
  </si>
  <si>
    <t>0.7544771424073038***</t>
  </si>
  <si>
    <t>0.7348883687143999***</t>
  </si>
  <si>
    <t>0.6147544112102223***</t>
  </si>
  <si>
    <t>0.7294071072976002***</t>
  </si>
  <si>
    <t>-0.2923273091035477*</t>
  </si>
  <si>
    <t>-0.3207367871907344***</t>
  </si>
  <si>
    <t>-4.44339400414481***</t>
  </si>
  <si>
    <t>3.323079666319626***</t>
  </si>
  <si>
    <t>-0.13182820538927312***</t>
  </si>
  <si>
    <t>-2.548288958687711*</t>
  </si>
  <si>
    <t>-1.8388582688851094</t>
  </si>
  <si>
    <t>48224.2746145164***</t>
  </si>
  <si>
    <t>-0.006006846240838876</t>
  </si>
  <si>
    <t>0.08155478291322465</t>
  </si>
  <si>
    <t>0.1140</t>
  </si>
  <si>
    <t>0.1271</t>
  </si>
  <si>
    <t>0.1256</t>
  </si>
  <si>
    <t>0.1249</t>
  </si>
  <si>
    <t>0.1283</t>
  </si>
  <si>
    <t>0.1215</t>
  </si>
  <si>
    <t>0.1233</t>
  </si>
  <si>
    <t>547.79</t>
  </si>
  <si>
    <t>488.09</t>
  </si>
  <si>
    <t>547.67</t>
  </si>
  <si>
    <t>266</t>
  </si>
  <si>
    <t>Panel B: Other Benchmarks, Fixed Effects and Comove with Skipped Month</t>
  </si>
  <si>
    <t>Comove with Skipped Month</t>
  </si>
  <si>
    <t>Momentum_ST</t>
  </si>
  <si>
    <t>Momentum_MT</t>
  </si>
  <si>
    <t>Momentum_LT</t>
  </si>
  <si>
    <t>Fixed Effects</t>
  </si>
  <si>
    <t>Profitability</t>
  </si>
  <si>
    <t>Investment</t>
  </si>
  <si>
    <t>4F with Different Momentum Measures</t>
  </si>
  <si>
    <t>4F with momentums</t>
  </si>
  <si>
    <t>4F with Comove skipped month</t>
  </si>
  <si>
    <t>Comove_skippedMonth</t>
  </si>
  <si>
    <t>FixedEffects</t>
  </si>
  <si>
    <t>229</t>
  </si>
  <si>
    <t>1,5308811062114058***</t>
  </si>
  <si>
    <t>0,005409690779400153***</t>
  </si>
  <si>
    <t>-0,15126793873428204**</t>
  </si>
  <si>
    <t>-0,30611852123147415***</t>
  </si>
  <si>
    <t>-0,2559709169586668***</t>
  </si>
  <si>
    <t>0,13203168108205796***</t>
  </si>
  <si>
    <t>0,21195504986584154***</t>
  </si>
  <si>
    <t>0,27619444561210726***</t>
  </si>
  <si>
    <t>0,1485528590540068***</t>
  </si>
  <si>
    <t>-0,07376318831328098***</t>
  </si>
  <si>
    <t>-0,05714430152520159**</t>
  </si>
  <si>
    <t>-0,12580192583882227***</t>
  </si>
  <si>
    <t>-0,05985560377417828**</t>
  </si>
  <si>
    <t>0,34521531052634896***</t>
  </si>
  <si>
    <t>0,5014283569454979***</t>
  </si>
  <si>
    <t>-1,741624257213583***</t>
  </si>
  <si>
    <t>0,3096079340537258***</t>
  </si>
  <si>
    <t>0,18983882528171234***</t>
  </si>
  <si>
    <t>-4,299786295702395e-08***</t>
  </si>
  <si>
    <t>0,6471667063635708***</t>
  </si>
  <si>
    <t>Various</t>
  </si>
  <si>
    <t>4F with Comove Monthly</t>
  </si>
  <si>
    <t>4F with Comove Daily</t>
  </si>
  <si>
    <t>4F with EUR50</t>
  </si>
  <si>
    <t>4F with Excluding Small size, price &amp; LN</t>
  </si>
  <si>
    <t>4F with Sample Split: Jan 2002 - Dec 2012</t>
  </si>
  <si>
    <t>4F with Sample Split: Jan 2013 - Feb 2023</t>
  </si>
  <si>
    <t>1.4784710204219034***</t>
  </si>
  <si>
    <t>-0.28642568175341</t>
  </si>
  <si>
    <t>Comove_Monthly</t>
  </si>
  <si>
    <t>-0.004152764548492031*</t>
  </si>
  <si>
    <t>Comove_Daily</t>
  </si>
  <si>
    <t>0.0017728261405673773</t>
  </si>
  <si>
    <t>Comove_EUR50</t>
  </si>
  <si>
    <t>0.006942618487093682***</t>
  </si>
  <si>
    <t>-0.26450034126545435***</t>
  </si>
  <si>
    <t>-0.24437438448443147***</t>
  </si>
  <si>
    <t>-0.2577486427544372***</t>
  </si>
  <si>
    <t>-0.461202550682973***</t>
  </si>
  <si>
    <t>-0.0573313603173709</t>
  </si>
  <si>
    <t>0.152262036108684***</t>
  </si>
  <si>
    <t>0.16216990958299043***</t>
  </si>
  <si>
    <t>0.1019059902642273***</t>
  </si>
  <si>
    <t>0.19321223330261006***</t>
  </si>
  <si>
    <t>-0.06686020758568717**</t>
  </si>
  <si>
    <t>-0.06873986543549686**</t>
  </si>
  <si>
    <t>-0.11261975618155**</t>
  </si>
  <si>
    <t>-0.013639423775766676</t>
  </si>
  <si>
    <t>0.5464828881812959***</t>
  </si>
  <si>
    <t>0.6258495514203214***</t>
  </si>
  <si>
    <t>0.6931822080436326***</t>
  </si>
  <si>
    <t>0.3068623674902***</t>
  </si>
  <si>
    <t>1.0737360808276148***</t>
  </si>
  <si>
    <t>0.1146</t>
  </si>
  <si>
    <t>0.1161</t>
  </si>
  <si>
    <t>0.1141</t>
  </si>
  <si>
    <t>547.36</t>
  </si>
  <si>
    <t>514.53</t>
  </si>
  <si>
    <t>580.55</t>
  </si>
  <si>
    <t>132</t>
  </si>
  <si>
    <t>134</t>
  </si>
  <si>
    <t>Panel C: Varying the Comove Measure and Sample</t>
  </si>
  <si>
    <t>Comove Monthly</t>
  </si>
  <si>
    <t>Comove Daily</t>
  </si>
  <si>
    <t>Comove EUR50</t>
  </si>
  <si>
    <t xml:space="preserve"> </t>
  </si>
  <si>
    <t>10000 bootstraps</t>
  </si>
  <si>
    <t>Mean</t>
  </si>
  <si>
    <t>Median</t>
  </si>
  <si>
    <t>Std. Dev.</t>
  </si>
  <si>
    <t>p10</t>
  </si>
  <si>
    <t>p90</t>
  </si>
  <si>
    <t>N</t>
  </si>
  <si>
    <t>Return</t>
  </si>
  <si>
    <t>159606</t>
  </si>
  <si>
    <t>159579</t>
  </si>
  <si>
    <t>157586</t>
  </si>
  <si>
    <t>147372</t>
  </si>
  <si>
    <t>158016</t>
  </si>
  <si>
    <t>159571</t>
  </si>
  <si>
    <t>159569</t>
  </si>
  <si>
    <t>159568</t>
  </si>
  <si>
    <t>159529</t>
  </si>
  <si>
    <t>159574</t>
  </si>
  <si>
    <t>AMX</t>
  </si>
  <si>
    <t>BEL20</t>
  </si>
  <si>
    <t>CAC40</t>
  </si>
  <si>
    <t>DAX</t>
  </si>
  <si>
    <t>OMX</t>
  </si>
  <si>
    <t>SMI</t>
  </si>
  <si>
    <t>Region</t>
  </si>
  <si>
    <t>Netherlands</t>
  </si>
  <si>
    <t>Belgium</t>
  </si>
  <si>
    <t>France</t>
  </si>
  <si>
    <t>Germany</t>
  </si>
  <si>
    <t>Sweden</t>
  </si>
  <si>
    <t>Switzerland</t>
  </si>
  <si>
    <t>Period Analyzed</t>
  </si>
  <si>
    <t xml:space="preserve">July 2002 </t>
  </si>
  <si>
    <t xml:space="preserve">July 2000 </t>
  </si>
  <si>
    <t>July 2000</t>
  </si>
  <si>
    <t>July 2004</t>
  </si>
  <si>
    <t>July 2001</t>
  </si>
  <si>
    <t>Monthly N</t>
  </si>
  <si>
    <t>4F with estimated market premium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</si>
</sst>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0000"/>
  </numFmts>
  <fonts count="15"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name val="Calibri"/>
    </font>
    <font>
      <sz val="11"/>
      <name val="Calibri"/>
      <family val="2"/>
      <scheme val="minor"/>
    </font>
    <font>
      <b/>
      <sz val="8"/>
      <color rgb="FF002E65"/>
      <name val="Calibri"/>
      <family val="2"/>
      <scheme val="minor"/>
    </font>
    <font>
      <sz val="8"/>
      <color rgb="FF000000"/>
      <name val="Calibri"/>
      <family val="2"/>
      <scheme val="minor"/>
    </font>
    <font>
      <b/>
      <sz val="8"/>
      <color rgb="FF44546A"/>
      <name val="Calibri"/>
      <family val="2"/>
      <scheme val="minor"/>
    </font>
    <font>
      <i/>
      <sz val="8"/>
      <color rgb="FF002E65"/>
      <name val="Calibri"/>
      <family val="2"/>
      <scheme val="minor"/>
    </font>
    <font>
      <sz val="8"/>
      <color rgb="FF323232"/>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tint="0.79998168889431442"/>
        <bgColor indexed="65"/>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medium">
        <color theme="4" tint="0.39997558519241921"/>
      </top>
      <bottom style="medium">
        <color theme="4" tint="0.39997558519241921"/>
      </bottom>
      <diagonal/>
    </border>
    <border>
      <left style="dotted">
        <color rgb="FF65A812"/>
      </left>
      <right style="dotted">
        <color rgb="FF65A812"/>
      </right>
      <top style="thick">
        <color rgb="FF65A812"/>
      </top>
      <bottom style="dotted">
        <color rgb="FF65A812"/>
      </bottom>
      <diagonal/>
    </border>
    <border>
      <left/>
      <right style="dotted">
        <color rgb="FF65A812"/>
      </right>
      <top style="thick">
        <color rgb="FF65A812"/>
      </top>
      <bottom style="dotted">
        <color rgb="FF65A812"/>
      </bottom>
      <diagonal/>
    </border>
    <border>
      <left style="dotted">
        <color rgb="FF65A812"/>
      </left>
      <right style="dotted">
        <color rgb="FF65A812"/>
      </right>
      <top/>
      <bottom style="dotted">
        <color rgb="FF65A812"/>
      </bottom>
      <diagonal/>
    </border>
    <border>
      <left/>
      <right style="dotted">
        <color rgb="FF65A812"/>
      </right>
      <top/>
      <bottom style="dotted">
        <color rgb="FF65A812"/>
      </bottom>
      <diagonal/>
    </border>
    <border>
      <left style="dotted">
        <color rgb="FF65A812"/>
      </left>
      <right style="dotted">
        <color rgb="FF65A812"/>
      </right>
      <top style="dotted">
        <color rgb="FF65A812"/>
      </top>
      <bottom style="dotted">
        <color rgb="FF65A812"/>
      </bottom>
      <diagonal/>
    </border>
    <border>
      <left/>
      <right style="dotted">
        <color rgb="FF65A812"/>
      </right>
      <top style="dotted">
        <color rgb="FF65A812"/>
      </top>
      <bottom style="dotted">
        <color rgb="FF65A812"/>
      </bottom>
      <diagonal/>
    </border>
    <border>
      <left/>
      <right style="dotted">
        <color rgb="FF65A812"/>
      </right>
      <top/>
      <bottom/>
      <diagonal/>
    </border>
    <border>
      <left style="dotted">
        <color rgb="FF65A812"/>
      </left>
      <right style="dotted">
        <color rgb="FF65A812"/>
      </right>
      <top style="dotted">
        <color rgb="FF65A812"/>
      </top>
      <bottom/>
      <diagonal/>
    </border>
  </borders>
  <cellStyleXfs count="11">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4" fillId="0" borderId="4" applyNumberFormat="0" applyFill="0" applyAlignment="0" applyProtection="0"/>
    <xf numFmtId="9" fontId="5" fillId="0" borderId="0" applyFon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72">
    <xf numFmtId="0" fontId="0" fillId="0" borderId="0" xfId="0"/>
    <xf numFmtId="0" fontId="4" fillId="0" borderId="4" xfId="5"/>
    <xf numFmtId="0" fontId="0" fillId="0" borderId="0" xfId="0" applyAlignment="1">
      <alignment horizontal="left" vertical="top"/>
    </xf>
    <xf numFmtId="17" fontId="0" fillId="0" borderId="0" xfId="0" applyNumberFormat="1" applyAlignment="1">
      <alignment horizontal="left" vertical="top"/>
    </xf>
    <xf numFmtId="0" fontId="3" fillId="0" borderId="0" xfId="4" applyAlignment="1">
      <alignment horizontal="left"/>
    </xf>
    <xf numFmtId="0" fontId="3" fillId="0" borderId="0" xfId="4"/>
    <xf numFmtId="0" fontId="3" fillId="0" borderId="3" xfId="3" applyAlignment="1">
      <alignment horizontal="center"/>
    </xf>
    <xf numFmtId="0" fontId="3" fillId="0" borderId="4" xfId="5" applyFont="1"/>
    <xf numFmtId="0" fontId="4" fillId="0" borderId="5" xfId="0" applyFont="1" applyBorder="1" applyAlignment="1">
      <alignment horizontal="center" vertical="top"/>
    </xf>
    <xf numFmtId="164" fontId="0" fillId="0" borderId="0" xfId="6" applyNumberFormat="1" applyFont="1"/>
    <xf numFmtId="164" fontId="4" fillId="0" borderId="4" xfId="6" applyNumberFormat="1" applyFont="1" applyBorder="1"/>
    <xf numFmtId="165" fontId="0" fillId="0" borderId="0" xfId="0" applyNumberFormat="1"/>
    <xf numFmtId="0" fontId="0" fillId="0" borderId="0" xfId="0" applyAlignment="1">
      <alignment horizontal="right"/>
    </xf>
    <xf numFmtId="0" fontId="0" fillId="0" borderId="0" xfId="0" applyFont="1" applyAlignment="1">
      <alignment horizontal="right"/>
    </xf>
    <xf numFmtId="164" fontId="0" fillId="0" borderId="0" xfId="6" applyNumberFormat="1" applyFont="1" applyAlignment="1">
      <alignment horizontal="right"/>
    </xf>
    <xf numFmtId="0" fontId="3" fillId="0" borderId="0" xfId="4" applyAlignment="1">
      <alignment horizontal="right"/>
    </xf>
    <xf numFmtId="164" fontId="0" fillId="0" borderId="0" xfId="0" applyNumberFormat="1"/>
    <xf numFmtId="0" fontId="8" fillId="0" borderId="5" xfId="0" applyFont="1" applyBorder="1" applyAlignment="1">
      <alignment horizontal="center" vertical="top"/>
    </xf>
    <xf numFmtId="0" fontId="3" fillId="5" borderId="0" xfId="4" applyFill="1" applyAlignment="1">
      <alignment horizontal="left"/>
    </xf>
    <xf numFmtId="165" fontId="0" fillId="0" borderId="0" xfId="6" applyNumberFormat="1" applyFont="1"/>
    <xf numFmtId="165" fontId="0" fillId="0" borderId="0" xfId="0" applyNumberFormat="1" applyAlignment="1">
      <alignment horizontal="right"/>
    </xf>
    <xf numFmtId="165" fontId="0" fillId="0" borderId="0" xfId="6" applyNumberFormat="1" applyFont="1" applyAlignment="1">
      <alignment horizontal="right"/>
    </xf>
    <xf numFmtId="165" fontId="7" fillId="4" borderId="0" xfId="8" applyNumberFormat="1" applyAlignment="1">
      <alignment horizontal="right"/>
    </xf>
    <xf numFmtId="164" fontId="7" fillId="4" borderId="0" xfId="8" applyNumberFormat="1"/>
    <xf numFmtId="165" fontId="6" fillId="3" borderId="0" xfId="7" applyNumberFormat="1"/>
    <xf numFmtId="164" fontId="6" fillId="3" borderId="0" xfId="7" applyNumberFormat="1"/>
    <xf numFmtId="0" fontId="6" fillId="3" borderId="0" xfId="7" applyAlignment="1">
      <alignment horizontal="right"/>
    </xf>
    <xf numFmtId="165" fontId="5" fillId="6" borderId="0" xfId="10" applyNumberFormat="1"/>
    <xf numFmtId="164" fontId="5" fillId="6" borderId="0" xfId="10" applyNumberFormat="1"/>
    <xf numFmtId="165" fontId="5" fillId="6" borderId="0" xfId="10" applyNumberFormat="1" applyAlignment="1">
      <alignment horizontal="right"/>
    </xf>
    <xf numFmtId="165" fontId="6" fillId="3" borderId="0" xfId="7" applyNumberFormat="1" applyAlignment="1">
      <alignment horizontal="right"/>
    </xf>
    <xf numFmtId="165" fontId="7" fillId="4" borderId="0" xfId="8" applyNumberFormat="1"/>
    <xf numFmtId="0" fontId="5" fillId="6" borderId="0" xfId="10"/>
    <xf numFmtId="164" fontId="5" fillId="6" borderId="0" xfId="10" applyNumberFormat="1" applyAlignment="1">
      <alignment horizontal="right"/>
    </xf>
    <xf numFmtId="165" fontId="9" fillId="2" borderId="0" xfId="7" applyNumberFormat="1" applyFont="1" applyFill="1"/>
    <xf numFmtId="164" fontId="9" fillId="2" borderId="0" xfId="7" applyNumberFormat="1" applyFont="1" applyFill="1"/>
    <xf numFmtId="165" fontId="9" fillId="2" borderId="0" xfId="7" applyNumberFormat="1" applyFont="1" applyFill="1" applyAlignment="1">
      <alignment horizontal="right"/>
    </xf>
    <xf numFmtId="0" fontId="0" fillId="0" borderId="0" xfId="0"/>
    <xf numFmtId="166" fontId="0" fillId="0" borderId="0" xfId="0" applyNumberFormat="1"/>
    <xf numFmtId="0" fontId="0" fillId="0" borderId="0" xfId="0"/>
    <xf numFmtId="0" fontId="0" fillId="0" borderId="0" xfId="0" applyNumberFormat="1"/>
    <xf numFmtId="0" fontId="1" fillId="2" borderId="1" xfId="1" applyFill="1" applyAlignment="1">
      <alignment horizontal="center"/>
    </xf>
    <xf numFmtId="0" fontId="3" fillId="0" borderId="3" xfId="3" applyAlignment="1">
      <alignment horizontal="center"/>
    </xf>
    <xf numFmtId="0" fontId="2" fillId="0" borderId="2" xfId="2" applyAlignment="1">
      <alignment horizontal="center"/>
    </xf>
    <xf numFmtId="0" fontId="3" fillId="0" borderId="6" xfId="3" applyBorder="1" applyAlignment="1">
      <alignment horizontal="center"/>
    </xf>
    <xf numFmtId="0" fontId="3" fillId="0" borderId="0" xfId="3" applyBorder="1" applyAlignment="1">
      <alignment horizontal="center" vertical="center"/>
    </xf>
    <xf numFmtId="0" fontId="3" fillId="0" borderId="3" xfId="3" applyAlignment="1">
      <alignment horizontal="center" vertical="center"/>
    </xf>
    <xf numFmtId="10" fontId="5" fillId="5" borderId="0" xfId="6" applyNumberFormat="1" applyFill="1" applyAlignment="1">
      <alignment horizontal="center"/>
    </xf>
    <xf numFmtId="10" fontId="5" fillId="5" borderId="0" xfId="9" applyNumberFormat="1" applyAlignment="1">
      <alignment horizontal="center"/>
    </xf>
    <xf numFmtId="1" fontId="5" fillId="5" borderId="0" xfId="9" applyNumberFormat="1" applyAlignment="1">
      <alignment horizontal="center"/>
    </xf>
    <xf numFmtId="164" fontId="5" fillId="5" borderId="0" xfId="9" applyNumberFormat="1" applyAlignment="1">
      <alignment horizontal="center"/>
    </xf>
    <xf numFmtId="0" fontId="1" fillId="0" borderId="1" xfId="1" applyAlignment="1">
      <alignment horizontal="center"/>
    </xf>
    <xf numFmtId="0" fontId="0" fillId="0" borderId="0" xfId="0"/>
    <xf numFmtId="165" fontId="0" fillId="0" borderId="0" xfId="6" applyNumberFormat="1" applyFont="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9" xfId="0" applyFont="1" applyBorder="1" applyAlignment="1">
      <alignment horizontal="center" vertical="center" wrapText="1"/>
    </xf>
    <xf numFmtId="164" fontId="11" fillId="0" borderId="10" xfId="6" applyNumberFormat="1" applyFont="1" applyBorder="1" applyAlignment="1">
      <alignment horizontal="center" vertical="center" wrapText="1"/>
    </xf>
    <xf numFmtId="0" fontId="13" fillId="0" borderId="11" xfId="0" applyFont="1" applyBorder="1" applyAlignment="1">
      <alignment horizontal="center" vertical="center" wrapText="1"/>
    </xf>
    <xf numFmtId="0" fontId="11" fillId="0" borderId="12" xfId="0" applyFont="1" applyBorder="1" applyAlignment="1">
      <alignment horizontal="center" vertical="center" wrapText="1"/>
    </xf>
    <xf numFmtId="17" fontId="11" fillId="0" borderId="13" xfId="0" applyNumberFormat="1" applyFont="1" applyBorder="1" applyAlignment="1">
      <alignment horizontal="center" vertical="center" wrapText="1"/>
    </xf>
    <xf numFmtId="17"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9" xfId="0" applyFont="1" applyBorder="1" applyAlignment="1">
      <alignment horizontal="center" vertical="center" wrapText="1"/>
    </xf>
    <xf numFmtId="164" fontId="11" fillId="7" borderId="10" xfId="6" applyNumberFormat="1" applyFont="1" applyFill="1" applyBorder="1" applyAlignment="1">
      <alignment horizontal="center" vertical="center" wrapText="1"/>
    </xf>
    <xf numFmtId="0" fontId="10" fillId="0" borderId="0" xfId="0" applyFont="1"/>
    <xf numFmtId="0" fontId="14" fillId="0" borderId="0" xfId="0" applyFont="1" applyAlignment="1">
      <alignment horizontal="left" vertical="center"/>
    </xf>
    <xf numFmtId="0" fontId="0" fillId="0" borderId="0" xfId="0" applyAlignment="1">
      <alignment horizontal="center"/>
    </xf>
  </cellXfs>
  <cellStyles count="11">
    <cellStyle name="20% - Accent1" xfId="9" builtinId="30"/>
    <cellStyle name="20% - Accent3" xfId="10" builtinId="38"/>
    <cellStyle name="Bad" xfId="7" builtinId="27"/>
    <cellStyle name="Heading 1" xfId="1" builtinId="16"/>
    <cellStyle name="Heading 2" xfId="2" builtinId="17"/>
    <cellStyle name="Heading 3" xfId="3" builtinId="18"/>
    <cellStyle name="Heading 4" xfId="4" builtinId="19"/>
    <cellStyle name="Neutral" xfId="8" builtinId="28"/>
    <cellStyle name="Normal" xfId="0" builtinId="0"/>
    <cellStyle name="Percent" xfId="6" builtinId="5"/>
    <cellStyle name="Total" xfId="5" builtinId="25"/>
  </cellStyles>
  <dxfs count="7">
    <dxf>
      <numFmt numFmtId="0" formatCode="General"/>
    </dxf>
    <dxf>
      <numFmt numFmtId="165" formatCode="0.0000"/>
    </dxf>
    <dxf>
      <numFmt numFmtId="165" formatCode="0.0000"/>
    </dxf>
    <dxf>
      <numFmt numFmtId="165" formatCode="0.0000"/>
    </dxf>
    <dxf>
      <numFmt numFmtId="165" formatCode="0.0000"/>
    </dxf>
    <dxf>
      <numFmt numFmtId="167" formatCode="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Tests Monthly'!$M$1</c:f>
              <c:strCache>
                <c:ptCount val="1"/>
                <c:pt idx="0">
                  <c:v>Jan 2002 - Feb 2024</c:v>
                </c:pt>
              </c:strCache>
            </c:strRef>
          </c:tx>
          <c:spPr>
            <a:solidFill>
              <a:schemeClr val="accent1"/>
            </a:solidFill>
            <a:ln>
              <a:noFill/>
            </a:ln>
            <a:effectLst/>
          </c:spPr>
          <c:invertIfNegative val="0"/>
          <c:cat>
            <c:strRef>
              <c:f>'Main Tests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'Main Tests Monthly'!$M$2:$M$12</c:f>
              <c:numCache>
                <c:formatCode>0.0000%</c:formatCode>
                <c:ptCount val="11"/>
                <c:pt idx="0">
                  <c:v>5.0449381615390232E-3</c:v>
                </c:pt>
                <c:pt idx="1">
                  <c:v>5.6375838483323998E-3</c:v>
                </c:pt>
                <c:pt idx="2">
                  <c:v>6.22643155122477E-3</c:v>
                </c:pt>
                <c:pt idx="3">
                  <c:v>4.5099190244349604E-3</c:v>
                </c:pt>
                <c:pt idx="4">
                  <c:v>7.0853432239675199E-3</c:v>
                </c:pt>
                <c:pt idx="5">
                  <c:v>4.5178012896241199E-3</c:v>
                </c:pt>
                <c:pt idx="6">
                  <c:v>5.7251355756599599E-3</c:v>
                </c:pt>
                <c:pt idx="7">
                  <c:v>6.4513570317708199E-3</c:v>
                </c:pt>
                <c:pt idx="8">
                  <c:v>5.7521322200735003E-3</c:v>
                </c:pt>
                <c:pt idx="9">
                  <c:v>7.4920570194202301E-3</c:v>
                </c:pt>
                <c:pt idx="10">
                  <c:v>8.8214547812601306E-3</c:v>
                </c:pt>
              </c:numCache>
            </c:numRef>
          </c:val>
          <c:extLst>
            <c:ext xmlns:c16="http://schemas.microsoft.com/office/drawing/2014/chart" uri="{C3380CC4-5D6E-409C-BE32-E72D297353CC}">
              <c16:uniqueId val="{00000000-7C2E-4DD8-9B5C-EB554E30316D}"/>
            </c:ext>
          </c:extLst>
        </c:ser>
        <c:ser>
          <c:idx val="1"/>
          <c:order val="1"/>
          <c:tx>
            <c:strRef>
              <c:f>'Main Tests Monthly'!$N$1</c:f>
              <c:strCache>
                <c:ptCount val="1"/>
                <c:pt idx="0">
                  <c:v>Jan 2002 - Dec 2012</c:v>
                </c:pt>
              </c:strCache>
            </c:strRef>
          </c:tx>
          <c:spPr>
            <a:solidFill>
              <a:schemeClr val="accent2"/>
            </a:solidFill>
            <a:ln>
              <a:noFill/>
            </a:ln>
            <a:effectLst/>
          </c:spPr>
          <c:invertIfNegative val="0"/>
          <c:cat>
            <c:strRef>
              <c:f>'Main Tests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'Main Tests Monthly'!$N$2:$N$12</c:f>
              <c:numCache>
                <c:formatCode>0.0000%</c:formatCode>
                <c:ptCount val="11"/>
                <c:pt idx="0">
                  <c:v>6.2742953002744399E-3</c:v>
                </c:pt>
                <c:pt idx="1">
                  <c:v>6.42767273232819E-3</c:v>
                </c:pt>
                <c:pt idx="2">
                  <c:v>7.5242883993679203E-3</c:v>
                </c:pt>
                <c:pt idx="3">
                  <c:v>6.7036098531384402E-3</c:v>
                </c:pt>
                <c:pt idx="4">
                  <c:v>1.03875694629985E-2</c:v>
                </c:pt>
                <c:pt idx="5">
                  <c:v>6.8327083024886199E-3</c:v>
                </c:pt>
                <c:pt idx="6">
                  <c:v>7.8249410622194E-3</c:v>
                </c:pt>
                <c:pt idx="7">
                  <c:v>8.4245613849804092E-3</c:v>
                </c:pt>
                <c:pt idx="8">
                  <c:v>6.6993229436812301E-3</c:v>
                </c:pt>
                <c:pt idx="9">
                  <c:v>9.8262394337772403E-3</c:v>
                </c:pt>
                <c:pt idx="10">
                  <c:v>1.05969399927277E-2</c:v>
                </c:pt>
              </c:numCache>
            </c:numRef>
          </c:val>
          <c:extLst>
            <c:ext xmlns:c16="http://schemas.microsoft.com/office/drawing/2014/chart" uri="{C3380CC4-5D6E-409C-BE32-E72D297353CC}">
              <c16:uniqueId val="{00000001-7C2E-4DD8-9B5C-EB554E30316D}"/>
            </c:ext>
          </c:extLst>
        </c:ser>
        <c:ser>
          <c:idx val="2"/>
          <c:order val="2"/>
          <c:tx>
            <c:strRef>
              <c:f>'Main Tests Monthly'!$O$1</c:f>
              <c:strCache>
                <c:ptCount val="1"/>
                <c:pt idx="0">
                  <c:v>Jan 2013 - Feb 2024</c:v>
                </c:pt>
              </c:strCache>
            </c:strRef>
          </c:tx>
          <c:spPr>
            <a:solidFill>
              <a:schemeClr val="accent3"/>
            </a:solidFill>
            <a:ln>
              <a:noFill/>
            </a:ln>
            <a:effectLst/>
          </c:spPr>
          <c:invertIfNegative val="0"/>
          <c:cat>
            <c:strRef>
              <c:f>'Main Tests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'Main Tests Monthly'!$O$2:$O$12</c:f>
              <c:numCache>
                <c:formatCode>0.0000%</c:formatCode>
                <c:ptCount val="11"/>
                <c:pt idx="0">
                  <c:v>3.8339296368145549E-3</c:v>
                </c:pt>
                <c:pt idx="1">
                  <c:v>5.0516021101231698E-3</c:v>
                </c:pt>
                <c:pt idx="2">
                  <c:v>5.0383865985210103E-3</c:v>
                </c:pt>
                <c:pt idx="3">
                  <c:v>5.8219616209050095E-4</c:v>
                </c:pt>
                <c:pt idx="4">
                  <c:v>8.8798709583280699E-4</c:v>
                </c:pt>
                <c:pt idx="5">
                  <c:v>5.8143054329368496E-4</c:v>
                </c:pt>
                <c:pt idx="6">
                  <c:v>-1.7297995407475899E-3</c:v>
                </c:pt>
                <c:pt idx="7">
                  <c:v>3.0541586872801E-3</c:v>
                </c:pt>
                <c:pt idx="8">
                  <c:v>3.02936511332449E-3</c:v>
                </c:pt>
                <c:pt idx="9">
                  <c:v>3.3774033912859699E-3</c:v>
                </c:pt>
                <c:pt idx="10">
                  <c:v>6.5053253522061698E-3</c:v>
                </c:pt>
              </c:numCache>
            </c:numRef>
          </c:val>
          <c:extLst>
            <c:ext xmlns:c16="http://schemas.microsoft.com/office/drawing/2014/chart" uri="{C3380CC4-5D6E-409C-BE32-E72D297353CC}">
              <c16:uniqueId val="{00000002-7C2E-4DD8-9B5C-EB554E30316D}"/>
            </c:ext>
          </c:extLst>
        </c:ser>
        <c:dLbls>
          <c:showLegendKey val="0"/>
          <c:showVal val="0"/>
          <c:showCatName val="0"/>
          <c:showSerName val="0"/>
          <c:showPercent val="0"/>
          <c:showBubbleSize val="0"/>
        </c:dLbls>
        <c:gapWidth val="219"/>
        <c:overlap val="-27"/>
        <c:axId val="768630943"/>
        <c:axId val="176046655"/>
      </c:barChart>
      <c:catAx>
        <c:axId val="7686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6655"/>
        <c:crosses val="autoZero"/>
        <c:auto val="1"/>
        <c:lblAlgn val="ctr"/>
        <c:lblOffset val="100"/>
        <c:noMultiLvlLbl val="0"/>
      </c:catAx>
      <c:valAx>
        <c:axId val="1760466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3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'Weighted Monthly'!$M$1</c:f>
              <c:strCache>
                <c:ptCount val="1"/>
                <c:pt idx="0">
                  <c:v>Jan 2002 - Feb 2024</c:v>
                </c:pt>
              </c:strCache>
            </c:strRef>
          </c:tx>
          <c:spPr>
            <a:solidFill>
              <a:schemeClr val="accent1"/>
            </a:solidFill>
            <a:ln>
              <a:noFill/>
            </a:ln>
            <a:effectLst/>
          </c:spPr>
          <c:invertIfNegative val="0"/>
          <c:cat>
            <c:strRef>
              <c:f>'Weighted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'Weighted Monthly'!$M$2:$M$12</c:f>
              <c:numCache>
                <c:formatCode>0.0000%</c:formatCode>
                <c:ptCount val="11"/>
                <c:pt idx="0">
                  <c:v>5.7999999999999996E-3</c:v>
                </c:pt>
                <c:pt idx="1">
                  <c:v>6.3301974681113597E-3</c:v>
                </c:pt>
                <c:pt idx="2">
                  <c:v>6.7955391393167896E-3</c:v>
                </c:pt>
                <c:pt idx="3">
                  <c:v>4.5112720671626697E-3</c:v>
                </c:pt>
                <c:pt idx="4">
                  <c:v>7.1424387614215804E-3</c:v>
                </c:pt>
                <c:pt idx="5">
                  <c:v>4.6295166216394198E-3</c:v>
                </c:pt>
                <c:pt idx="6">
                  <c:v>5.0733260392966297E-3</c:v>
                </c:pt>
                <c:pt idx="7">
                  <c:v>5.6468425949270201E-5</c:v>
                </c:pt>
                <c:pt idx="8">
                  <c:v>5.1362068110068198E-3</c:v>
                </c:pt>
                <c:pt idx="9">
                  <c:v>7.0276250541087296E-5</c:v>
                </c:pt>
                <c:pt idx="10">
                  <c:v>9.2459509938887206E-3</c:v>
                </c:pt>
              </c:numCache>
            </c:numRef>
          </c:val>
          <c:extLst>
            <c:ext xmlns:c16="http://schemas.microsoft.com/office/drawing/2014/chart" uri="{C3380CC4-5D6E-409C-BE32-E72D297353CC}">
              <c16:uniqueId val="{00000000-480F-4F8C-9990-B16CADA1A26C}"/>
            </c:ext>
          </c:extLst>
        </c:ser>
        <c:ser>
          <c:idx val="1"/>
          <c:order val="1"/>
          <c:tx>
            <c:strRef>
              <c:f>'Weighted Monthly'!$N$1</c:f>
              <c:strCache>
                <c:ptCount val="1"/>
                <c:pt idx="0">
                  <c:v>0</c:v>
                </c:pt>
              </c:strCache>
            </c:strRef>
          </c:tx>
          <c:spPr>
            <a:solidFill>
              <a:schemeClr val="accent2"/>
            </a:solidFill>
            <a:ln>
              <a:noFill/>
            </a:ln>
            <a:effectLst/>
          </c:spPr>
          <c:invertIfNegative val="0"/>
          <c:cat>
            <c:strRef>
              <c:f>'Weighted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'Weighted Monthly'!$N$2:$N$12</c:f>
              <c:numCache>
                <c:formatCode>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480F-4F8C-9990-B16CADA1A26C}"/>
            </c:ext>
          </c:extLst>
        </c:ser>
        <c:ser>
          <c:idx val="2"/>
          <c:order val="2"/>
          <c:tx>
            <c:strRef>
              <c:f>'Weighted Monthly'!$O$1</c:f>
              <c:strCache>
                <c:ptCount val="1"/>
                <c:pt idx="0">
                  <c:v>0</c:v>
                </c:pt>
              </c:strCache>
            </c:strRef>
          </c:tx>
          <c:spPr>
            <a:solidFill>
              <a:schemeClr val="accent3"/>
            </a:solidFill>
            <a:ln>
              <a:noFill/>
            </a:ln>
            <a:effectLst/>
          </c:spPr>
          <c:invertIfNegative val="0"/>
          <c:cat>
            <c:strRef>
              <c:f>'Weighted Monthly'!$L$2:$L$12</c:f>
              <c:strCache>
                <c:ptCount val="11"/>
                <c:pt idx="0">
                  <c:v>Raw</c:v>
                </c:pt>
                <c:pt idx="1">
                  <c:v>CAPM </c:v>
                </c:pt>
                <c:pt idx="2">
                  <c:v>3F</c:v>
                </c:pt>
                <c:pt idx="3">
                  <c:v>4F</c:v>
                </c:pt>
                <c:pt idx="4">
                  <c:v>4F + QMJ</c:v>
                </c:pt>
                <c:pt idx="5">
                  <c:v>4F + BAB</c:v>
                </c:pt>
                <c:pt idx="6">
                  <c:v>4F + Carry</c:v>
                </c:pt>
                <c:pt idx="7">
                  <c:v>4F + Seasonality</c:v>
                </c:pt>
                <c:pt idx="8">
                  <c:v>4F + UMD_Trend</c:v>
                </c:pt>
                <c:pt idx="9">
                  <c:v>4F with HML_Devil</c:v>
                </c:pt>
                <c:pt idx="10">
                  <c:v>5F</c:v>
                </c:pt>
              </c:strCache>
            </c:strRef>
          </c:cat>
          <c:val>
            <c:numRef>
              <c:f>'Weighted Monthly'!$O$2:$O$12</c:f>
              <c:numCache>
                <c:formatCode>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480F-4F8C-9990-B16CADA1A26C}"/>
            </c:ext>
          </c:extLst>
        </c:ser>
        <c:dLbls>
          <c:showLegendKey val="0"/>
          <c:showVal val="0"/>
          <c:showCatName val="0"/>
          <c:showSerName val="0"/>
          <c:showPercent val="0"/>
          <c:showBubbleSize val="0"/>
        </c:dLbls>
        <c:gapWidth val="219"/>
        <c:overlap val="-27"/>
        <c:axId val="768630943"/>
        <c:axId val="176046655"/>
      </c:barChart>
      <c:catAx>
        <c:axId val="7686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6655"/>
        <c:crosses val="autoZero"/>
        <c:auto val="1"/>
        <c:lblAlgn val="ctr"/>
        <c:lblOffset val="100"/>
        <c:noMultiLvlLbl val="0"/>
      </c:catAx>
      <c:valAx>
        <c:axId val="1760466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3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53578</xdr:colOff>
      <xdr:row>13</xdr:row>
      <xdr:rowOff>110728</xdr:rowOff>
    </xdr:from>
    <xdr:to>
      <xdr:col>18</xdr:col>
      <xdr:colOff>375046</xdr:colOff>
      <xdr:row>27</xdr:row>
      <xdr:rowOff>103584</xdr:rowOff>
    </xdr:to>
    <xdr:graphicFrame macro="">
      <xdr:nvGraphicFramePr>
        <xdr:cNvPr id="3" name="Chart 2">
          <a:extLst>
            <a:ext uri="{FF2B5EF4-FFF2-40B4-BE49-F238E27FC236}">
              <a16:creationId xmlns:a16="http://schemas.microsoft.com/office/drawing/2014/main" id="{39A8FDC8-E719-93E2-BC90-5EA65901A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53578</xdr:colOff>
      <xdr:row>13</xdr:row>
      <xdr:rowOff>110728</xdr:rowOff>
    </xdr:from>
    <xdr:to>
      <xdr:col>18</xdr:col>
      <xdr:colOff>375046</xdr:colOff>
      <xdr:row>27</xdr:row>
      <xdr:rowOff>103584</xdr:rowOff>
    </xdr:to>
    <xdr:graphicFrame macro="">
      <xdr:nvGraphicFramePr>
        <xdr:cNvPr id="2" name="Chart 1">
          <a:extLst>
            <a:ext uri="{FF2B5EF4-FFF2-40B4-BE49-F238E27FC236}">
              <a16:creationId xmlns:a16="http://schemas.microsoft.com/office/drawing/2014/main" id="{CBF7C0E6-0190-486E-9152-00FE4EAD0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20254</xdr:colOff>
      <xdr:row>9</xdr:row>
      <xdr:rowOff>28575</xdr:rowOff>
    </xdr:from>
    <xdr:to>
      <xdr:col>8</xdr:col>
      <xdr:colOff>563166</xdr:colOff>
      <xdr:row>21</xdr:row>
      <xdr:rowOff>76810</xdr:rowOff>
    </xdr:to>
    <xdr:pic>
      <xdr:nvPicPr>
        <xdr:cNvPr id="3" name="Picture 2">
          <a:extLst>
            <a:ext uri="{FF2B5EF4-FFF2-40B4-BE49-F238E27FC236}">
              <a16:creationId xmlns:a16="http://schemas.microsoft.com/office/drawing/2014/main" id="{FB69C714-06B2-BB16-1F46-ECB4C18118A7}"/>
            </a:ext>
          </a:extLst>
        </xdr:cNvPr>
        <xdr:cNvPicPr>
          <a:picLocks noChangeAspect="1"/>
        </xdr:cNvPicPr>
      </xdr:nvPicPr>
      <xdr:blipFill>
        <a:blip xmlns:r="http://schemas.openxmlformats.org/officeDocument/2006/relationships" r:embed="rId2"/>
        <a:stretch>
          <a:fillRect/>
        </a:stretch>
      </xdr:blipFill>
      <xdr:spPr>
        <a:xfrm>
          <a:off x="5316154" y="1876425"/>
          <a:ext cx="4705337" cy="24104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una Geens" id="{7CFBBE7A-18BC-4299-8871-6792DEA1FC42}" userId="S::s0192441@ad.ua.ac.be::0169d892-e80d-4bfd-bf93-e8dc4aa9399c"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67D4F93-1277-4C72-8C52-BEA74644E5C3}" autoFormatId="16" applyNumberFormats="0" applyBorderFormats="0" applyFontFormats="0" applyPatternFormats="0" applyAlignmentFormats="0" applyWidthHeightFormats="0">
  <queryTableRefresh nextId="8">
    <queryTableFields count="7">
      <queryTableField id="1" name="index" tableColumnId="1"/>
      <queryTableField id="2" name="Mean" tableColumnId="2"/>
      <queryTableField id="3" name="Median" tableColumnId="3"/>
      <queryTableField id="4" name="Std. Dev." tableColumnId="4"/>
      <queryTableField id="5" name="p10" tableColumnId="5"/>
      <queryTableField id="6" name="p90" tableColumnId="6"/>
      <queryTableField id="7" name="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0FDFB0-DA0A-42B9-B5B6-41B1431D677C}" name="UnivariateDistributions__2" displayName="UnivariateDistributions__2" ref="A1:G14" tableType="queryTable" totalsRowShown="0">
  <autoFilter ref="A1:G14" xr:uid="{310FDFB0-DA0A-42B9-B5B6-41B1431D677C}"/>
  <tableColumns count="7">
    <tableColumn id="1" xr3:uid="{FBB2C4E6-93E8-4ABC-BC62-03EA32CC93FE}" uniqueName="1" name="index" queryTableFieldId="1" dataDxfId="6"/>
    <tableColumn id="2" xr3:uid="{F7BE29DB-8BA4-4FEB-8C08-BA152A77CAEA}" uniqueName="2" name="Mean" queryTableFieldId="2" dataDxfId="5"/>
    <tableColumn id="3" xr3:uid="{518F0105-60FD-4CB9-8E0E-0726C2D8A32D}" uniqueName="3" name="Median" queryTableFieldId="3" dataDxfId="4"/>
    <tableColumn id="4" xr3:uid="{273CE04F-156E-490C-8D14-B3110DA66EE9}" uniqueName="4" name="Std. Dev." queryTableFieldId="4" dataDxfId="3"/>
    <tableColumn id="5" xr3:uid="{90B8FC61-12CF-40F6-9F28-C8F23DAF4F00}" uniqueName="5" name="p10" queryTableFieldId="5" dataDxfId="2"/>
    <tableColumn id="6" xr3:uid="{1D57BFBA-E799-475A-923C-4F1E8EF09018}" uniqueName="6" name="p90" queryTableFieldId="6" dataDxfId="1"/>
    <tableColumn id="7" xr3:uid="{8BA74E41-6A42-452E-BC95-0E1D3250F46D}" uniqueName="7" name="N"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4-21T15:26:12.63" personId="{7CFBBE7A-18BC-4299-8871-6792DEA1FC42}" id="{0DFE18D7-A8D4-43E6-B8C1-4CDC675B8E06}">
    <text>Deze resultaten zijn nog aan te passen voor omzetting naar euro, maar gewoon is kijken wat we al hebben</text>
  </threadedComment>
  <threadedComment ref="B23" dT="2024-04-21T15:51:27.98" personId="{7CFBBE7A-18BC-4299-8871-6792DEA1FC42}" id="{AA138A72-1522-4C39-AF7F-4F27EF4534CD}">
    <text>Resultaat van dummy</text>
  </threadedComment>
  <threadedComment ref="H23" dT="2024-04-21T15:51:16.92" personId="{7CFBBE7A-18BC-4299-8871-6792DEA1FC42}" id="{A4161F8D-51E3-448A-AC97-439D5BEF364B}">
    <text>Eig dit maart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4-21T15:26:12.63" personId="{7CFBBE7A-18BC-4299-8871-6792DEA1FC42}" id="{7D9F1BC3-E00E-4F12-80A2-016BBE34097D}">
    <text>Deze resultaten zijn nog aan te passen voor omzetting naar euro, maar gewoon is kijken wat we al hebben</text>
  </threadedComment>
  <threadedComment ref="B23" dT="2024-04-21T15:51:27.98" personId="{7CFBBE7A-18BC-4299-8871-6792DEA1FC42}" id="{7E60C018-9904-494C-AADE-E09BF090B879}">
    <text>Resultaat van dummy</text>
  </threadedComment>
  <threadedComment ref="H23" dT="2024-04-21T15:51:16.92" personId="{7CFBBE7A-18BC-4299-8871-6792DEA1FC42}" id="{7735AC4B-EA55-4DD0-A634-7EE7372BD8E5}">
    <text>Eig dit maart</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4-04-21T15:51:27.98" personId="{7CFBBE7A-18BC-4299-8871-6792DEA1FC42}" id="{AFC98E46-BD00-4743-BD42-4358C007F2DF}">
    <text>Resultaat van dummy</text>
  </threadedComment>
  <threadedComment ref="H6" dT="2024-04-21T15:51:27.98" personId="{7CFBBE7A-18BC-4299-8871-6792DEA1FC42}" id="{663B6F3C-9D37-44F3-BAA9-7C264C8B454D}">
    <text>Resultaat van dummy</text>
  </threadedComment>
  <threadedComment ref="J6" dT="2024-04-21T15:51:27.98" personId="{7CFBBE7A-18BC-4299-8871-6792DEA1FC42}" id="{030919C8-95DB-48CB-A144-97DC6C7C8969}">
    <text>Resultaat van dummy</text>
  </threadedComment>
  <threadedComment ref="L6" dT="2024-04-21T15:51:27.98" personId="{7CFBBE7A-18BC-4299-8871-6792DEA1FC42}" id="{9A4DDB8E-8F63-465F-A8D8-F17E015BDF1E}">
    <text>Resultaat van dummy</text>
  </threadedComment>
  <threadedComment ref="N6" dT="2024-04-21T15:51:27.98" personId="{7CFBBE7A-18BC-4299-8871-6792DEA1FC42}" id="{B90246E6-18B7-4441-8099-0AB14E6680C2}">
    <text>Resultaat van dummy</text>
  </threadedComment>
  <threadedComment ref="F20" dT="2024-05-16T14:57:55.98" personId="{7CFBBE7A-18BC-4299-8871-6792DEA1FC42}" id="{F6A660FE-2A73-45AF-ACC8-4382CF5FACE0}">
    <text>Kan niet</text>
  </threadedComment>
  <threadedComment ref="J28" dT="2024-05-16T15:01:36.34" personId="{7CFBBE7A-18BC-4299-8871-6792DEA1FC42}" id="{FAABF5FD-BE71-42A8-9021-6481C989EEFD}">
    <text>Kan niet</text>
  </threadedComment>
  <threadedComment ref="L30" dT="2024-05-16T15:11:36.46" personId="{7CFBBE7A-18BC-4299-8871-6792DEA1FC42}" id="{428FDE20-DFB0-4619-8C72-CE4340FFA2FC}">
    <text>Kan niet</text>
  </threadedComment>
  <threadedComment ref="L30" dT="2024-05-16T16:06:08.50" personId="{7CFBBE7A-18BC-4299-8871-6792DEA1FC42}" id="{AE8A4AD4-0669-4AC0-99BC-45A6C3D576CE}" parentId="{428FDE20-DFB0-4619-8C72-CE4340FFA2FC}">
    <text xml:space="preserve">These small numbers indicate that the price impact per unit of volume is minimal, which is typical for highly liquid stocks with high trading volumes. The Amihud ratio is designed to reflect the price impact of trading; hence, a smaller ratio signifies lower price impact (i.e., higher liquidity). </text>
  </threadedComment>
  <threadedComment ref="B44" dT="2024-04-21T15:51:27.98" personId="{7CFBBE7A-18BC-4299-8871-6792DEA1FC42}" id="{AFFD938F-D5EE-420A-B017-DB5D09E33214}">
    <text>Resultaat van dummy</text>
  </threadedComment>
  <threadedComment ref="H44" dT="2024-04-21T15:51:27.98" personId="{7CFBBE7A-18BC-4299-8871-6792DEA1FC42}" id="{CE15FEF1-56DB-46A4-BD02-F9FE01DDA1AB}">
    <text>Resultaat van dummy</text>
  </threadedComment>
  <threadedComment ref="J44" dT="2024-04-21T15:51:27.98" personId="{7CFBBE7A-18BC-4299-8871-6792DEA1FC42}" id="{A7DE984E-0A40-4F63-AF28-7AB3A51E15FC}">
    <text>Resultaat van dummy</text>
  </threadedComment>
  <threadedComment ref="L44" dT="2024-04-21T15:51:27.98" personId="{7CFBBE7A-18BC-4299-8871-6792DEA1FC42}" id="{BCBFEC68-5C67-44F7-ADBC-388CDDD4B084}">
    <text>Resultaat van dummy</text>
  </threadedComment>
  <threadedComment ref="N44" dT="2024-04-21T15:51:27.98" personId="{7CFBBE7A-18BC-4299-8871-6792DEA1FC42}" id="{DDCCDA25-1AEF-4CA9-9CD6-53CF99317797}">
    <text>Resultaat van dummy</text>
  </threadedComment>
  <threadedComment ref="F58" dT="2024-05-16T14:57:55.98" personId="{7CFBBE7A-18BC-4299-8871-6792DEA1FC42}" id="{EEFBBB7A-34D1-4288-BDC5-D09AE602DB85}">
    <text>Kan niet</text>
  </threadedComment>
  <threadedComment ref="J66" dT="2024-05-16T15:01:36.34" personId="{7CFBBE7A-18BC-4299-8871-6792DEA1FC42}" id="{208BDF45-43B9-4AC2-A2C0-02CB27099C88}">
    <text>Kan niet</text>
  </threadedComment>
  <threadedComment ref="B77" dT="2024-04-21T15:51:27.98" personId="{7CFBBE7A-18BC-4299-8871-6792DEA1FC42}" id="{9BC17521-C887-4F6A-A7C7-BE417DB962EE}">
    <text>Resultaat van dummy</text>
  </threadedComment>
  <threadedComment ref="H77" dT="2024-04-21T15:51:27.98" personId="{7CFBBE7A-18BC-4299-8871-6792DEA1FC42}" id="{0008999C-EE15-4CFC-ABDF-8DD80E056BAA}">
    <text>Resultaat van dummy</text>
  </threadedComment>
  <threadedComment ref="J77" dT="2024-04-21T15:51:27.98" personId="{7CFBBE7A-18BC-4299-8871-6792DEA1FC42}" id="{FDB8FED0-EB0E-43DD-BF14-0D3F58888704}">
    <text>Resultaat van dummy</text>
  </threadedComment>
  <threadedComment ref="L77" dT="2024-04-21T15:51:27.98" personId="{7CFBBE7A-18BC-4299-8871-6792DEA1FC42}" id="{7037DF97-1EB3-4BA9-B982-E921B8D0887F}">
    <text>Resultaat van dummy</text>
  </threadedComment>
  <threadedComment ref="F91" dT="2024-05-16T14:57:55.98" personId="{7CFBBE7A-18BC-4299-8871-6792DEA1FC42}" id="{EE0AECF4-4177-45B4-8DA6-4D9B87A3E822}">
    <text>Kan niet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BC7C-05AB-43BB-9FDD-D9391EC8A409}">
  <sheetPr codeName="Sheet1"/>
  <dimension ref="A1:O44"/>
  <sheetViews>
    <sheetView topLeftCell="A15" zoomScaleNormal="100" workbookViewId="0">
      <selection activeCell="B21" sqref="B21:G22"/>
    </sheetView>
  </sheetViews>
  <sheetFormatPr defaultRowHeight="15" x14ac:dyDescent="0.25"/>
  <cols>
    <col min="1" max="1" width="41.85546875" bestFit="1" customWidth="1"/>
    <col min="3" max="3" width="18.85546875" bestFit="1" customWidth="1"/>
    <col min="5" max="5" width="16.7109375" bestFit="1" customWidth="1"/>
    <col min="7" max="7" width="16.7109375" bestFit="1" customWidth="1"/>
    <col min="8" max="8" width="19.85546875" bestFit="1" customWidth="1"/>
  </cols>
  <sheetData>
    <row r="1" spans="1:15" ht="20.25" thickBot="1" x14ac:dyDescent="0.35">
      <c r="A1" s="41" t="s">
        <v>0</v>
      </c>
      <c r="B1" s="41"/>
      <c r="C1" s="41"/>
      <c r="D1" s="41"/>
      <c r="E1" s="41"/>
      <c r="F1" s="41"/>
      <c r="G1" s="41"/>
      <c r="H1" s="41"/>
      <c r="M1" t="str">
        <f>B21</f>
        <v>Jan 2002 - Feb 2024</v>
      </c>
      <c r="N1" t="str">
        <f>D21</f>
        <v>Jan 2002 - Dec 2012</v>
      </c>
      <c r="O1" t="str">
        <f>F21</f>
        <v>Jan 2013 - Feb 2024</v>
      </c>
    </row>
    <row r="2" spans="1:15" ht="15.75" thickTop="1" x14ac:dyDescent="0.25">
      <c r="L2" t="str">
        <f>A23</f>
        <v>Raw</v>
      </c>
      <c r="M2" s="16">
        <f>B23</f>
        <v>5.0449381615390232E-3</v>
      </c>
      <c r="N2" s="16">
        <f>D23</f>
        <v>6.2742953002744399E-3</v>
      </c>
      <c r="O2" s="16">
        <f>F23</f>
        <v>3.8339296368145549E-3</v>
      </c>
    </row>
    <row r="3" spans="1:15" ht="18" thickBot="1" x14ac:dyDescent="0.35">
      <c r="A3" s="43" t="s">
        <v>1</v>
      </c>
      <c r="B3" s="43"/>
      <c r="C3" s="43"/>
      <c r="D3" s="43"/>
      <c r="E3" s="43"/>
      <c r="F3" s="43"/>
      <c r="G3" s="43"/>
      <c r="H3" s="43"/>
      <c r="L3" t="str">
        <f>A25</f>
        <v xml:space="preserve">CAPM </v>
      </c>
      <c r="M3" s="16">
        <f>B25</f>
        <v>5.6375838483323998E-3</v>
      </c>
      <c r="N3" s="16">
        <f>D25</f>
        <v>6.42767273232819E-3</v>
      </c>
      <c r="O3" s="16">
        <f>F25</f>
        <v>5.0516021101231698E-3</v>
      </c>
    </row>
    <row r="4" spans="1:15" ht="15.75" thickTop="1" x14ac:dyDescent="0.25">
      <c r="L4" t="str">
        <f>A27</f>
        <v>3F</v>
      </c>
      <c r="M4" s="16">
        <f>B27</f>
        <v>6.22643155122477E-3</v>
      </c>
      <c r="N4" s="16">
        <f>D27</f>
        <v>7.5242883993679203E-3</v>
      </c>
      <c r="O4" s="16">
        <f>F27</f>
        <v>5.0383865985210103E-3</v>
      </c>
    </row>
    <row r="5" spans="1:15" ht="15.75" thickBot="1" x14ac:dyDescent="0.3">
      <c r="B5" s="42" t="s">
        <v>22</v>
      </c>
      <c r="C5" s="42"/>
      <c r="D5" s="42" t="s">
        <v>110</v>
      </c>
      <c r="E5" s="42"/>
      <c r="F5" s="42" t="s">
        <v>111</v>
      </c>
      <c r="G5" s="42"/>
      <c r="L5" t="str">
        <f>A29</f>
        <v>4F</v>
      </c>
      <c r="M5" s="16">
        <f>B29</f>
        <v>4.5099190244349604E-3</v>
      </c>
      <c r="N5" s="16">
        <f>D29</f>
        <v>6.7036098531384402E-3</v>
      </c>
      <c r="O5" s="16">
        <f>F29</f>
        <v>5.8219616209050095E-4</v>
      </c>
    </row>
    <row r="6" spans="1:15" x14ac:dyDescent="0.25">
      <c r="B6" s="15" t="s">
        <v>2</v>
      </c>
      <c r="C6" s="15" t="s">
        <v>3</v>
      </c>
      <c r="D6" s="15" t="s">
        <v>2</v>
      </c>
      <c r="E6" s="15" t="s">
        <v>3</v>
      </c>
      <c r="F6" s="15" t="s">
        <v>2</v>
      </c>
      <c r="G6" s="15" t="s">
        <v>3</v>
      </c>
      <c r="L6" t="str">
        <f>A31</f>
        <v>4F + QMJ</v>
      </c>
      <c r="M6" s="16">
        <f>B31</f>
        <v>7.0853432239675199E-3</v>
      </c>
      <c r="N6" s="16">
        <f>D31</f>
        <v>1.03875694629985E-2</v>
      </c>
      <c r="O6" s="16">
        <f>F31</f>
        <v>8.8798709583280699E-4</v>
      </c>
    </row>
    <row r="7" spans="1:15" x14ac:dyDescent="0.25">
      <c r="L7" t="str">
        <f>A33</f>
        <v>4F + BAB</v>
      </c>
      <c r="M7" s="16">
        <f>B33</f>
        <v>4.5178012896241199E-3</v>
      </c>
      <c r="N7" s="16">
        <f>D33</f>
        <v>6.8327083024886199E-3</v>
      </c>
      <c r="O7" s="16">
        <f>F33</f>
        <v>5.8143054329368496E-4</v>
      </c>
    </row>
    <row r="8" spans="1:15" x14ac:dyDescent="0.25">
      <c r="A8" s="4" t="s">
        <v>20</v>
      </c>
      <c r="B8" s="9">
        <f>PerComove_Summary_FullSample!B2</f>
        <v>2.7641113285513741E-3</v>
      </c>
      <c r="C8" s="9">
        <f>PerComove_Summary_FullSample!C2</f>
        <v>1.6026277106479399E-3</v>
      </c>
      <c r="D8" s="9">
        <f>PerComove_Summary_FirstHalf!B2</f>
        <v>7.5514711793302084E-4</v>
      </c>
      <c r="E8" s="9">
        <f>PerComove_Summary_FirstHalf!C2</f>
        <v>-3.92674187696736E-4</v>
      </c>
      <c r="F8" s="9">
        <f>PerComove_Summary_SecHalf!B2</f>
        <v>4.7430909987127368E-3</v>
      </c>
      <c r="G8" s="9">
        <f>PerComove_Summary_SecHalf!C2</f>
        <v>3.40144803350554E-3</v>
      </c>
      <c r="L8" t="str">
        <f>A35</f>
        <v>4F + Carry</v>
      </c>
      <c r="M8" s="16">
        <f>B35</f>
        <v>5.7251355756599599E-3</v>
      </c>
      <c r="N8" s="16">
        <f>D35</f>
        <v>7.8249410622194E-3</v>
      </c>
      <c r="O8" s="16">
        <f>F35</f>
        <v>-1.7297995407475899E-3</v>
      </c>
    </row>
    <row r="9" spans="1:15" x14ac:dyDescent="0.25">
      <c r="A9" s="4">
        <v>2</v>
      </c>
      <c r="B9" s="9">
        <f>PerComove_Summary_FullSample!B3</f>
        <v>5.7265517550279038E-3</v>
      </c>
      <c r="C9" s="9">
        <f>PerComove_Summary_FullSample!C3</f>
        <v>4.3957884646739602E-3</v>
      </c>
      <c r="D9" s="9">
        <f>PerComove_Summary_FirstHalf!B3</f>
        <v>4.4708831296431818E-3</v>
      </c>
      <c r="E9" s="9">
        <f>PerComove_Summary_FirstHalf!C3</f>
        <v>3.3811334953125802E-3</v>
      </c>
      <c r="F9" s="9">
        <f>PerComove_Summary_SecHalf!B3</f>
        <v>6.9634790576456884E-3</v>
      </c>
      <c r="G9" s="9">
        <f>PerComove_Summary_SecHalf!C3</f>
        <v>4.57933510726045E-3</v>
      </c>
      <c r="L9" t="str">
        <f>A37</f>
        <v>4F + Seasonality</v>
      </c>
      <c r="M9" s="16">
        <f>B37</f>
        <v>6.4513570317708199E-3</v>
      </c>
      <c r="N9" s="16">
        <f>D37</f>
        <v>8.4245613849804092E-3</v>
      </c>
      <c r="O9" s="16">
        <f>F37</f>
        <v>3.0541586872801E-3</v>
      </c>
    </row>
    <row r="10" spans="1:15" x14ac:dyDescent="0.25">
      <c r="A10" s="4">
        <v>3</v>
      </c>
      <c r="B10" s="9">
        <f>PerComove_Summary_FullSample!B4</f>
        <v>5.9609117851402438E-3</v>
      </c>
      <c r="C10" s="9">
        <f>PerComove_Summary_FullSample!C4</f>
        <v>4.4494203159945898E-3</v>
      </c>
      <c r="D10" s="9">
        <f>PerComove_Summary_FirstHalf!B4</f>
        <v>5.4562204246399633E-3</v>
      </c>
      <c r="E10" s="9">
        <f>PerComove_Summary_FirstHalf!C4</f>
        <v>4.7245658089350596E-3</v>
      </c>
      <c r="F10" s="9">
        <f>PerComove_Summary_SecHalf!B4</f>
        <v>6.4580704387673851E-3</v>
      </c>
      <c r="G10" s="9">
        <f>PerComove_Summary_SecHalf!C4</f>
        <v>2.8799558757013799E-3</v>
      </c>
      <c r="L10" t="str">
        <f>A39</f>
        <v>4F + UMD_Trend</v>
      </c>
      <c r="M10" s="16">
        <f>B39</f>
        <v>5.7521322200735003E-3</v>
      </c>
      <c r="N10" s="16">
        <f>D39</f>
        <v>6.6993229436812301E-3</v>
      </c>
      <c r="O10" s="16">
        <f>F39</f>
        <v>3.02936511332449E-3</v>
      </c>
    </row>
    <row r="11" spans="1:15" x14ac:dyDescent="0.25">
      <c r="A11" s="4">
        <v>4</v>
      </c>
      <c r="B11" s="9">
        <f>PerComove_Summary_FullSample!B5</f>
        <v>7.2523538930006036E-3</v>
      </c>
      <c r="C11" s="9">
        <f>PerComove_Summary_FullSample!C5</f>
        <v>6.2076243720880896E-3</v>
      </c>
      <c r="D11" s="9">
        <f>PerComove_Summary_FirstHalf!B5</f>
        <v>7.0902164535125971E-3</v>
      </c>
      <c r="E11" s="9">
        <f>PerComove_Summary_FirstHalf!C5</f>
        <v>6.6348656122517599E-3</v>
      </c>
      <c r="F11" s="9">
        <f>PerComove_Summary_SecHalf!B5</f>
        <v>7.412071370705208E-3</v>
      </c>
      <c r="G11" s="9">
        <f>PerComove_Summary_SecHalf!C5</f>
        <v>4.3606813358129399E-3</v>
      </c>
      <c r="L11" t="str">
        <f>A41</f>
        <v>4F with HML_Devil</v>
      </c>
      <c r="M11" s="16">
        <f>B41</f>
        <v>7.4920570194202301E-3</v>
      </c>
      <c r="N11" s="16">
        <f>D41</f>
        <v>9.8262394337772403E-3</v>
      </c>
      <c r="O11" s="16">
        <f>F41</f>
        <v>3.3774033912859699E-3</v>
      </c>
    </row>
    <row r="12" spans="1:15" x14ac:dyDescent="0.25">
      <c r="A12" s="4" t="s">
        <v>21</v>
      </c>
      <c r="B12" s="9">
        <f>PerComove_Summary_FullSample!B6</f>
        <v>7.8090494900903903E-3</v>
      </c>
      <c r="C12" s="9">
        <f>PerComove_Summary_FullSample!C6</f>
        <v>6.1125467350828999E-3</v>
      </c>
      <c r="D12" s="9">
        <f>PerComove_Summary_FirstHalf!B6</f>
        <v>7.0294424182074863E-3</v>
      </c>
      <c r="E12" s="9">
        <f>PerComove_Summary_FirstHalf!C6</f>
        <v>6.3109356654417002E-3</v>
      </c>
      <c r="F12" s="9">
        <f>PerComove_Summary_SecHalf!B6</f>
        <v>8.5770206355272795E-3</v>
      </c>
      <c r="G12" s="9">
        <f>PerComove_Summary_SecHalf!C6</f>
        <v>3.98364419559604E-3</v>
      </c>
      <c r="L12" t="s">
        <v>15</v>
      </c>
      <c r="M12" s="16">
        <f>B43</f>
        <v>8.8214547812601306E-3</v>
      </c>
      <c r="N12" s="16">
        <f>D43</f>
        <v>1.05969399927277E-2</v>
      </c>
      <c r="O12" s="16">
        <f>F43</f>
        <v>6.5053253522061698E-3</v>
      </c>
    </row>
    <row r="13" spans="1:15" x14ac:dyDescent="0.25">
      <c r="M13" s="16"/>
      <c r="N13" s="16"/>
      <c r="O13" s="16"/>
    </row>
    <row r="14" spans="1:15" ht="15.75" thickBot="1" x14ac:dyDescent="0.3">
      <c r="A14" s="7" t="s">
        <v>4</v>
      </c>
      <c r="B14" s="10">
        <f>B12-B8</f>
        <v>5.0449381615390162E-3</v>
      </c>
      <c r="C14" s="10">
        <f>C12-C8</f>
        <v>4.5099190244349604E-3</v>
      </c>
      <c r="D14" s="10">
        <f t="shared" ref="D14:G14" si="0">D12-D8</f>
        <v>6.2742953002744659E-3</v>
      </c>
      <c r="E14" s="10">
        <f t="shared" si="0"/>
        <v>6.7036098531384359E-3</v>
      </c>
      <c r="F14" s="10">
        <f t="shared" si="0"/>
        <v>3.8339296368145427E-3</v>
      </c>
      <c r="G14" s="10">
        <f t="shared" si="0"/>
        <v>5.8219616209049998E-4</v>
      </c>
      <c r="H14" s="1"/>
    </row>
    <row r="15" spans="1:15" ht="15.75" thickTop="1" x14ac:dyDescent="0.25">
      <c r="A15" s="5" t="s">
        <v>28</v>
      </c>
      <c r="C15" s="13" t="s">
        <v>31</v>
      </c>
      <c r="E15" s="13" t="s">
        <v>31</v>
      </c>
      <c r="G15" s="13"/>
      <c r="M15" s="16"/>
      <c r="N15" s="16"/>
      <c r="O15" s="16"/>
    </row>
    <row r="16" spans="1:15" x14ac:dyDescent="0.25">
      <c r="A16" s="5" t="s">
        <v>5</v>
      </c>
      <c r="B16" s="9">
        <f>B14*12</f>
        <v>6.0539257938468191E-2</v>
      </c>
      <c r="C16" s="9">
        <f>C14*12</f>
        <v>5.4119028293219525E-2</v>
      </c>
      <c r="D16" s="9">
        <f t="shared" ref="D16:G16" si="1">D14*12</f>
        <v>7.5291543603293598E-2</v>
      </c>
      <c r="E16" s="9">
        <f t="shared" si="1"/>
        <v>8.0443318237661238E-2</v>
      </c>
      <c r="F16" s="9">
        <f t="shared" si="1"/>
        <v>4.6007155641774516E-2</v>
      </c>
      <c r="G16" s="9">
        <f t="shared" si="1"/>
        <v>6.9863539450859997E-3</v>
      </c>
    </row>
    <row r="17" spans="1:15" x14ac:dyDescent="0.25">
      <c r="A17" s="5" t="s">
        <v>37</v>
      </c>
      <c r="B17" s="11">
        <f>HighLow_Dummy_FullSample!D3</f>
        <v>0.14410576730924249</v>
      </c>
      <c r="C17" s="11">
        <f>HighLow_4F_FullSample!D2</f>
        <v>9.0363955501667786E-2</v>
      </c>
      <c r="D17" s="11">
        <f>HighLow_Dummy_FirstHalf!D3</f>
        <v>0.20879388602238841</v>
      </c>
      <c r="E17" s="11">
        <f>HighLow_4F_FirstHalf!D2</f>
        <v>8.490031202685995E-2</v>
      </c>
      <c r="F17" s="11">
        <f>HighLow_Dummy_SecHalf!D3</f>
        <v>0.42242402854024452</v>
      </c>
      <c r="G17" s="11">
        <f>HighLow_4F_SecHalf!D2</f>
        <v>0.84933024232730214</v>
      </c>
      <c r="M17" s="16"/>
      <c r="N17" s="16"/>
      <c r="O17" s="16"/>
    </row>
    <row r="19" spans="1:15" ht="18" thickBot="1" x14ac:dyDescent="0.35">
      <c r="A19" s="43" t="s">
        <v>19</v>
      </c>
      <c r="B19" s="43"/>
      <c r="C19" s="43"/>
      <c r="D19" s="43"/>
      <c r="E19" s="43"/>
      <c r="F19" s="43"/>
      <c r="G19" s="43"/>
      <c r="H19" s="43"/>
      <c r="M19" s="16"/>
      <c r="N19" s="16"/>
      <c r="O19" s="16"/>
    </row>
    <row r="20" spans="1:15" ht="15.75" thickTop="1" x14ac:dyDescent="0.25"/>
    <row r="21" spans="1:15" ht="15.75" thickBot="1" x14ac:dyDescent="0.3">
      <c r="B21" s="42" t="s">
        <v>22</v>
      </c>
      <c r="C21" s="42"/>
      <c r="D21" s="42" t="s">
        <v>110</v>
      </c>
      <c r="E21" s="42"/>
      <c r="F21" s="42" t="s">
        <v>111</v>
      </c>
      <c r="G21" s="42"/>
      <c r="H21" s="6" t="s">
        <v>8</v>
      </c>
      <c r="N21" s="16"/>
      <c r="O21" s="16"/>
    </row>
    <row r="22" spans="1:15" x14ac:dyDescent="0.25">
      <c r="B22" s="15" t="s">
        <v>6</v>
      </c>
      <c r="C22" s="15" t="s">
        <v>7</v>
      </c>
      <c r="D22" s="15" t="s">
        <v>6</v>
      </c>
      <c r="E22" s="15" t="s">
        <v>7</v>
      </c>
      <c r="F22" s="15" t="s">
        <v>6</v>
      </c>
      <c r="G22" s="15" t="s">
        <v>7</v>
      </c>
    </row>
    <row r="23" spans="1:15" x14ac:dyDescent="0.25">
      <c r="A23" s="4" t="s">
        <v>9</v>
      </c>
      <c r="B23" s="9">
        <f>HighLow_Dummy_FullSample!C3</f>
        <v>5.0449381615390232E-3</v>
      </c>
      <c r="C23" s="9">
        <f>B23*12</f>
        <v>6.0539257938468274E-2</v>
      </c>
      <c r="D23" s="14">
        <f>HighLow_Dummy_FirstHalf!C3</f>
        <v>6.2742953002744399E-3</v>
      </c>
      <c r="E23" s="9">
        <f>D23*12</f>
        <v>7.5291543603293279E-2</v>
      </c>
      <c r="F23" s="14">
        <f>HighLow_Dummy_SecHalf!C3</f>
        <v>3.8339296368145549E-3</v>
      </c>
      <c r="G23" s="9">
        <f>F23*12</f>
        <v>4.6007155641774655E-2</v>
      </c>
      <c r="H23" s="2" t="s">
        <v>22</v>
      </c>
    </row>
    <row r="24" spans="1:15" x14ac:dyDescent="0.25">
      <c r="A24" s="4"/>
      <c r="C24" s="9"/>
      <c r="D24" s="14"/>
      <c r="E24" s="9"/>
      <c r="F24" s="14"/>
      <c r="G24" s="9"/>
      <c r="H24" s="2"/>
    </row>
    <row r="25" spans="1:15" x14ac:dyDescent="0.25">
      <c r="A25" s="4" t="s">
        <v>10</v>
      </c>
      <c r="B25" s="9">
        <v>5.6375838483323998E-3</v>
      </c>
      <c r="C25" s="9">
        <f>B25*12</f>
        <v>6.7651006179988801E-2</v>
      </c>
      <c r="D25" s="14">
        <v>6.42767273232819E-3</v>
      </c>
      <c r="E25" s="9">
        <f>D25*12</f>
        <v>7.713207278793828E-2</v>
      </c>
      <c r="F25" s="14">
        <v>5.0516021101231698E-3</v>
      </c>
      <c r="G25" s="9">
        <f t="shared" ref="G25:G43" si="2">F25*12</f>
        <v>6.0619225321478037E-2</v>
      </c>
      <c r="H25" s="2" t="s">
        <v>22</v>
      </c>
    </row>
    <row r="26" spans="1:15" x14ac:dyDescent="0.25">
      <c r="A26" s="4"/>
      <c r="B26" s="12" t="s">
        <v>107</v>
      </c>
      <c r="C26" s="9"/>
      <c r="D26" s="14" t="s">
        <v>34</v>
      </c>
      <c r="E26" s="9"/>
      <c r="F26" s="14" t="s">
        <v>31</v>
      </c>
      <c r="G26" s="9"/>
      <c r="H26" s="2"/>
    </row>
    <row r="27" spans="1:15" x14ac:dyDescent="0.25">
      <c r="A27" s="4" t="s">
        <v>11</v>
      </c>
      <c r="B27" s="9">
        <v>6.22643155122477E-3</v>
      </c>
      <c r="C27" s="9">
        <f>B27*12</f>
        <v>7.4717178614697233E-2</v>
      </c>
      <c r="D27" s="14">
        <v>7.5242883993679203E-3</v>
      </c>
      <c r="E27" s="9">
        <f t="shared" ref="E27:E43" si="3">D27*12</f>
        <v>9.029146079241504E-2</v>
      </c>
      <c r="F27" s="14">
        <v>5.0383865985210103E-3</v>
      </c>
      <c r="G27" s="9">
        <f t="shared" si="2"/>
        <v>6.0460639182252127E-2</v>
      </c>
      <c r="H27" s="2" t="s">
        <v>22</v>
      </c>
    </row>
    <row r="28" spans="1:15" x14ac:dyDescent="0.25">
      <c r="A28" s="4"/>
      <c r="B28" s="12" t="s">
        <v>107</v>
      </c>
      <c r="C28" s="9"/>
      <c r="D28" s="14" t="s">
        <v>107</v>
      </c>
      <c r="E28" s="9"/>
      <c r="F28" s="14" t="s">
        <v>34</v>
      </c>
      <c r="G28" s="9"/>
      <c r="H28" s="2"/>
    </row>
    <row r="29" spans="1:15" x14ac:dyDescent="0.25">
      <c r="A29" s="4" t="s">
        <v>12</v>
      </c>
      <c r="B29" s="9">
        <v>4.5099190244349604E-3</v>
      </c>
      <c r="C29" s="9">
        <f>B29*12</f>
        <v>5.4119028293219525E-2</v>
      </c>
      <c r="D29" s="14">
        <v>6.7036098531384402E-3</v>
      </c>
      <c r="E29" s="9">
        <f t="shared" si="3"/>
        <v>8.0443318237661279E-2</v>
      </c>
      <c r="F29" s="14">
        <f>HighLow_Summary_SecHalf!B4</f>
        <v>5.8219616209050095E-4</v>
      </c>
      <c r="G29" s="9">
        <f t="shared" si="2"/>
        <v>6.9863539450860119E-3</v>
      </c>
      <c r="H29" s="2" t="s">
        <v>22</v>
      </c>
    </row>
    <row r="30" spans="1:15" x14ac:dyDescent="0.25">
      <c r="A30" s="4"/>
      <c r="B30" s="12" t="s">
        <v>31</v>
      </c>
      <c r="C30" s="9"/>
      <c r="D30" s="14" t="s">
        <v>31</v>
      </c>
      <c r="E30" s="9"/>
      <c r="F30" s="14"/>
      <c r="G30" s="9"/>
      <c r="H30" s="2"/>
    </row>
    <row r="31" spans="1:15" x14ac:dyDescent="0.25">
      <c r="A31" s="4" t="s">
        <v>13</v>
      </c>
      <c r="B31" s="9">
        <v>7.0853432239675199E-3</v>
      </c>
      <c r="C31" s="9">
        <f>B31*12</f>
        <v>8.5024118687610242E-2</v>
      </c>
      <c r="D31" s="14">
        <v>1.03875694629985E-2</v>
      </c>
      <c r="E31" s="9">
        <f t="shared" si="3"/>
        <v>0.124650833555982</v>
      </c>
      <c r="F31" s="14">
        <f>HighLow_Summary_SecHalf!B7</f>
        <v>8.8798709583280699E-4</v>
      </c>
      <c r="G31" s="9">
        <f t="shared" si="2"/>
        <v>1.0655845149993685E-2</v>
      </c>
      <c r="H31" s="2" t="s">
        <v>22</v>
      </c>
    </row>
    <row r="32" spans="1:15" x14ac:dyDescent="0.25">
      <c r="A32" s="4"/>
      <c r="B32" s="12" t="s">
        <v>34</v>
      </c>
      <c r="C32" s="9"/>
      <c r="D32" s="14" t="s">
        <v>107</v>
      </c>
      <c r="E32" s="9"/>
      <c r="F32" s="14"/>
      <c r="G32" s="9"/>
      <c r="H32" s="2"/>
    </row>
    <row r="33" spans="1:8" x14ac:dyDescent="0.25">
      <c r="A33" s="4" t="s">
        <v>14</v>
      </c>
      <c r="B33" s="9">
        <v>4.5178012896241199E-3</v>
      </c>
      <c r="C33" s="9">
        <f>B33*12</f>
        <v>5.4213615475489439E-2</v>
      </c>
      <c r="D33" s="14">
        <v>6.8327083024886199E-3</v>
      </c>
      <c r="E33" s="9">
        <f t="shared" si="3"/>
        <v>8.1992499629863436E-2</v>
      </c>
      <c r="F33" s="14">
        <f>HighLow_Summary_SecHalf!B5</f>
        <v>5.8143054329368496E-4</v>
      </c>
      <c r="G33" s="9">
        <f t="shared" si="2"/>
        <v>6.9771665195242196E-3</v>
      </c>
      <c r="H33" s="3" t="s">
        <v>18</v>
      </c>
    </row>
    <row r="34" spans="1:8" x14ac:dyDescent="0.25">
      <c r="A34" s="4"/>
      <c r="B34" s="12" t="s">
        <v>31</v>
      </c>
      <c r="C34" s="9"/>
      <c r="D34" s="14" t="s">
        <v>31</v>
      </c>
      <c r="E34" s="9"/>
      <c r="F34" s="14"/>
      <c r="G34" s="9"/>
      <c r="H34" s="2"/>
    </row>
    <row r="35" spans="1:8" x14ac:dyDescent="0.25">
      <c r="A35" s="4" t="s">
        <v>16</v>
      </c>
      <c r="B35" s="9">
        <f>0.00572513557565996</f>
        <v>5.7251355756599599E-3</v>
      </c>
      <c r="C35" s="9">
        <f>B35*12</f>
        <v>6.8701626907919519E-2</v>
      </c>
      <c r="D35" s="14">
        <v>7.8249410622194E-3</v>
      </c>
      <c r="E35" s="9">
        <f t="shared" si="3"/>
        <v>9.3899292746632806E-2</v>
      </c>
      <c r="F35" s="14">
        <f>HighLow_Summary_SecHalf!B6</f>
        <v>-1.7297995407475899E-3</v>
      </c>
      <c r="G35" s="9">
        <f t="shared" si="2"/>
        <v>-2.075759448897108E-2</v>
      </c>
      <c r="H35" s="3" t="s">
        <v>18</v>
      </c>
    </row>
    <row r="36" spans="1:8" x14ac:dyDescent="0.25">
      <c r="A36" s="4"/>
      <c r="B36" s="12" t="s">
        <v>31</v>
      </c>
      <c r="C36" s="9"/>
      <c r="D36" s="14" t="s">
        <v>34</v>
      </c>
      <c r="E36" s="9"/>
      <c r="F36" s="14"/>
      <c r="G36" s="9"/>
      <c r="H36" s="2"/>
    </row>
    <row r="37" spans="1:8" x14ac:dyDescent="0.25">
      <c r="A37" s="4" t="s">
        <v>17</v>
      </c>
      <c r="B37" s="9">
        <v>6.4513570317708199E-3</v>
      </c>
      <c r="C37" s="9">
        <f>B37*12</f>
        <v>7.7416284381249839E-2</v>
      </c>
      <c r="D37" s="14">
        <v>8.4245613849804092E-3</v>
      </c>
      <c r="E37" s="9">
        <f t="shared" si="3"/>
        <v>0.10109473661976491</v>
      </c>
      <c r="F37" s="14">
        <f>HighLow_Summary_SecHalf!B8</f>
        <v>3.0541586872801E-3</v>
      </c>
      <c r="G37" s="9">
        <f t="shared" si="2"/>
        <v>3.6649904247361198E-2</v>
      </c>
      <c r="H37" s="3" t="s">
        <v>18</v>
      </c>
    </row>
    <row r="38" spans="1:8" x14ac:dyDescent="0.25">
      <c r="A38" s="4"/>
      <c r="B38" s="12" t="s">
        <v>34</v>
      </c>
      <c r="C38" s="9"/>
      <c r="D38" s="14" t="s">
        <v>34</v>
      </c>
      <c r="E38" s="9"/>
      <c r="F38" s="14"/>
      <c r="G38" s="9"/>
      <c r="H38" s="2"/>
    </row>
    <row r="39" spans="1:8" x14ac:dyDescent="0.25">
      <c r="A39" s="4" t="s">
        <v>108</v>
      </c>
      <c r="B39" s="14">
        <f>0.0057521322200735</f>
        <v>5.7521322200735003E-3</v>
      </c>
      <c r="C39" s="9">
        <f>B39*12</f>
        <v>6.9025586640882E-2</v>
      </c>
      <c r="D39" s="14">
        <v>6.6993229436812301E-3</v>
      </c>
      <c r="E39" s="9">
        <f t="shared" si="3"/>
        <v>8.0391875324174758E-2</v>
      </c>
      <c r="F39" s="14">
        <f>HighLow_Summary_SecHalf!B9</f>
        <v>3.02936511332449E-3</v>
      </c>
      <c r="G39" s="9">
        <f t="shared" si="2"/>
        <v>3.6352381359893882E-2</v>
      </c>
      <c r="H39" s="3" t="s">
        <v>18</v>
      </c>
    </row>
    <row r="40" spans="1:8" x14ac:dyDescent="0.25">
      <c r="A40" s="4"/>
      <c r="B40" s="12" t="s">
        <v>31</v>
      </c>
      <c r="C40" s="9"/>
      <c r="D40" s="14" t="s">
        <v>31</v>
      </c>
      <c r="E40" s="9"/>
      <c r="F40" s="14"/>
      <c r="G40" s="9"/>
      <c r="H40" s="2"/>
    </row>
    <row r="41" spans="1:8" x14ac:dyDescent="0.25">
      <c r="A41" s="4" t="s">
        <v>109</v>
      </c>
      <c r="B41" s="14">
        <v>7.4920570194202301E-3</v>
      </c>
      <c r="C41" s="9">
        <f>B41*12</f>
        <v>8.9904684233042764E-2</v>
      </c>
      <c r="D41" s="14">
        <v>9.8262394337772403E-3</v>
      </c>
      <c r="E41" s="9">
        <f t="shared" si="3"/>
        <v>0.11791487320532688</v>
      </c>
      <c r="F41" s="14">
        <f>HighLow_Summary_SecHalf!B10</f>
        <v>3.3774033912859699E-3</v>
      </c>
      <c r="G41" s="9">
        <f t="shared" si="2"/>
        <v>4.0528840695431639E-2</v>
      </c>
      <c r="H41" s="2" t="s">
        <v>22</v>
      </c>
    </row>
    <row r="42" spans="1:8" x14ac:dyDescent="0.25">
      <c r="A42" s="4"/>
      <c r="B42" s="12" t="s">
        <v>34</v>
      </c>
      <c r="C42" s="9"/>
      <c r="D42" s="14" t="s">
        <v>107</v>
      </c>
      <c r="E42" s="9"/>
      <c r="F42" s="14"/>
      <c r="G42" s="9"/>
      <c r="H42" s="2"/>
    </row>
    <row r="43" spans="1:8" x14ac:dyDescent="0.25">
      <c r="A43" s="4" t="s">
        <v>15</v>
      </c>
      <c r="B43" s="9">
        <v>8.8214547812601306E-3</v>
      </c>
      <c r="C43" s="9">
        <f>B43*12</f>
        <v>0.10585745737512156</v>
      </c>
      <c r="D43" s="14">
        <v>1.05969399927277E-2</v>
      </c>
      <c r="E43" s="9">
        <f t="shared" si="3"/>
        <v>0.12716327991273241</v>
      </c>
      <c r="F43" s="14">
        <v>6.5053253522061698E-3</v>
      </c>
      <c r="G43" s="9">
        <f t="shared" si="2"/>
        <v>7.8063904226474037E-2</v>
      </c>
      <c r="H43" s="2" t="s">
        <v>22</v>
      </c>
    </row>
    <row r="44" spans="1:8" x14ac:dyDescent="0.25">
      <c r="B44" s="12" t="s">
        <v>107</v>
      </c>
      <c r="C44" s="9"/>
      <c r="D44" s="12" t="s">
        <v>107</v>
      </c>
      <c r="E44" s="9"/>
      <c r="F44" s="14" t="s">
        <v>107</v>
      </c>
    </row>
  </sheetData>
  <mergeCells count="9">
    <mergeCell ref="A1:H1"/>
    <mergeCell ref="B5:C5"/>
    <mergeCell ref="A3:H3"/>
    <mergeCell ref="A19:H19"/>
    <mergeCell ref="B21:C21"/>
    <mergeCell ref="D21:E21"/>
    <mergeCell ref="F21:G21"/>
    <mergeCell ref="D5:E5"/>
    <mergeCell ref="F5:G5"/>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46034-1A60-4A45-8045-FD1F3741B965}">
  <sheetPr codeName="Sheet2">
    <tabColor theme="9" tint="0.79998168889431442"/>
  </sheetPr>
  <dimension ref="A1:C6"/>
  <sheetViews>
    <sheetView workbookViewId="0">
      <selection activeCell="D22" sqref="D22"/>
    </sheetView>
  </sheetViews>
  <sheetFormatPr defaultRowHeight="15" x14ac:dyDescent="0.25"/>
  <sheetData>
    <row r="1" spans="1:3" x14ac:dyDescent="0.25">
      <c r="A1" s="8" t="s">
        <v>23</v>
      </c>
      <c r="B1" s="8" t="s">
        <v>24</v>
      </c>
      <c r="C1" s="8" t="s">
        <v>3</v>
      </c>
    </row>
    <row r="2" spans="1:3" x14ac:dyDescent="0.25">
      <c r="A2" s="8">
        <v>1</v>
      </c>
      <c r="B2">
        <v>2.7641113285513741E-3</v>
      </c>
      <c r="C2">
        <v>1.6026277106479399E-3</v>
      </c>
    </row>
    <row r="3" spans="1:3" x14ac:dyDescent="0.25">
      <c r="A3" s="8">
        <v>2</v>
      </c>
      <c r="B3">
        <v>5.7265517550279038E-3</v>
      </c>
      <c r="C3">
        <v>4.3957884646739602E-3</v>
      </c>
    </row>
    <row r="4" spans="1:3" x14ac:dyDescent="0.25">
      <c r="A4" s="8">
        <v>3</v>
      </c>
      <c r="B4">
        <v>5.9609117851402438E-3</v>
      </c>
      <c r="C4">
        <v>4.4494203159945898E-3</v>
      </c>
    </row>
    <row r="5" spans="1:3" x14ac:dyDescent="0.25">
      <c r="A5" s="8">
        <v>4</v>
      </c>
      <c r="B5">
        <v>7.2523538930006036E-3</v>
      </c>
      <c r="C5">
        <v>6.2076243720880896E-3</v>
      </c>
    </row>
    <row r="6" spans="1:3" x14ac:dyDescent="0.25">
      <c r="A6" s="8">
        <v>5</v>
      </c>
      <c r="B6">
        <v>7.8090494900903903E-3</v>
      </c>
      <c r="C6">
        <v>6.1125467350828999E-3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6973-AD8E-4590-8B5C-B4D815F867CD}">
  <sheetPr codeName="Sheet3">
    <tabColor theme="9" tint="0.79998168889431442"/>
  </sheetPr>
  <dimension ref="A1:E3"/>
  <sheetViews>
    <sheetView workbookViewId="0">
      <selection activeCell="E13" sqref="E13"/>
    </sheetView>
  </sheetViews>
  <sheetFormatPr defaultRowHeight="15" x14ac:dyDescent="0.25"/>
  <sheetData>
    <row r="1" spans="1:5" x14ac:dyDescent="0.25">
      <c r="B1" s="8" t="s">
        <v>25</v>
      </c>
      <c r="C1" s="8" t="s">
        <v>26</v>
      </c>
      <c r="D1" s="8" t="s">
        <v>27</v>
      </c>
      <c r="E1" s="8" t="s">
        <v>28</v>
      </c>
    </row>
    <row r="2" spans="1:5" x14ac:dyDescent="0.25">
      <c r="A2" s="8">
        <v>0</v>
      </c>
      <c r="B2" t="s">
        <v>29</v>
      </c>
      <c r="C2">
        <v>3.9073444112581344E-3</v>
      </c>
      <c r="D2">
        <v>0.25614972433822769</v>
      </c>
    </row>
    <row r="3" spans="1:5" x14ac:dyDescent="0.25">
      <c r="A3" s="8">
        <v>1</v>
      </c>
      <c r="B3" t="s">
        <v>30</v>
      </c>
      <c r="C3">
        <v>5.0449381615390232E-3</v>
      </c>
      <c r="D3">
        <v>0.14410576730924249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20D1C-91C4-4E04-8F5B-1663A15C2DC7}">
  <sheetPr codeName="Sheet4">
    <tabColor theme="9" tint="0.79998168889431442"/>
  </sheetPr>
  <dimension ref="A1:N12"/>
  <sheetViews>
    <sheetView workbookViewId="0">
      <selection activeCell="C25" sqref="C25"/>
    </sheetView>
  </sheetViews>
  <sheetFormatPr defaultRowHeight="15" x14ac:dyDescent="0.25"/>
  <cols>
    <col min="1" max="1" width="18.7109375" bestFit="1" customWidth="1"/>
    <col min="2" max="2" width="24" bestFit="1" customWidth="1"/>
  </cols>
  <sheetData>
    <row r="1" spans="1:14" x14ac:dyDescent="0.25">
      <c r="A1" s="8" t="s">
        <v>38</v>
      </c>
      <c r="B1" s="8" t="s">
        <v>6</v>
      </c>
      <c r="C1" s="8" t="s">
        <v>32</v>
      </c>
      <c r="D1" s="8" t="s">
        <v>33</v>
      </c>
      <c r="E1" s="8" t="s">
        <v>35</v>
      </c>
      <c r="F1" s="8" t="s">
        <v>39</v>
      </c>
      <c r="G1" s="8" t="s">
        <v>36</v>
      </c>
      <c r="H1" s="8" t="s">
        <v>40</v>
      </c>
      <c r="I1" s="8" t="s">
        <v>41</v>
      </c>
      <c r="J1" s="8" t="s">
        <v>42</v>
      </c>
      <c r="K1" s="8" t="s">
        <v>43</v>
      </c>
      <c r="L1" s="8" t="s">
        <v>44</v>
      </c>
      <c r="M1" s="8" t="s">
        <v>45</v>
      </c>
      <c r="N1" s="8" t="s">
        <v>46</v>
      </c>
    </row>
    <row r="2" spans="1:14" x14ac:dyDescent="0.25">
      <c r="A2" s="8" t="s">
        <v>47</v>
      </c>
      <c r="B2" t="s">
        <v>48</v>
      </c>
      <c r="C2" t="s">
        <v>49</v>
      </c>
    </row>
    <row r="3" spans="1:14" x14ac:dyDescent="0.25">
      <c r="A3" s="8" t="s">
        <v>50</v>
      </c>
      <c r="B3" t="s">
        <v>51</v>
      </c>
      <c r="C3" t="s">
        <v>52</v>
      </c>
      <c r="D3" t="s">
        <v>53</v>
      </c>
      <c r="E3" t="s">
        <v>54</v>
      </c>
    </row>
    <row r="4" spans="1:14" x14ac:dyDescent="0.25">
      <c r="A4" s="8" t="s">
        <v>55</v>
      </c>
      <c r="B4" t="s">
        <v>56</v>
      </c>
      <c r="C4" t="s">
        <v>57</v>
      </c>
      <c r="D4" t="s">
        <v>58</v>
      </c>
      <c r="E4" t="s">
        <v>59</v>
      </c>
    </row>
    <row r="5" spans="1:14" x14ac:dyDescent="0.25">
      <c r="A5" s="8" t="s">
        <v>60</v>
      </c>
      <c r="B5" t="s">
        <v>61</v>
      </c>
      <c r="C5" t="s">
        <v>62</v>
      </c>
      <c r="D5" t="s">
        <v>63</v>
      </c>
      <c r="E5" t="s">
        <v>64</v>
      </c>
      <c r="I5" t="s">
        <v>65</v>
      </c>
    </row>
    <row r="6" spans="1:14" x14ac:dyDescent="0.25">
      <c r="A6" s="8" t="s">
        <v>66</v>
      </c>
      <c r="B6" t="s">
        <v>67</v>
      </c>
      <c r="C6" t="s">
        <v>68</v>
      </c>
      <c r="D6" t="s">
        <v>69</v>
      </c>
      <c r="E6" t="s">
        <v>70</v>
      </c>
      <c r="G6" t="s">
        <v>71</v>
      </c>
      <c r="J6" t="s">
        <v>72</v>
      </c>
    </row>
    <row r="7" spans="1:14" x14ac:dyDescent="0.25">
      <c r="A7" s="8" t="s">
        <v>73</v>
      </c>
      <c r="B7" t="s">
        <v>74</v>
      </c>
      <c r="C7" t="s">
        <v>75</v>
      </c>
      <c r="D7" t="s">
        <v>76</v>
      </c>
      <c r="E7" t="s">
        <v>77</v>
      </c>
      <c r="K7" t="s">
        <v>78</v>
      </c>
    </row>
    <row r="8" spans="1:14" x14ac:dyDescent="0.25">
      <c r="A8" s="8" t="s">
        <v>79</v>
      </c>
      <c r="B8" t="s">
        <v>80</v>
      </c>
      <c r="C8" t="s">
        <v>81</v>
      </c>
      <c r="D8" t="s">
        <v>82</v>
      </c>
      <c r="E8" t="s">
        <v>83</v>
      </c>
      <c r="G8" t="s">
        <v>84</v>
      </c>
      <c r="L8" t="s">
        <v>85</v>
      </c>
    </row>
    <row r="9" spans="1:14" x14ac:dyDescent="0.25">
      <c r="A9" s="8" t="s">
        <v>86</v>
      </c>
      <c r="B9" t="s">
        <v>87</v>
      </c>
      <c r="C9" t="s">
        <v>88</v>
      </c>
      <c r="D9" t="s">
        <v>89</v>
      </c>
      <c r="E9" t="s">
        <v>90</v>
      </c>
      <c r="G9" t="s">
        <v>91</v>
      </c>
      <c r="H9" t="s">
        <v>92</v>
      </c>
    </row>
    <row r="10" spans="1:14" x14ac:dyDescent="0.25">
      <c r="A10" s="8" t="s">
        <v>93</v>
      </c>
      <c r="B10" t="s">
        <v>94</v>
      </c>
      <c r="C10" t="s">
        <v>95</v>
      </c>
      <c r="D10" t="s">
        <v>96</v>
      </c>
      <c r="F10" t="s">
        <v>97</v>
      </c>
      <c r="G10" t="s">
        <v>98</v>
      </c>
    </row>
    <row r="11" spans="1:14" x14ac:dyDescent="0.25">
      <c r="A11" s="8" t="s">
        <v>99</v>
      </c>
      <c r="B11" t="s">
        <v>100</v>
      </c>
      <c r="C11" t="s">
        <v>101</v>
      </c>
      <c r="D11" t="s">
        <v>102</v>
      </c>
      <c r="E11" t="s">
        <v>103</v>
      </c>
      <c r="M11" t="s">
        <v>104</v>
      </c>
      <c r="N11" t="s">
        <v>105</v>
      </c>
    </row>
    <row r="12" spans="1:14" x14ac:dyDescent="0.25">
      <c r="A12" s="8" t="s">
        <v>9</v>
      </c>
      <c r="B12" t="s">
        <v>106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9A0F-8A3D-46B8-96FE-56891D057D54}">
  <sheetPr codeName="Sheet5">
    <tabColor theme="9" tint="0.79998168889431442"/>
  </sheetPr>
  <dimension ref="A1:E6"/>
  <sheetViews>
    <sheetView workbookViewId="0">
      <selection activeCell="J34" sqref="J34"/>
    </sheetView>
  </sheetViews>
  <sheetFormatPr defaultRowHeight="15" x14ac:dyDescent="0.25"/>
  <sheetData>
    <row r="1" spans="1:5" x14ac:dyDescent="0.25">
      <c r="B1" s="8" t="s">
        <v>25</v>
      </c>
      <c r="C1" s="8" t="s">
        <v>26</v>
      </c>
      <c r="D1" s="8" t="s">
        <v>27</v>
      </c>
      <c r="E1" s="8" t="s">
        <v>28</v>
      </c>
    </row>
    <row r="2" spans="1:5" x14ac:dyDescent="0.25">
      <c r="A2" s="8">
        <v>0</v>
      </c>
      <c r="B2" t="s">
        <v>29</v>
      </c>
      <c r="C2">
        <v>4.5099190244349682E-3</v>
      </c>
      <c r="D2">
        <v>9.0363955501667786E-2</v>
      </c>
      <c r="E2" t="s">
        <v>31</v>
      </c>
    </row>
    <row r="3" spans="1:5" x14ac:dyDescent="0.25">
      <c r="A3" s="8">
        <v>1</v>
      </c>
      <c r="B3" t="s">
        <v>32</v>
      </c>
      <c r="C3">
        <v>-2.550705664717488E-2</v>
      </c>
      <c r="D3">
        <v>0.63445889571008696</v>
      </c>
    </row>
    <row r="4" spans="1:5" x14ac:dyDescent="0.25">
      <c r="A4" s="8">
        <v>2</v>
      </c>
      <c r="B4" t="s">
        <v>33</v>
      </c>
      <c r="C4">
        <v>-0.27406292521696002</v>
      </c>
      <c r="D4">
        <v>1.8746890588233259E-2</v>
      </c>
      <c r="E4" t="s">
        <v>34</v>
      </c>
    </row>
    <row r="5" spans="1:5" x14ac:dyDescent="0.25">
      <c r="A5" s="8">
        <v>3</v>
      </c>
      <c r="B5" t="s">
        <v>35</v>
      </c>
      <c r="C5">
        <v>-0.1277254220017788</v>
      </c>
      <c r="D5">
        <v>0.22763531577581211</v>
      </c>
    </row>
    <row r="6" spans="1:5" x14ac:dyDescent="0.25">
      <c r="A6" s="8">
        <v>4</v>
      </c>
      <c r="B6" t="s">
        <v>36</v>
      </c>
      <c r="C6">
        <v>0.1373816600834083</v>
      </c>
      <c r="D6">
        <v>0.27011626399131528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FDF9-40A0-4292-9693-3296CAF6C614}">
  <sheetPr codeName="Sheet6">
    <tabColor theme="3" tint="0.79998168889431442"/>
  </sheetPr>
  <dimension ref="A1:C6"/>
  <sheetViews>
    <sheetView workbookViewId="0">
      <selection activeCell="C7" sqref="C7"/>
    </sheetView>
  </sheetViews>
  <sheetFormatPr defaultRowHeight="15" x14ac:dyDescent="0.25"/>
  <sheetData>
    <row r="1" spans="1:3" x14ac:dyDescent="0.25">
      <c r="A1" s="8" t="s">
        <v>23</v>
      </c>
      <c r="B1" s="8" t="s">
        <v>24</v>
      </c>
      <c r="C1" s="8" t="s">
        <v>3</v>
      </c>
    </row>
    <row r="2" spans="1:3" x14ac:dyDescent="0.25">
      <c r="A2" s="8">
        <v>1</v>
      </c>
      <c r="B2">
        <v>7.5514711793302084E-4</v>
      </c>
      <c r="C2">
        <v>-3.92674187696736E-4</v>
      </c>
    </row>
    <row r="3" spans="1:3" x14ac:dyDescent="0.25">
      <c r="A3" s="8">
        <v>2</v>
      </c>
      <c r="B3">
        <v>4.4708831296431818E-3</v>
      </c>
      <c r="C3">
        <v>3.3811334953125802E-3</v>
      </c>
    </row>
    <row r="4" spans="1:3" x14ac:dyDescent="0.25">
      <c r="A4" s="8">
        <v>3</v>
      </c>
      <c r="B4">
        <v>5.4562204246399633E-3</v>
      </c>
      <c r="C4">
        <v>4.7245658089350596E-3</v>
      </c>
    </row>
    <row r="5" spans="1:3" x14ac:dyDescent="0.25">
      <c r="A5" s="8">
        <v>4</v>
      </c>
      <c r="B5">
        <v>7.0902164535125971E-3</v>
      </c>
      <c r="C5">
        <v>6.6348656122517599E-3</v>
      </c>
    </row>
    <row r="6" spans="1:3" x14ac:dyDescent="0.25">
      <c r="A6" s="8">
        <v>5</v>
      </c>
      <c r="B6">
        <v>7.0294424182074863E-3</v>
      </c>
      <c r="C6">
        <v>6.3109356654417002E-3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A597-B01F-4D49-9090-3D14B4F82640}">
  <sheetPr codeName="Sheet7">
    <tabColor theme="3" tint="0.79998168889431442"/>
  </sheetPr>
  <dimension ref="A1:E3"/>
  <sheetViews>
    <sheetView workbookViewId="0"/>
  </sheetViews>
  <sheetFormatPr defaultRowHeight="15" x14ac:dyDescent="0.25"/>
  <sheetData>
    <row r="1" spans="1:5" x14ac:dyDescent="0.25">
      <c r="B1" s="8" t="s">
        <v>25</v>
      </c>
      <c r="C1" s="8" t="s">
        <v>26</v>
      </c>
      <c r="D1" s="8" t="s">
        <v>27</v>
      </c>
      <c r="E1" s="8" t="s">
        <v>28</v>
      </c>
    </row>
    <row r="2" spans="1:5" x14ac:dyDescent="0.25">
      <c r="A2" s="8">
        <v>0</v>
      </c>
      <c r="B2" t="s">
        <v>29</v>
      </c>
      <c r="C2">
        <v>2.111965299751219E-3</v>
      </c>
      <c r="D2">
        <v>0.67922721314196299</v>
      </c>
    </row>
    <row r="3" spans="1:5" x14ac:dyDescent="0.25">
      <c r="A3" s="8">
        <v>1</v>
      </c>
      <c r="B3" t="s">
        <v>30</v>
      </c>
      <c r="C3">
        <v>6.2742953002744399E-3</v>
      </c>
      <c r="D3">
        <v>0.20879388602238841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B058B-F4E8-4EED-86E4-CAD8B6A6CA7E}">
  <sheetPr codeName="Sheet8">
    <tabColor theme="3" tint="0.79998168889431442"/>
  </sheetPr>
  <dimension ref="A1:N12"/>
  <sheetViews>
    <sheetView workbookViewId="0">
      <selection activeCell="N35" sqref="N35"/>
    </sheetView>
  </sheetViews>
  <sheetFormatPr defaultRowHeight="15" x14ac:dyDescent="0.25"/>
  <sheetData>
    <row r="1" spans="1:14" x14ac:dyDescent="0.25">
      <c r="A1" s="8" t="s">
        <v>38</v>
      </c>
      <c r="B1" s="8" t="s">
        <v>6</v>
      </c>
      <c r="C1" s="8" t="s">
        <v>32</v>
      </c>
      <c r="D1" s="8" t="s">
        <v>33</v>
      </c>
      <c r="E1" s="8" t="s">
        <v>35</v>
      </c>
      <c r="F1" s="8" t="s">
        <v>39</v>
      </c>
      <c r="G1" s="8" t="s">
        <v>36</v>
      </c>
      <c r="H1" s="8" t="s">
        <v>40</v>
      </c>
      <c r="I1" s="8" t="s">
        <v>41</v>
      </c>
      <c r="J1" s="8" t="s">
        <v>42</v>
      </c>
      <c r="K1" s="8" t="s">
        <v>43</v>
      </c>
      <c r="L1" s="8" t="s">
        <v>44</v>
      </c>
      <c r="M1" s="8" t="s">
        <v>45</v>
      </c>
      <c r="N1" s="8" t="s">
        <v>46</v>
      </c>
    </row>
    <row r="2" spans="1:14" x14ac:dyDescent="0.25">
      <c r="A2" s="8" t="s">
        <v>47</v>
      </c>
      <c r="B2" t="s">
        <v>190</v>
      </c>
      <c r="C2" t="s">
        <v>112</v>
      </c>
    </row>
    <row r="3" spans="1:14" x14ac:dyDescent="0.25">
      <c r="A3" s="8" t="s">
        <v>50</v>
      </c>
      <c r="B3" t="s">
        <v>191</v>
      </c>
      <c r="C3" t="s">
        <v>113</v>
      </c>
      <c r="D3" t="s">
        <v>114</v>
      </c>
      <c r="E3" t="s">
        <v>115</v>
      </c>
    </row>
    <row r="4" spans="1:14" x14ac:dyDescent="0.25">
      <c r="A4" s="8" t="s">
        <v>55</v>
      </c>
      <c r="B4" t="s">
        <v>192</v>
      </c>
      <c r="C4" t="s">
        <v>116</v>
      </c>
      <c r="D4" t="s">
        <v>117</v>
      </c>
      <c r="E4" t="s">
        <v>118</v>
      </c>
    </row>
    <row r="5" spans="1:14" x14ac:dyDescent="0.25">
      <c r="A5" s="8" t="s">
        <v>60</v>
      </c>
      <c r="B5" t="s">
        <v>193</v>
      </c>
      <c r="C5" t="s">
        <v>119</v>
      </c>
      <c r="D5" t="s">
        <v>120</v>
      </c>
      <c r="E5" t="s">
        <v>121</v>
      </c>
      <c r="I5" t="s">
        <v>122</v>
      </c>
    </row>
    <row r="6" spans="1:14" x14ac:dyDescent="0.25">
      <c r="A6" s="8" t="s">
        <v>66</v>
      </c>
      <c r="B6" t="s">
        <v>194</v>
      </c>
      <c r="C6" t="s">
        <v>123</v>
      </c>
      <c r="D6" t="s">
        <v>124</v>
      </c>
      <c r="E6" t="s">
        <v>125</v>
      </c>
      <c r="G6" t="s">
        <v>126</v>
      </c>
      <c r="J6" t="s">
        <v>127</v>
      </c>
    </row>
    <row r="7" spans="1:14" x14ac:dyDescent="0.25">
      <c r="A7" s="8" t="s">
        <v>73</v>
      </c>
      <c r="B7" t="s">
        <v>195</v>
      </c>
      <c r="C7" t="s">
        <v>128</v>
      </c>
      <c r="D7" t="s">
        <v>129</v>
      </c>
      <c r="E7" t="s">
        <v>130</v>
      </c>
      <c r="K7" t="s">
        <v>131</v>
      </c>
    </row>
    <row r="8" spans="1:14" x14ac:dyDescent="0.25">
      <c r="A8" s="8" t="s">
        <v>79</v>
      </c>
      <c r="B8" t="s">
        <v>196</v>
      </c>
      <c r="C8" t="s">
        <v>132</v>
      </c>
      <c r="D8" t="s">
        <v>133</v>
      </c>
      <c r="E8" t="s">
        <v>134</v>
      </c>
      <c r="G8" t="s">
        <v>135</v>
      </c>
      <c r="L8" t="s">
        <v>136</v>
      </c>
    </row>
    <row r="9" spans="1:14" x14ac:dyDescent="0.25">
      <c r="A9" s="8" t="s">
        <v>86</v>
      </c>
      <c r="B9" t="s">
        <v>197</v>
      </c>
      <c r="C9" t="s">
        <v>137</v>
      </c>
      <c r="D9" t="s">
        <v>138</v>
      </c>
      <c r="E9" t="s">
        <v>139</v>
      </c>
      <c r="G9" t="s">
        <v>140</v>
      </c>
      <c r="H9" t="s">
        <v>141</v>
      </c>
    </row>
    <row r="10" spans="1:14" x14ac:dyDescent="0.25">
      <c r="A10" s="8" t="s">
        <v>93</v>
      </c>
      <c r="B10" t="s">
        <v>198</v>
      </c>
      <c r="C10" t="s">
        <v>142</v>
      </c>
      <c r="D10" t="s">
        <v>143</v>
      </c>
      <c r="F10" t="s">
        <v>144</v>
      </c>
      <c r="G10" t="s">
        <v>145</v>
      </c>
    </row>
    <row r="11" spans="1:14" x14ac:dyDescent="0.25">
      <c r="A11" s="8" t="s">
        <v>99</v>
      </c>
      <c r="B11" t="s">
        <v>199</v>
      </c>
      <c r="C11" t="s">
        <v>146</v>
      </c>
      <c r="D11" t="s">
        <v>147</v>
      </c>
      <c r="E11" t="s">
        <v>148</v>
      </c>
      <c r="M11" t="s">
        <v>149</v>
      </c>
      <c r="N11" t="s">
        <v>150</v>
      </c>
    </row>
    <row r="12" spans="1:14" x14ac:dyDescent="0.25">
      <c r="A12" s="8" t="s">
        <v>9</v>
      </c>
      <c r="B12">
        <v>6.3E-3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4430-D926-4F71-B69D-9971E8996A76}">
  <sheetPr codeName="Sheet9">
    <tabColor theme="3" tint="0.79998168889431442"/>
  </sheetPr>
  <dimension ref="A1:E6"/>
  <sheetViews>
    <sheetView workbookViewId="0">
      <selection activeCell="S30" sqref="S30"/>
    </sheetView>
  </sheetViews>
  <sheetFormatPr defaultRowHeight="15" x14ac:dyDescent="0.25"/>
  <sheetData>
    <row r="1" spans="1:5" x14ac:dyDescent="0.25">
      <c r="B1" s="8" t="s">
        <v>25</v>
      </c>
      <c r="C1" s="8" t="s">
        <v>26</v>
      </c>
      <c r="D1" s="8" t="s">
        <v>27</v>
      </c>
      <c r="E1" s="8" t="s">
        <v>28</v>
      </c>
    </row>
    <row r="2" spans="1:5" x14ac:dyDescent="0.25">
      <c r="A2" s="8">
        <v>0</v>
      </c>
      <c r="B2" t="s">
        <v>29</v>
      </c>
      <c r="C2">
        <v>6.7036098531384446E-3</v>
      </c>
      <c r="D2">
        <v>8.490031202685995E-2</v>
      </c>
      <c r="E2" t="s">
        <v>31</v>
      </c>
    </row>
    <row r="3" spans="1:5" x14ac:dyDescent="0.25">
      <c r="A3" s="8">
        <v>1</v>
      </c>
      <c r="B3" t="s">
        <v>32</v>
      </c>
      <c r="C3">
        <v>3.7246080428577612E-2</v>
      </c>
      <c r="D3">
        <v>0.68985469313311154</v>
      </c>
    </row>
    <row r="4" spans="1:5" x14ac:dyDescent="0.25">
      <c r="A4" s="8">
        <v>2</v>
      </c>
      <c r="B4" t="s">
        <v>33</v>
      </c>
      <c r="C4">
        <v>-0.1765157627413467</v>
      </c>
      <c r="D4">
        <v>0.2970059784211817</v>
      </c>
    </row>
    <row r="5" spans="1:5" x14ac:dyDescent="0.25">
      <c r="A5" s="8">
        <v>3</v>
      </c>
      <c r="B5" t="s">
        <v>35</v>
      </c>
      <c r="C5">
        <v>-0.231086654699382</v>
      </c>
      <c r="D5">
        <v>0.2774392904435391</v>
      </c>
    </row>
    <row r="6" spans="1:5" x14ac:dyDescent="0.25">
      <c r="A6" s="8">
        <v>4</v>
      </c>
      <c r="B6" t="s">
        <v>36</v>
      </c>
      <c r="C6">
        <v>6.411219452501063E-2</v>
      </c>
      <c r="D6">
        <v>0.70200040615665027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26EC-4D4F-478B-9985-51E1520EA7F1}">
  <sheetPr>
    <tabColor theme="5" tint="0.79998168889431442"/>
  </sheetPr>
  <dimension ref="A1:C6"/>
  <sheetViews>
    <sheetView workbookViewId="0">
      <selection activeCell="C7" sqref="C7"/>
    </sheetView>
  </sheetViews>
  <sheetFormatPr defaultRowHeight="15" x14ac:dyDescent="0.25"/>
  <sheetData>
    <row r="1" spans="1:3" x14ac:dyDescent="0.25">
      <c r="A1" s="8" t="s">
        <v>23</v>
      </c>
      <c r="B1" s="8" t="s">
        <v>24</v>
      </c>
      <c r="C1" s="8" t="s">
        <v>3</v>
      </c>
    </row>
    <row r="2" spans="1:3" x14ac:dyDescent="0.25">
      <c r="A2" s="8">
        <v>1</v>
      </c>
      <c r="B2">
        <v>4.7430909987127368E-3</v>
      </c>
      <c r="C2">
        <v>3.40144803350554E-3</v>
      </c>
    </row>
    <row r="3" spans="1:3" x14ac:dyDescent="0.25">
      <c r="A3" s="8">
        <v>2</v>
      </c>
      <c r="B3">
        <v>6.9634790576456884E-3</v>
      </c>
      <c r="C3">
        <v>4.57933510726045E-3</v>
      </c>
    </row>
    <row r="4" spans="1:3" x14ac:dyDescent="0.25">
      <c r="A4" s="8">
        <v>3</v>
      </c>
      <c r="B4">
        <v>6.4580704387673851E-3</v>
      </c>
      <c r="C4">
        <v>2.8799558757013799E-3</v>
      </c>
    </row>
    <row r="5" spans="1:3" x14ac:dyDescent="0.25">
      <c r="A5" s="8">
        <v>4</v>
      </c>
      <c r="B5">
        <v>7.412071370705208E-3</v>
      </c>
      <c r="C5">
        <v>4.3606813358129399E-3</v>
      </c>
    </row>
    <row r="6" spans="1:3" x14ac:dyDescent="0.25">
      <c r="A6" s="8">
        <v>5</v>
      </c>
      <c r="B6">
        <v>8.5770206355272795E-3</v>
      </c>
      <c r="C6">
        <v>3.98364419559604E-3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53C7-350A-4C59-8E62-E03F69AFC043}">
  <sheetPr>
    <tabColor theme="5" tint="0.79998168889431442"/>
  </sheetPr>
  <dimension ref="A1:E3"/>
  <sheetViews>
    <sheetView workbookViewId="0"/>
  </sheetViews>
  <sheetFormatPr defaultRowHeight="15" x14ac:dyDescent="0.25"/>
  <sheetData>
    <row r="1" spans="1:5" x14ac:dyDescent="0.25">
      <c r="B1" s="8" t="s">
        <v>25</v>
      </c>
      <c r="C1" s="8" t="s">
        <v>26</v>
      </c>
      <c r="D1" s="8" t="s">
        <v>27</v>
      </c>
      <c r="E1" s="8" t="s">
        <v>28</v>
      </c>
    </row>
    <row r="2" spans="1:5" x14ac:dyDescent="0.25">
      <c r="A2" s="8">
        <v>0</v>
      </c>
      <c r="B2" t="s">
        <v>29</v>
      </c>
      <c r="C2">
        <v>5.6759268196082523E-3</v>
      </c>
      <c r="D2">
        <v>0.21873465301894829</v>
      </c>
    </row>
    <row r="3" spans="1:5" x14ac:dyDescent="0.25">
      <c r="A3" s="8">
        <v>1</v>
      </c>
      <c r="B3" t="s">
        <v>30</v>
      </c>
      <c r="C3">
        <v>3.8339296368145549E-3</v>
      </c>
      <c r="D3">
        <v>0.42242402854024452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0B88-AE45-4AFB-AB50-AA2E070BCD71}">
  <dimension ref="A1:G4"/>
  <sheetViews>
    <sheetView tabSelected="1" workbookViewId="0">
      <selection activeCell="G20" sqref="G20"/>
    </sheetView>
  </sheetViews>
  <sheetFormatPr defaultRowHeight="15" x14ac:dyDescent="0.25"/>
  <cols>
    <col min="1" max="1" width="25" style="39" bestFit="1" customWidth="1"/>
    <col min="2" max="2" width="8.140625" bestFit="1" customWidth="1"/>
    <col min="3" max="3" width="16.7109375" bestFit="1" customWidth="1"/>
    <col min="4" max="4" width="8.140625" bestFit="1" customWidth="1"/>
    <col min="5" max="5" width="16.7109375" bestFit="1" customWidth="1"/>
    <col min="6" max="6" width="8.140625" bestFit="1" customWidth="1"/>
    <col min="7" max="7" width="16.7109375" bestFit="1" customWidth="1"/>
  </cols>
  <sheetData>
    <row r="1" spans="1:7" ht="15.75" thickBot="1" x14ac:dyDescent="0.3">
      <c r="B1" s="42" t="s">
        <v>22</v>
      </c>
      <c r="C1" s="42"/>
      <c r="D1" s="42" t="s">
        <v>110</v>
      </c>
      <c r="E1" s="42"/>
      <c r="F1" s="42" t="s">
        <v>111</v>
      </c>
      <c r="G1" s="42"/>
    </row>
    <row r="2" spans="1:7" x14ac:dyDescent="0.25">
      <c r="B2" s="15" t="s">
        <v>6</v>
      </c>
      <c r="C2" s="15" t="s">
        <v>7</v>
      </c>
      <c r="D2" s="15" t="s">
        <v>6</v>
      </c>
      <c r="E2" s="15" t="s">
        <v>7</v>
      </c>
      <c r="F2" s="15" t="s">
        <v>6</v>
      </c>
      <c r="G2" s="15" t="s">
        <v>7</v>
      </c>
    </row>
    <row r="3" spans="1:7" x14ac:dyDescent="0.25">
      <c r="A3" s="69" t="s">
        <v>412</v>
      </c>
      <c r="B3" s="9">
        <v>4.8734431098828596E-3</v>
      </c>
      <c r="C3" s="9">
        <f>B3*12</f>
        <v>5.8481317318594316E-2</v>
      </c>
      <c r="D3" s="9">
        <v>7.2013512055104098E-3</v>
      </c>
      <c r="E3" s="9">
        <f>D3*12</f>
        <v>8.6416214466124922E-2</v>
      </c>
      <c r="F3" s="9">
        <v>1.74258947885483E-3</v>
      </c>
      <c r="G3" s="9">
        <f>F3*12</f>
        <v>2.091107374625796E-2</v>
      </c>
    </row>
    <row r="4" spans="1:7" x14ac:dyDescent="0.25">
      <c r="A4" s="70"/>
      <c r="B4" s="71" t="s">
        <v>34</v>
      </c>
      <c r="C4" s="71"/>
      <c r="D4" s="71" t="s">
        <v>34</v>
      </c>
      <c r="E4" s="71"/>
      <c r="F4" s="71"/>
      <c r="G4" s="71"/>
    </row>
  </sheetData>
  <mergeCells count="6">
    <mergeCell ref="B1:C1"/>
    <mergeCell ref="D1:E1"/>
    <mergeCell ref="F1:G1"/>
    <mergeCell ref="B4:C4"/>
    <mergeCell ref="D4:E4"/>
    <mergeCell ref="F4:G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3EE7E-1443-42AF-8EB7-4170FFE74F81}">
  <sheetPr>
    <tabColor theme="5" tint="0.79998168889431442"/>
  </sheetPr>
  <dimension ref="A1:N12"/>
  <sheetViews>
    <sheetView workbookViewId="0">
      <selection activeCell="B2" sqref="B2:B12"/>
    </sheetView>
  </sheetViews>
  <sheetFormatPr defaultRowHeight="15" x14ac:dyDescent="0.25"/>
  <sheetData>
    <row r="1" spans="1:14" x14ac:dyDescent="0.25">
      <c r="A1" s="8" t="s">
        <v>38</v>
      </c>
      <c r="B1" s="8" t="s">
        <v>6</v>
      </c>
      <c r="C1" s="8" t="s">
        <v>32</v>
      </c>
      <c r="D1" s="8" t="s">
        <v>33</v>
      </c>
      <c r="E1" s="8" t="s">
        <v>35</v>
      </c>
      <c r="F1" s="8" t="s">
        <v>39</v>
      </c>
      <c r="G1" s="8" t="s">
        <v>36</v>
      </c>
      <c r="H1" s="8" t="s">
        <v>40</v>
      </c>
      <c r="I1" s="8" t="s">
        <v>41</v>
      </c>
      <c r="J1" s="8" t="s">
        <v>42</v>
      </c>
      <c r="K1" s="8" t="s">
        <v>43</v>
      </c>
      <c r="L1" s="8" t="s">
        <v>44</v>
      </c>
      <c r="M1" s="8" t="s">
        <v>45</v>
      </c>
      <c r="N1" s="8" t="s">
        <v>46</v>
      </c>
    </row>
    <row r="2" spans="1:14" x14ac:dyDescent="0.25">
      <c r="A2" s="8" t="s">
        <v>47</v>
      </c>
      <c r="B2" t="s">
        <v>200</v>
      </c>
      <c r="C2" t="s">
        <v>151</v>
      </c>
    </row>
    <row r="3" spans="1:14" x14ac:dyDescent="0.25">
      <c r="A3" s="8" t="s">
        <v>50</v>
      </c>
      <c r="B3" t="s">
        <v>201</v>
      </c>
      <c r="C3" t="s">
        <v>152</v>
      </c>
      <c r="D3" t="s">
        <v>153</v>
      </c>
      <c r="E3" t="s">
        <v>154</v>
      </c>
    </row>
    <row r="4" spans="1:14" x14ac:dyDescent="0.25">
      <c r="A4" s="8" t="s">
        <v>55</v>
      </c>
      <c r="B4">
        <v>5.8219616209050095E-4</v>
      </c>
      <c r="C4" t="s">
        <v>155</v>
      </c>
      <c r="D4" t="s">
        <v>156</v>
      </c>
      <c r="E4" t="s">
        <v>157</v>
      </c>
    </row>
    <row r="5" spans="1:14" x14ac:dyDescent="0.25">
      <c r="A5" s="8" t="s">
        <v>60</v>
      </c>
      <c r="B5">
        <v>5.8143054329368496E-4</v>
      </c>
      <c r="C5" t="s">
        <v>158</v>
      </c>
      <c r="D5" t="s">
        <v>159</v>
      </c>
      <c r="E5" t="s">
        <v>160</v>
      </c>
      <c r="I5" t="s">
        <v>161</v>
      </c>
    </row>
    <row r="6" spans="1:14" x14ac:dyDescent="0.25">
      <c r="A6" s="8" t="s">
        <v>66</v>
      </c>
      <c r="B6">
        <v>-1.7297995407475899E-3</v>
      </c>
      <c r="C6" t="s">
        <v>162</v>
      </c>
      <c r="D6" t="s">
        <v>163</v>
      </c>
      <c r="E6" t="s">
        <v>164</v>
      </c>
      <c r="G6" t="s">
        <v>165</v>
      </c>
      <c r="J6" t="s">
        <v>166</v>
      </c>
    </row>
    <row r="7" spans="1:14" x14ac:dyDescent="0.25">
      <c r="A7" s="8" t="s">
        <v>73</v>
      </c>
      <c r="B7">
        <v>8.8798709583280699E-4</v>
      </c>
      <c r="C7" t="s">
        <v>167</v>
      </c>
      <c r="D7" t="s">
        <v>168</v>
      </c>
      <c r="E7" t="s">
        <v>169</v>
      </c>
      <c r="K7" t="s">
        <v>170</v>
      </c>
    </row>
    <row r="8" spans="1:14" x14ac:dyDescent="0.25">
      <c r="A8" s="8" t="s">
        <v>79</v>
      </c>
      <c r="B8">
        <v>3.0541586872801E-3</v>
      </c>
      <c r="C8" t="s">
        <v>171</v>
      </c>
      <c r="D8" t="s">
        <v>172</v>
      </c>
      <c r="E8" t="s">
        <v>173</v>
      </c>
      <c r="G8" t="s">
        <v>174</v>
      </c>
      <c r="L8" t="s">
        <v>175</v>
      </c>
    </row>
    <row r="9" spans="1:14" x14ac:dyDescent="0.25">
      <c r="A9" s="8" t="s">
        <v>86</v>
      </c>
      <c r="B9">
        <v>3.02936511332449E-3</v>
      </c>
      <c r="C9" t="s">
        <v>176</v>
      </c>
      <c r="D9" t="s">
        <v>177</v>
      </c>
      <c r="E9" t="s">
        <v>178</v>
      </c>
      <c r="G9" t="s">
        <v>179</v>
      </c>
      <c r="H9" t="s">
        <v>180</v>
      </c>
    </row>
    <row r="10" spans="1:14" x14ac:dyDescent="0.25">
      <c r="A10" s="8" t="s">
        <v>93</v>
      </c>
      <c r="B10">
        <v>3.3774033912859699E-3</v>
      </c>
      <c r="C10" t="s">
        <v>181</v>
      </c>
      <c r="D10" t="s">
        <v>182</v>
      </c>
      <c r="F10" t="s">
        <v>183</v>
      </c>
      <c r="G10" t="s">
        <v>184</v>
      </c>
    </row>
    <row r="11" spans="1:14" x14ac:dyDescent="0.25">
      <c r="A11" s="8" t="s">
        <v>99</v>
      </c>
      <c r="B11" t="s">
        <v>202</v>
      </c>
      <c r="C11" t="s">
        <v>185</v>
      </c>
      <c r="D11" t="s">
        <v>186</v>
      </c>
      <c r="E11" t="s">
        <v>187</v>
      </c>
      <c r="M11" t="s">
        <v>188</v>
      </c>
      <c r="N11" t="s">
        <v>189</v>
      </c>
    </row>
    <row r="12" spans="1:14" x14ac:dyDescent="0.25">
      <c r="A12" s="8" t="s">
        <v>9</v>
      </c>
      <c r="B12">
        <v>3.8E-3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5C147-BB35-43AC-B414-1D256B1C9E92}">
  <sheetPr>
    <tabColor theme="5" tint="0.79998168889431442"/>
  </sheetPr>
  <dimension ref="A1:E6"/>
  <sheetViews>
    <sheetView workbookViewId="0"/>
  </sheetViews>
  <sheetFormatPr defaultRowHeight="15" x14ac:dyDescent="0.25"/>
  <sheetData>
    <row r="1" spans="1:5" x14ac:dyDescent="0.25">
      <c r="B1" s="8" t="s">
        <v>25</v>
      </c>
      <c r="C1" s="8" t="s">
        <v>26</v>
      </c>
      <c r="D1" s="8" t="s">
        <v>27</v>
      </c>
      <c r="E1" s="8" t="s">
        <v>28</v>
      </c>
    </row>
    <row r="2" spans="1:5" x14ac:dyDescent="0.25">
      <c r="A2" s="8">
        <v>0</v>
      </c>
      <c r="B2" t="s">
        <v>29</v>
      </c>
      <c r="C2">
        <v>5.8219616209050193E-4</v>
      </c>
      <c r="D2">
        <v>0.84933024232730214</v>
      </c>
    </row>
    <row r="3" spans="1:5" x14ac:dyDescent="0.25">
      <c r="A3" s="8">
        <v>1</v>
      </c>
      <c r="B3" t="s">
        <v>32</v>
      </c>
      <c r="C3">
        <v>-6.5013430005876061E-2</v>
      </c>
      <c r="D3">
        <v>0.30878097598766507</v>
      </c>
    </row>
    <row r="4" spans="1:5" x14ac:dyDescent="0.25">
      <c r="A4" s="8">
        <v>2</v>
      </c>
      <c r="B4" t="s">
        <v>33</v>
      </c>
      <c r="C4">
        <v>-0.30642112885967721</v>
      </c>
      <c r="D4">
        <v>2.644985743011237E-2</v>
      </c>
      <c r="E4" t="s">
        <v>34</v>
      </c>
    </row>
    <row r="5" spans="1:5" x14ac:dyDescent="0.25">
      <c r="A5" s="8">
        <v>3</v>
      </c>
      <c r="B5" t="s">
        <v>35</v>
      </c>
      <c r="C5">
        <v>-2.7656247472234E-2</v>
      </c>
      <c r="D5">
        <v>0.78398388623904869</v>
      </c>
    </row>
    <row r="6" spans="1:5" x14ac:dyDescent="0.25">
      <c r="A6" s="8">
        <v>4</v>
      </c>
      <c r="B6" t="s">
        <v>36</v>
      </c>
      <c r="C6">
        <v>0.38143790955971668</v>
      </c>
      <c r="D6">
        <v>4.2966818651429392E-3</v>
      </c>
      <c r="E6"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D84A-657A-4A8B-96FE-EA2842EAE53B}">
  <dimension ref="A1:O44"/>
  <sheetViews>
    <sheetView zoomScaleNormal="100" workbookViewId="0">
      <selection activeCell="H6" sqref="H6"/>
    </sheetView>
  </sheetViews>
  <sheetFormatPr defaultRowHeight="15" x14ac:dyDescent="0.25"/>
  <cols>
    <col min="1" max="1" width="41.85546875" bestFit="1" customWidth="1"/>
    <col min="2" max="2" width="9.5703125" bestFit="1" customWidth="1"/>
    <col min="3" max="3" width="18.85546875" bestFit="1" customWidth="1"/>
    <col min="4" max="4" width="9.140625" style="39"/>
    <col min="5" max="5" width="16.7109375" style="39" bestFit="1" customWidth="1"/>
    <col min="6" max="6" width="9.140625" style="39"/>
    <col min="7" max="7" width="16.7109375" style="39" bestFit="1" customWidth="1"/>
    <col min="8" max="8" width="19.85546875" style="39" bestFit="1" customWidth="1"/>
  </cols>
  <sheetData>
    <row r="1" spans="1:15" ht="20.25" thickBot="1" x14ac:dyDescent="0.35">
      <c r="A1" s="41" t="s">
        <v>0</v>
      </c>
      <c r="B1" s="41"/>
      <c r="C1" s="41"/>
      <c r="M1" t="str">
        <f>B21</f>
        <v>Jan 2002 - Feb 2024</v>
      </c>
      <c r="N1">
        <f>D21</f>
        <v>0</v>
      </c>
      <c r="O1">
        <f>F21</f>
        <v>0</v>
      </c>
    </row>
    <row r="2" spans="1:15" ht="15.75" thickTop="1" x14ac:dyDescent="0.25">
      <c r="L2" t="str">
        <f>A23</f>
        <v>Raw</v>
      </c>
      <c r="M2" s="16">
        <f>B23</f>
        <v>5.7999999999999996E-3</v>
      </c>
      <c r="N2" s="16">
        <f>D23</f>
        <v>0</v>
      </c>
      <c r="O2" s="16">
        <f>F23</f>
        <v>0</v>
      </c>
    </row>
    <row r="3" spans="1:15" ht="18" thickBot="1" x14ac:dyDescent="0.35">
      <c r="A3" s="43" t="s">
        <v>1</v>
      </c>
      <c r="B3" s="43"/>
      <c r="C3" s="43"/>
      <c r="L3" t="str">
        <f>A25</f>
        <v xml:space="preserve">CAPM </v>
      </c>
      <c r="M3" s="16">
        <f>B25</f>
        <v>6.3301974681113597E-3</v>
      </c>
      <c r="N3" s="16">
        <f>D25</f>
        <v>0</v>
      </c>
      <c r="O3" s="16">
        <f>F25</f>
        <v>0</v>
      </c>
    </row>
    <row r="4" spans="1:15" ht="15.75" thickTop="1" x14ac:dyDescent="0.25">
      <c r="L4" t="str">
        <f>A27</f>
        <v>3F</v>
      </c>
      <c r="M4" s="16">
        <f>B27</f>
        <v>6.7955391393167896E-3</v>
      </c>
      <c r="N4" s="16">
        <f>D27</f>
        <v>0</v>
      </c>
      <c r="O4" s="16">
        <f>F27</f>
        <v>0</v>
      </c>
    </row>
    <row r="5" spans="1:15" ht="15.75" thickBot="1" x14ac:dyDescent="0.3">
      <c r="B5" s="42" t="s">
        <v>22</v>
      </c>
      <c r="C5" s="42"/>
      <c r="D5" s="52"/>
      <c r="E5" s="52"/>
      <c r="F5" s="52"/>
      <c r="G5" s="52"/>
      <c r="I5" s="37"/>
      <c r="L5" t="str">
        <f>A29</f>
        <v>4F</v>
      </c>
      <c r="M5" s="16">
        <f>B29</f>
        <v>4.5112720671626697E-3</v>
      </c>
      <c r="N5" s="16">
        <f>D29</f>
        <v>0</v>
      </c>
      <c r="O5" s="16">
        <f>F29</f>
        <v>0</v>
      </c>
    </row>
    <row r="6" spans="1:15" x14ac:dyDescent="0.25">
      <c r="B6" s="15" t="s">
        <v>2</v>
      </c>
      <c r="C6" s="15" t="s">
        <v>3</v>
      </c>
      <c r="I6" s="37"/>
      <c r="L6" t="str">
        <f>A31</f>
        <v>4F + QMJ</v>
      </c>
      <c r="M6" s="16">
        <f>B31</f>
        <v>7.1424387614215804E-3</v>
      </c>
      <c r="N6" s="16">
        <f>D31</f>
        <v>0</v>
      </c>
      <c r="O6" s="16">
        <f>F31</f>
        <v>0</v>
      </c>
    </row>
    <row r="7" spans="1:15" x14ac:dyDescent="0.25">
      <c r="I7" s="37"/>
      <c r="L7" t="str">
        <f>A33</f>
        <v>4F + BAB</v>
      </c>
      <c r="M7" s="16">
        <f>B33</f>
        <v>4.6295166216394198E-3</v>
      </c>
      <c r="N7" s="16">
        <f>D33</f>
        <v>0</v>
      </c>
      <c r="O7" s="16">
        <f>F33</f>
        <v>0</v>
      </c>
    </row>
    <row r="8" spans="1:15" x14ac:dyDescent="0.25">
      <c r="A8" s="4" t="s">
        <v>20</v>
      </c>
      <c r="B8" s="9">
        <v>3.532E-3</v>
      </c>
      <c r="C8" s="9">
        <v>2.8523492725456802E-3</v>
      </c>
      <c r="E8" t="s">
        <v>374</v>
      </c>
      <c r="I8" s="37"/>
      <c r="L8" t="str">
        <f>A35</f>
        <v>4F + Carry</v>
      </c>
      <c r="M8" s="16">
        <f>B35</f>
        <v>5.0733260392966297E-3</v>
      </c>
      <c r="N8" s="16">
        <f>D35</f>
        <v>0</v>
      </c>
      <c r="O8" s="16">
        <f>F35</f>
        <v>0</v>
      </c>
    </row>
    <row r="9" spans="1:15" x14ac:dyDescent="0.25">
      <c r="A9" s="4">
        <v>2</v>
      </c>
      <c r="B9" s="9">
        <v>6.169E-3</v>
      </c>
      <c r="C9" s="9">
        <v>5.5456391366162502E-3</v>
      </c>
      <c r="I9" s="37"/>
      <c r="L9" t="str">
        <f>A37</f>
        <v>4F + Seasonality</v>
      </c>
      <c r="M9" s="16">
        <f>B37</f>
        <v>5.6468425949270201E-5</v>
      </c>
      <c r="N9" s="16">
        <f>D37</f>
        <v>0</v>
      </c>
      <c r="O9" s="16">
        <f>F37</f>
        <v>0</v>
      </c>
    </row>
    <row r="10" spans="1:15" x14ac:dyDescent="0.25">
      <c r="A10" s="4">
        <v>3</v>
      </c>
      <c r="B10" s="9">
        <v>6.953E-3</v>
      </c>
      <c r="C10" s="9">
        <v>6.5874752722296596E-3</v>
      </c>
      <c r="I10" s="37"/>
      <c r="L10" t="str">
        <f>A39</f>
        <v>4F + UMD_Trend</v>
      </c>
      <c r="M10" s="16">
        <f>B39</f>
        <v>5.1362068110068198E-3</v>
      </c>
      <c r="N10" s="16">
        <f>D39</f>
        <v>0</v>
      </c>
      <c r="O10" s="16">
        <f>F39</f>
        <v>0</v>
      </c>
    </row>
    <row r="11" spans="1:15" x14ac:dyDescent="0.25">
      <c r="A11" s="4">
        <v>4</v>
      </c>
      <c r="B11" s="9">
        <v>8.1349999999999999E-3</v>
      </c>
      <c r="C11" s="9">
        <v>7.8661883512758397E-3</v>
      </c>
      <c r="I11" s="37"/>
      <c r="L11" t="str">
        <f>A41</f>
        <v>4F with HML_Devil</v>
      </c>
      <c r="M11" s="16">
        <f>B41</f>
        <v>7.0276250541087296E-5</v>
      </c>
      <c r="N11" s="16">
        <f>D41</f>
        <v>0</v>
      </c>
      <c r="O11" s="16">
        <f>F41</f>
        <v>0</v>
      </c>
    </row>
    <row r="12" spans="1:15" x14ac:dyDescent="0.25">
      <c r="A12" s="4" t="s">
        <v>21</v>
      </c>
      <c r="B12" s="9">
        <v>9.3050000000000008E-3</v>
      </c>
      <c r="C12" s="9">
        <v>7.3636213397083499E-3</v>
      </c>
      <c r="I12" s="37"/>
      <c r="L12" t="s">
        <v>15</v>
      </c>
      <c r="M12" s="16">
        <f>B43</f>
        <v>9.2459509938887206E-3</v>
      </c>
      <c r="N12" s="16">
        <f>D43</f>
        <v>0</v>
      </c>
      <c r="O12" s="16">
        <f>F43</f>
        <v>0</v>
      </c>
    </row>
    <row r="13" spans="1:15" x14ac:dyDescent="0.25">
      <c r="I13" s="37"/>
      <c r="M13" s="16"/>
      <c r="N13" s="16"/>
      <c r="O13" s="16"/>
    </row>
    <row r="14" spans="1:15" ht="15.75" thickBot="1" x14ac:dyDescent="0.3">
      <c r="A14" s="7" t="s">
        <v>4</v>
      </c>
      <c r="B14" s="10">
        <f>B12-B8</f>
        <v>5.7730000000000004E-3</v>
      </c>
      <c r="C14" s="10">
        <f>C12-C8</f>
        <v>4.5112720671626697E-3</v>
      </c>
      <c r="I14" s="37"/>
    </row>
    <row r="15" spans="1:15" ht="15.75" thickTop="1" x14ac:dyDescent="0.25">
      <c r="A15" s="5" t="s">
        <v>28</v>
      </c>
      <c r="C15" s="13" t="s">
        <v>31</v>
      </c>
      <c r="I15" s="37"/>
      <c r="M15" s="16"/>
      <c r="N15" s="16"/>
      <c r="O15" s="16"/>
    </row>
    <row r="16" spans="1:15" x14ac:dyDescent="0.25">
      <c r="A16" s="5" t="s">
        <v>5</v>
      </c>
      <c r="B16" s="9">
        <f>B14*12</f>
        <v>6.9276000000000004E-2</v>
      </c>
      <c r="C16" s="9">
        <f>C14*12</f>
        <v>5.4135264805952037E-2</v>
      </c>
      <c r="I16" s="37"/>
    </row>
    <row r="17" spans="1:15" x14ac:dyDescent="0.25">
      <c r="A17" s="5" t="s">
        <v>37</v>
      </c>
      <c r="B17" s="38">
        <v>6.7823078403968826E-2</v>
      </c>
      <c r="C17" s="11">
        <v>8.4711999999999996E-2</v>
      </c>
      <c r="I17" s="37"/>
      <c r="M17" s="16"/>
      <c r="N17" s="16"/>
      <c r="O17" s="16"/>
    </row>
    <row r="18" spans="1:15" x14ac:dyDescent="0.25">
      <c r="I18" s="37"/>
    </row>
    <row r="19" spans="1:15" ht="18" thickBot="1" x14ac:dyDescent="0.35">
      <c r="A19" s="43" t="s">
        <v>19</v>
      </c>
      <c r="B19" s="43"/>
      <c r="C19" s="43"/>
      <c r="M19" s="16"/>
      <c r="N19" s="16"/>
      <c r="O19" s="16"/>
    </row>
    <row r="20" spans="1:15" ht="15.75" thickTop="1" x14ac:dyDescent="0.25"/>
    <row r="21" spans="1:15" ht="15.75" thickBot="1" x14ac:dyDescent="0.3">
      <c r="B21" s="42" t="s">
        <v>22</v>
      </c>
      <c r="C21" s="42"/>
      <c r="D21" s="52"/>
      <c r="E21" s="52"/>
      <c r="F21" s="52"/>
      <c r="G21" s="52"/>
      <c r="N21" s="16"/>
      <c r="O21" s="16"/>
    </row>
    <row r="22" spans="1:15" x14ac:dyDescent="0.25">
      <c r="B22" s="15" t="s">
        <v>6</v>
      </c>
      <c r="C22" s="15" t="s">
        <v>7</v>
      </c>
    </row>
    <row r="23" spans="1:15" x14ac:dyDescent="0.25">
      <c r="A23" s="4" t="s">
        <v>9</v>
      </c>
      <c r="B23" s="9">
        <f>0.0058</f>
        <v>5.7999999999999996E-3</v>
      </c>
      <c r="C23" s="9">
        <f>B23*12</f>
        <v>6.9599999999999995E-2</v>
      </c>
    </row>
    <row r="24" spans="1:15" x14ac:dyDescent="0.25">
      <c r="A24" s="4"/>
      <c r="B24" s="12" t="s">
        <v>31</v>
      </c>
      <c r="C24" s="9"/>
    </row>
    <row r="25" spans="1:15" x14ac:dyDescent="0.25">
      <c r="A25" s="4" t="s">
        <v>10</v>
      </c>
      <c r="B25" s="9">
        <v>6.3301974681113597E-3</v>
      </c>
      <c r="C25" s="9">
        <f>B25*12</f>
        <v>7.5962369617336323E-2</v>
      </c>
    </row>
    <row r="26" spans="1:15" x14ac:dyDescent="0.25">
      <c r="A26" s="4"/>
      <c r="B26" s="12" t="s">
        <v>107</v>
      </c>
      <c r="C26" s="9"/>
    </row>
    <row r="27" spans="1:15" x14ac:dyDescent="0.25">
      <c r="A27" s="4" t="s">
        <v>11</v>
      </c>
      <c r="B27" s="9">
        <v>6.7955391393167896E-3</v>
      </c>
      <c r="C27" s="9">
        <f>B27*12</f>
        <v>8.1546469671801472E-2</v>
      </c>
    </row>
    <row r="28" spans="1:15" x14ac:dyDescent="0.25">
      <c r="A28" s="4"/>
      <c r="B28" s="12" t="s">
        <v>107</v>
      </c>
      <c r="C28" s="9"/>
    </row>
    <row r="29" spans="1:15" x14ac:dyDescent="0.25">
      <c r="A29" s="4" t="s">
        <v>12</v>
      </c>
      <c r="B29" s="9">
        <v>4.5112720671626697E-3</v>
      </c>
      <c r="C29" s="9">
        <f>B29*12</f>
        <v>5.4135264805952037E-2</v>
      </c>
    </row>
    <row r="30" spans="1:15" x14ac:dyDescent="0.25">
      <c r="A30" s="4"/>
      <c r="B30" s="12" t="s">
        <v>31</v>
      </c>
      <c r="C30" s="9"/>
    </row>
    <row r="31" spans="1:15" x14ac:dyDescent="0.25">
      <c r="A31" s="4" t="s">
        <v>13</v>
      </c>
      <c r="B31" s="9">
        <v>7.1424387614215804E-3</v>
      </c>
      <c r="C31" s="9">
        <f>B31*12</f>
        <v>8.5709265137058968E-2</v>
      </c>
    </row>
    <row r="32" spans="1:15" x14ac:dyDescent="0.25">
      <c r="A32" s="4"/>
      <c r="B32" s="12" t="s">
        <v>107</v>
      </c>
      <c r="C32" s="9"/>
    </row>
    <row r="33" spans="1:3" x14ac:dyDescent="0.25">
      <c r="A33" s="4" t="s">
        <v>14</v>
      </c>
      <c r="B33" s="9">
        <v>4.6295166216394198E-3</v>
      </c>
      <c r="C33" s="9">
        <f>B33*12</f>
        <v>5.5554199459673034E-2</v>
      </c>
    </row>
    <row r="34" spans="1:3" x14ac:dyDescent="0.25">
      <c r="A34" s="4"/>
      <c r="B34" s="12" t="s">
        <v>31</v>
      </c>
      <c r="C34" s="9"/>
    </row>
    <row r="35" spans="1:3" x14ac:dyDescent="0.25">
      <c r="A35" s="4" t="s">
        <v>16</v>
      </c>
      <c r="B35" s="9">
        <v>5.0733260392966297E-3</v>
      </c>
      <c r="C35" s="9">
        <f>B35*12</f>
        <v>6.0879912471559557E-2</v>
      </c>
    </row>
    <row r="36" spans="1:3" x14ac:dyDescent="0.25">
      <c r="A36" s="4"/>
      <c r="B36" s="12"/>
      <c r="C36" s="9"/>
    </row>
    <row r="37" spans="1:3" x14ac:dyDescent="0.25">
      <c r="A37" s="4" t="s">
        <v>17</v>
      </c>
      <c r="B37" s="9">
        <v>5.6468425949270201E-5</v>
      </c>
      <c r="C37" s="9">
        <f>B37*12</f>
        <v>6.7762111139124236E-4</v>
      </c>
    </row>
    <row r="38" spans="1:3" x14ac:dyDescent="0.25">
      <c r="A38" s="4"/>
      <c r="B38" s="12" t="s">
        <v>31</v>
      </c>
      <c r="C38" s="9"/>
    </row>
    <row r="39" spans="1:3" x14ac:dyDescent="0.25">
      <c r="A39" s="4" t="s">
        <v>108</v>
      </c>
      <c r="B39" s="14">
        <v>5.1362068110068198E-3</v>
      </c>
      <c r="C39" s="9">
        <f>B39*12</f>
        <v>6.1634481732081838E-2</v>
      </c>
    </row>
    <row r="40" spans="1:3" x14ac:dyDescent="0.25">
      <c r="A40" s="4"/>
      <c r="B40" s="12"/>
      <c r="C40" s="9"/>
    </row>
    <row r="41" spans="1:3" x14ac:dyDescent="0.25">
      <c r="A41" s="4" t="s">
        <v>109</v>
      </c>
      <c r="B41" s="14">
        <v>7.0276250541087296E-5</v>
      </c>
      <c r="C41" s="9">
        <f>B41*12</f>
        <v>8.433150064930475E-4</v>
      </c>
    </row>
    <row r="42" spans="1:3" x14ac:dyDescent="0.25">
      <c r="A42" s="4"/>
      <c r="B42" s="12" t="s">
        <v>34</v>
      </c>
      <c r="C42" s="9"/>
    </row>
    <row r="43" spans="1:3" x14ac:dyDescent="0.25">
      <c r="A43" s="4" t="s">
        <v>15</v>
      </c>
      <c r="B43" s="9">
        <v>9.2459509938887206E-3</v>
      </c>
      <c r="C43" s="9">
        <f>B43*12</f>
        <v>0.11095141192666465</v>
      </c>
    </row>
    <row r="44" spans="1:3" x14ac:dyDescent="0.25">
      <c r="B44" s="12" t="s">
        <v>107</v>
      </c>
      <c r="C44" s="9"/>
    </row>
  </sheetData>
  <mergeCells count="9">
    <mergeCell ref="B21:C21"/>
    <mergeCell ref="D21:E21"/>
    <mergeCell ref="F21:G21"/>
    <mergeCell ref="B5:C5"/>
    <mergeCell ref="D5:E5"/>
    <mergeCell ref="F5:G5"/>
    <mergeCell ref="A19:C19"/>
    <mergeCell ref="A3:C3"/>
    <mergeCell ref="A1:C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E8C6-6DE2-4620-86A2-D3EA7FB9FFD7}">
  <dimension ref="A1:G20"/>
  <sheetViews>
    <sheetView workbookViewId="0">
      <selection activeCell="M19" sqref="M19:M20"/>
    </sheetView>
  </sheetViews>
  <sheetFormatPr defaultRowHeight="15" x14ac:dyDescent="0.25"/>
  <cols>
    <col min="2" max="2" width="19.7109375" bestFit="1" customWidth="1"/>
  </cols>
  <sheetData>
    <row r="1" spans="1:7" ht="9" customHeight="1" thickTop="1" x14ac:dyDescent="0.25">
      <c r="A1" s="54"/>
      <c r="B1" s="55" t="s">
        <v>392</v>
      </c>
      <c r="C1" s="55" t="s">
        <v>393</v>
      </c>
      <c r="D1" s="55" t="s">
        <v>394</v>
      </c>
      <c r="E1" s="55" t="s">
        <v>395</v>
      </c>
      <c r="F1" s="55" t="s">
        <v>396</v>
      </c>
      <c r="G1" s="55" t="s">
        <v>397</v>
      </c>
    </row>
    <row r="2" spans="1:7" x14ac:dyDescent="0.25">
      <c r="A2" s="56" t="s">
        <v>9</v>
      </c>
      <c r="B2" s="59">
        <v>-5.8999999999999999E-3</v>
      </c>
      <c r="C2" s="59">
        <v>1.2999999999999999E-3</v>
      </c>
      <c r="D2" s="59">
        <v>2.3999999999999998E-3</v>
      </c>
      <c r="E2" s="59">
        <v>3.8999999999999998E-3</v>
      </c>
      <c r="F2" s="59">
        <v>7.3000000000000001E-3</v>
      </c>
      <c r="G2" s="59">
        <v>2.3999999999999998E-3</v>
      </c>
    </row>
    <row r="3" spans="1:7" s="39" customFormat="1" x14ac:dyDescent="0.25">
      <c r="A3" s="56"/>
      <c r="B3" s="59">
        <f>B2*12</f>
        <v>-7.0800000000000002E-2</v>
      </c>
      <c r="C3" s="59">
        <f t="shared" ref="C3:G3" si="0">C2*12</f>
        <v>1.5599999999999999E-2</v>
      </c>
      <c r="D3" s="59">
        <f t="shared" si="0"/>
        <v>2.8799999999999999E-2</v>
      </c>
      <c r="E3" s="59">
        <f t="shared" si="0"/>
        <v>4.6799999999999994E-2</v>
      </c>
      <c r="F3" s="59">
        <f t="shared" si="0"/>
        <v>8.7599999999999997E-2</v>
      </c>
      <c r="G3" s="59">
        <f t="shared" si="0"/>
        <v>2.8799999999999999E-2</v>
      </c>
    </row>
    <row r="4" spans="1:7" s="39" customFormat="1" x14ac:dyDescent="0.25">
      <c r="A4" s="56"/>
      <c r="B4" s="59"/>
      <c r="C4" s="59"/>
      <c r="D4" s="59"/>
      <c r="E4" s="59"/>
      <c r="F4" s="59"/>
      <c r="G4" s="59"/>
    </row>
    <row r="5" spans="1:7" x14ac:dyDescent="0.25">
      <c r="A5" s="58" t="s">
        <v>47</v>
      </c>
      <c r="B5" s="59">
        <v>-6.6214915986748798E-3</v>
      </c>
      <c r="C5" s="59">
        <v>1.1317624207676799E-3</v>
      </c>
      <c r="D5" s="59">
        <v>3.1973697880939402E-3</v>
      </c>
      <c r="E5" s="59">
        <v>5.9967323907721901E-3</v>
      </c>
      <c r="F5" s="59">
        <v>4.25143910206817E-3</v>
      </c>
      <c r="G5" s="59">
        <v>3.3107939231564899E-3</v>
      </c>
    </row>
    <row r="6" spans="1:7" s="39" customFormat="1" x14ac:dyDescent="0.25">
      <c r="A6" s="58"/>
      <c r="B6" s="59">
        <f>B5*12</f>
        <v>-7.9457899184098554E-2</v>
      </c>
      <c r="C6" s="59">
        <f t="shared" ref="C6:G6" si="1">C5*12</f>
        <v>1.3581149049212159E-2</v>
      </c>
      <c r="D6" s="59">
        <f t="shared" si="1"/>
        <v>3.8368437457127286E-2</v>
      </c>
      <c r="E6" s="59">
        <f t="shared" si="1"/>
        <v>7.1960788689266281E-2</v>
      </c>
      <c r="F6" s="59">
        <f t="shared" si="1"/>
        <v>5.1017269224818043E-2</v>
      </c>
      <c r="G6" s="59">
        <f t="shared" si="1"/>
        <v>3.9729527077877878E-2</v>
      </c>
    </row>
    <row r="7" spans="1:7" s="39" customFormat="1" x14ac:dyDescent="0.25">
      <c r="A7" s="58"/>
      <c r="B7" s="59"/>
      <c r="C7" s="59"/>
      <c r="D7" s="59"/>
      <c r="E7" s="59"/>
      <c r="F7" s="59"/>
      <c r="G7" s="59"/>
    </row>
    <row r="8" spans="1:7" x14ac:dyDescent="0.25">
      <c r="A8" s="58" t="s">
        <v>11</v>
      </c>
      <c r="B8" s="59">
        <v>-5.6631788269650004E-3</v>
      </c>
      <c r="C8" s="59">
        <v>1.54233018445014E-3</v>
      </c>
      <c r="D8" s="59">
        <v>3.66743125122332E-3</v>
      </c>
      <c r="E8" s="59">
        <v>5.4629555301413104E-3</v>
      </c>
      <c r="F8" s="59">
        <v>4.5063281993123804E-3</v>
      </c>
      <c r="G8" s="59">
        <v>3.9838862227577296E-3</v>
      </c>
    </row>
    <row r="9" spans="1:7" s="39" customFormat="1" x14ac:dyDescent="0.25">
      <c r="A9" s="58"/>
      <c r="B9" s="59">
        <f>B8*12</f>
        <v>-6.7958145923580002E-2</v>
      </c>
      <c r="C9" s="59">
        <f t="shared" ref="C9:G9" si="2">C8*12</f>
        <v>1.8507962213401681E-2</v>
      </c>
      <c r="D9" s="59">
        <f t="shared" si="2"/>
        <v>4.4009175014679838E-2</v>
      </c>
      <c r="E9" s="59">
        <f t="shared" si="2"/>
        <v>6.5555466361695722E-2</v>
      </c>
      <c r="F9" s="59">
        <f t="shared" si="2"/>
        <v>5.4075938391748568E-2</v>
      </c>
      <c r="G9" s="59">
        <f t="shared" si="2"/>
        <v>4.7806634673092756E-2</v>
      </c>
    </row>
    <row r="10" spans="1:7" s="39" customFormat="1" x14ac:dyDescent="0.25">
      <c r="A10" s="58"/>
      <c r="B10" s="59"/>
      <c r="C10" s="59"/>
      <c r="D10" s="59"/>
      <c r="E10" s="59"/>
      <c r="F10" s="59"/>
      <c r="G10" s="59"/>
    </row>
    <row r="11" spans="1:7" x14ac:dyDescent="0.25">
      <c r="A11" s="56" t="s">
        <v>12</v>
      </c>
      <c r="B11" s="59">
        <v>-5.42501672928893E-3</v>
      </c>
      <c r="C11" s="59">
        <v>-5.9133864001996396E-4</v>
      </c>
      <c r="D11" s="59">
        <v>3.0247516032397802E-3</v>
      </c>
      <c r="E11" s="59">
        <v>1.3219977242582099E-3</v>
      </c>
      <c r="F11" s="59">
        <v>-1.79593422387474E-3</v>
      </c>
      <c r="G11" s="59">
        <v>3.1540000745975301E-3</v>
      </c>
    </row>
    <row r="12" spans="1:7" s="39" customFormat="1" x14ac:dyDescent="0.25">
      <c r="A12" s="56"/>
      <c r="B12" s="59">
        <f>B11*12</f>
        <v>-6.5100200751467163E-2</v>
      </c>
      <c r="C12" s="59">
        <f t="shared" ref="C12:G12" si="3">C11*12</f>
        <v>-7.0960636802395675E-3</v>
      </c>
      <c r="D12" s="59">
        <f t="shared" si="3"/>
        <v>3.6297019238877362E-2</v>
      </c>
      <c r="E12" s="59">
        <f t="shared" si="3"/>
        <v>1.5863972691098519E-2</v>
      </c>
      <c r="F12" s="59">
        <f t="shared" si="3"/>
        <v>-2.1551210686496881E-2</v>
      </c>
      <c r="G12" s="59">
        <f t="shared" si="3"/>
        <v>3.7848000895170361E-2</v>
      </c>
    </row>
    <row r="13" spans="1:7" s="39" customFormat="1" x14ac:dyDescent="0.25">
      <c r="A13" s="56"/>
      <c r="B13" s="59"/>
      <c r="C13" s="59"/>
      <c r="D13" s="59"/>
      <c r="E13" s="59"/>
      <c r="F13" s="59"/>
      <c r="G13" s="59"/>
    </row>
    <row r="14" spans="1:7" x14ac:dyDescent="0.25">
      <c r="A14" s="58" t="s">
        <v>15</v>
      </c>
      <c r="B14" s="59">
        <v>2.0125043191893599E-4</v>
      </c>
      <c r="C14" s="59">
        <v>2.73878886079115E-4</v>
      </c>
      <c r="D14" s="59">
        <v>5.7582118287356297E-3</v>
      </c>
      <c r="E14" s="59">
        <v>3.00354104464984E-3</v>
      </c>
      <c r="F14" s="59">
        <v>4.6558107732964397E-3</v>
      </c>
      <c r="G14" s="59">
        <v>4.6784111333667703E-3</v>
      </c>
    </row>
    <row r="15" spans="1:7" x14ac:dyDescent="0.25">
      <c r="B15" s="59">
        <f>B14*12</f>
        <v>2.4150051830272318E-3</v>
      </c>
      <c r="C15" s="59">
        <f t="shared" ref="C15:G15" si="4">C14*12</f>
        <v>3.28654663294938E-3</v>
      </c>
      <c r="D15" s="59">
        <f t="shared" si="4"/>
        <v>6.9098541944827563E-2</v>
      </c>
      <c r="E15" s="59">
        <f t="shared" si="4"/>
        <v>3.6042492535798082E-2</v>
      </c>
      <c r="F15" s="59">
        <f t="shared" si="4"/>
        <v>5.5869729279557273E-2</v>
      </c>
      <c r="G15" s="59">
        <f t="shared" si="4"/>
        <v>5.6140933600401247E-2</v>
      </c>
    </row>
    <row r="16" spans="1:7" x14ac:dyDescent="0.25">
      <c r="B16" s="59"/>
      <c r="C16" s="59"/>
      <c r="D16" s="68" t="s">
        <v>34</v>
      </c>
      <c r="E16" s="59"/>
      <c r="F16" s="59"/>
      <c r="G16" s="59"/>
    </row>
    <row r="17" spans="1:7" x14ac:dyDescent="0.25">
      <c r="A17" s="60" t="s">
        <v>398</v>
      </c>
      <c r="B17" s="61" t="s">
        <v>399</v>
      </c>
      <c r="C17" s="61" t="s">
        <v>400</v>
      </c>
      <c r="D17" s="61" t="s">
        <v>401</v>
      </c>
      <c r="E17" s="61" t="s">
        <v>402</v>
      </c>
      <c r="F17" s="61" t="s">
        <v>403</v>
      </c>
      <c r="G17" s="61" t="s">
        <v>404</v>
      </c>
    </row>
    <row r="18" spans="1:7" x14ac:dyDescent="0.25">
      <c r="A18" s="66" t="s">
        <v>405</v>
      </c>
      <c r="B18" s="62">
        <v>37347</v>
      </c>
      <c r="C18" s="64" t="s">
        <v>406</v>
      </c>
      <c r="D18" s="64" t="s">
        <v>407</v>
      </c>
      <c r="E18" s="64" t="s">
        <v>408</v>
      </c>
      <c r="F18" s="64" t="s">
        <v>409</v>
      </c>
      <c r="G18" s="64" t="s">
        <v>410</v>
      </c>
    </row>
    <row r="19" spans="1:7" x14ac:dyDescent="0.25">
      <c r="A19" s="67"/>
      <c r="B19" s="63">
        <v>37591</v>
      </c>
      <c r="C19" s="63">
        <v>37591</v>
      </c>
      <c r="D19" s="63">
        <v>37591</v>
      </c>
      <c r="E19" s="63">
        <v>37591</v>
      </c>
      <c r="F19" s="63">
        <v>37591</v>
      </c>
      <c r="G19" s="63">
        <v>37591</v>
      </c>
    </row>
    <row r="20" spans="1:7" x14ac:dyDescent="0.25">
      <c r="A20" s="65" t="s">
        <v>411</v>
      </c>
      <c r="B20" s="57">
        <v>25</v>
      </c>
      <c r="C20" s="57">
        <v>20</v>
      </c>
      <c r="D20" s="57">
        <v>40</v>
      </c>
      <c r="E20" s="57">
        <v>40</v>
      </c>
      <c r="F20" s="57">
        <v>30</v>
      </c>
      <c r="G20" s="57">
        <v>20</v>
      </c>
    </row>
  </sheetData>
  <mergeCells count="1">
    <mergeCell ref="A18:A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6F89-6DF9-4C4B-914A-21609885D34F}">
  <dimension ref="A1:G14"/>
  <sheetViews>
    <sheetView workbookViewId="0">
      <selection activeCell="C23" sqref="C23"/>
    </sheetView>
  </sheetViews>
  <sheetFormatPr defaultRowHeight="15" x14ac:dyDescent="0.25"/>
  <cols>
    <col min="1" max="1" width="15" bestFit="1" customWidth="1"/>
    <col min="2" max="2" width="19.85546875" bestFit="1" customWidth="1"/>
    <col min="3" max="5" width="20.85546875" bestFit="1" customWidth="1"/>
    <col min="6" max="6" width="19.85546875" bestFit="1" customWidth="1"/>
    <col min="7" max="7" width="7" bestFit="1" customWidth="1"/>
  </cols>
  <sheetData>
    <row r="1" spans="1:7" x14ac:dyDescent="0.25">
      <c r="A1" t="s">
        <v>25</v>
      </c>
      <c r="B1" t="s">
        <v>375</v>
      </c>
      <c r="C1" t="s">
        <v>376</v>
      </c>
      <c r="D1" t="s">
        <v>377</v>
      </c>
      <c r="E1" t="s">
        <v>378</v>
      </c>
      <c r="F1" t="s">
        <v>379</v>
      </c>
      <c r="G1" t="s">
        <v>380</v>
      </c>
    </row>
    <row r="2" spans="1:7" x14ac:dyDescent="0.25">
      <c r="A2" s="40" t="s">
        <v>214</v>
      </c>
      <c r="B2" s="11">
        <v>0.51648039383702204</v>
      </c>
      <c r="C2" s="11">
        <v>0.51923076923076905</v>
      </c>
      <c r="D2" s="11">
        <v>9.3606671032669606E-2</v>
      </c>
      <c r="E2" s="11">
        <v>0.39622641509433898</v>
      </c>
      <c r="F2" s="11">
        <v>0.63461538461538403</v>
      </c>
      <c r="G2" s="40" t="s">
        <v>382</v>
      </c>
    </row>
    <row r="3" spans="1:7" x14ac:dyDescent="0.25">
      <c r="A3" s="40" t="s">
        <v>381</v>
      </c>
      <c r="B3" s="11">
        <v>6.60290567411876E-3</v>
      </c>
      <c r="C3" s="11">
        <v>7.2913807032543698E-3</v>
      </c>
      <c r="D3" s="11">
        <v>9.4009401830553396E-2</v>
      </c>
      <c r="E3" s="11">
        <v>-9.5058531842349997E-2</v>
      </c>
      <c r="F3" s="11">
        <v>0.105630272190393</v>
      </c>
      <c r="G3" s="40" t="s">
        <v>383</v>
      </c>
    </row>
    <row r="4" spans="1:7" x14ac:dyDescent="0.25">
      <c r="A4" s="40" t="s">
        <v>216</v>
      </c>
      <c r="B4" s="11">
        <v>15.777195595069299</v>
      </c>
      <c r="C4" s="11">
        <v>15.635477073425401</v>
      </c>
      <c r="D4" s="11">
        <v>1.12864788655805</v>
      </c>
      <c r="E4" s="11">
        <v>14.4253829173052</v>
      </c>
      <c r="F4" s="11">
        <v>17.3819463347895</v>
      </c>
      <c r="G4" s="40" t="s">
        <v>384</v>
      </c>
    </row>
    <row r="5" spans="1:7" x14ac:dyDescent="0.25">
      <c r="A5" s="40" t="s">
        <v>217</v>
      </c>
      <c r="B5" s="11">
        <v>7.71726563658759</v>
      </c>
      <c r="C5" s="11">
        <v>7.6682551002441297</v>
      </c>
      <c r="D5" s="11">
        <v>0.80339451382066396</v>
      </c>
      <c r="E5" s="11">
        <v>6.7881612713600603</v>
      </c>
      <c r="F5" s="11">
        <v>8.7254657441361694</v>
      </c>
      <c r="G5" s="40" t="s">
        <v>385</v>
      </c>
    </row>
    <row r="6" spans="1:7" x14ac:dyDescent="0.25">
      <c r="A6" s="40" t="s">
        <v>218</v>
      </c>
      <c r="B6" s="11">
        <v>0.111230823759235</v>
      </c>
      <c r="C6" s="11">
        <v>9.18621436757069E-2</v>
      </c>
      <c r="D6" s="11">
        <v>0.36891175789313702</v>
      </c>
      <c r="E6" s="11">
        <v>-0.290935701435108</v>
      </c>
      <c r="F6" s="11">
        <v>0.49703665207606601</v>
      </c>
      <c r="G6" s="40" t="s">
        <v>386</v>
      </c>
    </row>
    <row r="7" spans="1:7" x14ac:dyDescent="0.25">
      <c r="A7" s="40" t="s">
        <v>215</v>
      </c>
      <c r="B7" s="11">
        <v>0.99153025411536599</v>
      </c>
      <c r="C7" s="11">
        <v>0.96352960696314904</v>
      </c>
      <c r="D7" s="11">
        <v>0.40835739926894299</v>
      </c>
      <c r="E7" s="11">
        <v>0.49495984680756999</v>
      </c>
      <c r="F7" s="11">
        <v>1.51719706213043</v>
      </c>
      <c r="G7" s="40" t="s">
        <v>387</v>
      </c>
    </row>
    <row r="8" spans="1:7" x14ac:dyDescent="0.25">
      <c r="A8" s="40" t="s">
        <v>219</v>
      </c>
      <c r="B8" s="11">
        <v>0.55496459118346897</v>
      </c>
      <c r="C8" s="11">
        <v>0.52782257384680598</v>
      </c>
      <c r="D8" s="11">
        <v>0.30289284365111202</v>
      </c>
      <c r="E8" s="11">
        <v>0.19510587956535499</v>
      </c>
      <c r="F8" s="11">
        <v>0.94472941544122901</v>
      </c>
      <c r="G8" s="40" t="s">
        <v>388</v>
      </c>
    </row>
    <row r="9" spans="1:7" x14ac:dyDescent="0.25">
      <c r="A9" s="40" t="s">
        <v>220</v>
      </c>
      <c r="B9" s="11">
        <v>0.53133479789584104</v>
      </c>
      <c r="C9" s="11">
        <v>0.49138170673415899</v>
      </c>
      <c r="D9" s="11">
        <v>0.35141050953347802</v>
      </c>
      <c r="E9" s="11">
        <v>0.154819586927891</v>
      </c>
      <c r="F9" s="11">
        <v>0.96309050885515801</v>
      </c>
      <c r="G9" s="40" t="s">
        <v>389</v>
      </c>
    </row>
    <row r="10" spans="1:7" x14ac:dyDescent="0.25">
      <c r="A10" s="40" t="s">
        <v>222</v>
      </c>
      <c r="B10" s="11">
        <v>0.54018933662041002</v>
      </c>
      <c r="C10" s="11">
        <v>0.57515681714272604</v>
      </c>
      <c r="D10" s="11">
        <v>0.17796358456146</v>
      </c>
      <c r="E10" s="11">
        <v>0.283765287807904</v>
      </c>
      <c r="F10" s="11">
        <v>0.73975463384131401</v>
      </c>
      <c r="G10" s="40" t="s">
        <v>382</v>
      </c>
    </row>
    <row r="11" spans="1:7" x14ac:dyDescent="0.25">
      <c r="A11" s="40" t="s">
        <v>221</v>
      </c>
      <c r="B11" s="11">
        <v>0.45699761051361698</v>
      </c>
      <c r="C11" s="11">
        <v>0.468711057001724</v>
      </c>
      <c r="D11" s="11">
        <v>0.13220413831902</v>
      </c>
      <c r="E11" s="11">
        <v>0.27797942957314498</v>
      </c>
      <c r="F11" s="11">
        <v>0.61952938118400702</v>
      </c>
      <c r="G11" s="40" t="s">
        <v>387</v>
      </c>
    </row>
    <row r="12" spans="1:7" x14ac:dyDescent="0.25">
      <c r="A12" s="40" t="s">
        <v>223</v>
      </c>
      <c r="B12" s="11">
        <v>1.4639250034861599</v>
      </c>
      <c r="C12" s="11">
        <v>1.24243777817806</v>
      </c>
      <c r="D12" s="11">
        <v>0.928978154370253</v>
      </c>
      <c r="E12" s="11">
        <v>0.71258193410433701</v>
      </c>
      <c r="F12" s="11">
        <v>2.41252102936605</v>
      </c>
      <c r="G12" s="40" t="s">
        <v>390</v>
      </c>
    </row>
    <row r="13" spans="1:7" x14ac:dyDescent="0.25">
      <c r="A13" s="40" t="s">
        <v>224</v>
      </c>
      <c r="B13" s="11">
        <v>3.67098745619968E-2</v>
      </c>
      <c r="C13" s="11">
        <v>2.9679634581874201E-2</v>
      </c>
      <c r="D13" s="11">
        <v>2.93621748015938E-2</v>
      </c>
      <c r="E13" s="11">
        <v>1.40814752080745E-2</v>
      </c>
      <c r="F13" s="11">
        <v>6.5027222585559694E-2</v>
      </c>
      <c r="G13" s="40" t="s">
        <v>391</v>
      </c>
    </row>
    <row r="14" spans="1:7" x14ac:dyDescent="0.25">
      <c r="A14" s="40" t="s">
        <v>225</v>
      </c>
      <c r="B14" s="11">
        <v>3.96389844057864E-2</v>
      </c>
      <c r="C14" s="11">
        <v>3.21003193271958E-2</v>
      </c>
      <c r="D14" s="11">
        <v>3.0413291957952102E-2</v>
      </c>
      <c r="E14" s="11">
        <v>1.6390672290974798E-2</v>
      </c>
      <c r="F14" s="11">
        <v>6.9918817013139803E-2</v>
      </c>
      <c r="G14" s="40" t="s">
        <v>391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E7F4-DF99-40BB-8297-274F994C92B2}">
  <dimension ref="A1:O111"/>
  <sheetViews>
    <sheetView workbookViewId="0">
      <selection activeCell="A98" sqref="A98:A111"/>
    </sheetView>
  </sheetViews>
  <sheetFormatPr defaultRowHeight="15" x14ac:dyDescent="0.25"/>
  <cols>
    <col min="1" max="1" width="18.5703125" bestFit="1" customWidth="1"/>
    <col min="2" max="2" width="9.85546875" bestFit="1" customWidth="1"/>
    <col min="3" max="3" width="16.7109375" bestFit="1" customWidth="1"/>
    <col min="4" max="7" width="17" customWidth="1"/>
    <col min="8" max="8" width="17.85546875" bestFit="1" customWidth="1"/>
    <col min="9" max="9" width="9.140625" customWidth="1"/>
    <col min="10" max="10" width="10.85546875" bestFit="1" customWidth="1"/>
    <col min="11" max="11" width="16.7109375" bestFit="1" customWidth="1"/>
    <col min="12" max="12" width="12.140625" bestFit="1" customWidth="1"/>
    <col min="13" max="13" width="16.7109375" bestFit="1" customWidth="1"/>
    <col min="14" max="14" width="9.85546875" bestFit="1" customWidth="1"/>
    <col min="15" max="15" width="16.7109375" bestFit="1" customWidth="1"/>
  </cols>
  <sheetData>
    <row r="1" spans="1:15" ht="20.25" thickBot="1" x14ac:dyDescent="0.35">
      <c r="A1" s="51" t="s">
        <v>203</v>
      </c>
      <c r="B1" s="51"/>
      <c r="C1" s="51"/>
      <c r="D1" s="51"/>
      <c r="E1" s="51"/>
      <c r="F1" s="51"/>
      <c r="G1" s="51"/>
      <c r="H1" s="51"/>
      <c r="I1" s="51"/>
      <c r="J1" s="51"/>
      <c r="K1" s="51"/>
      <c r="L1" s="51"/>
      <c r="M1" s="51"/>
      <c r="N1" s="51"/>
      <c r="O1" s="51"/>
    </row>
    <row r="2" spans="1:15" ht="15.75" thickTop="1" x14ac:dyDescent="0.25"/>
    <row r="3" spans="1:15" ht="15.75" thickBot="1" x14ac:dyDescent="0.3">
      <c r="B3" s="45" t="s">
        <v>204</v>
      </c>
      <c r="C3" s="45"/>
      <c r="D3" s="42" t="s">
        <v>206</v>
      </c>
      <c r="E3" s="42"/>
      <c r="F3" s="42"/>
      <c r="G3" s="42"/>
      <c r="H3" s="46" t="s">
        <v>209</v>
      </c>
      <c r="I3" s="46"/>
      <c r="J3" s="46"/>
      <c r="K3" s="46"/>
      <c r="L3" s="45" t="s">
        <v>212</v>
      </c>
      <c r="M3" s="45"/>
      <c r="N3" s="45" t="s">
        <v>213</v>
      </c>
      <c r="O3" s="45"/>
    </row>
    <row r="4" spans="1:15" ht="15.75" thickBot="1" x14ac:dyDescent="0.3">
      <c r="B4" s="46"/>
      <c r="C4" s="46"/>
      <c r="D4" s="44" t="s">
        <v>207</v>
      </c>
      <c r="E4" s="44"/>
      <c r="F4" s="44" t="s">
        <v>208</v>
      </c>
      <c r="G4" s="44"/>
      <c r="H4" s="44" t="s">
        <v>210</v>
      </c>
      <c r="I4" s="44"/>
      <c r="J4" s="44" t="s">
        <v>211</v>
      </c>
      <c r="K4" s="44"/>
      <c r="L4" s="46"/>
      <c r="M4" s="46"/>
      <c r="N4" s="46"/>
      <c r="O4" s="46"/>
    </row>
    <row r="5" spans="1:15" x14ac:dyDescent="0.25">
      <c r="B5" s="15" t="s">
        <v>6</v>
      </c>
      <c r="C5" s="15" t="s">
        <v>7</v>
      </c>
      <c r="D5" s="15" t="s">
        <v>6</v>
      </c>
      <c r="E5" s="15" t="s">
        <v>7</v>
      </c>
      <c r="F5" s="15" t="s">
        <v>6</v>
      </c>
      <c r="G5" s="15" t="s">
        <v>7</v>
      </c>
      <c r="H5" s="15" t="s">
        <v>6</v>
      </c>
      <c r="I5" s="15" t="s">
        <v>7</v>
      </c>
      <c r="J5" s="15" t="s">
        <v>6</v>
      </c>
      <c r="K5" s="15" t="s">
        <v>7</v>
      </c>
      <c r="L5" s="15" t="s">
        <v>6</v>
      </c>
      <c r="M5" s="15" t="s">
        <v>7</v>
      </c>
      <c r="N5" s="15" t="s">
        <v>6</v>
      </c>
      <c r="O5" s="15" t="s">
        <v>7</v>
      </c>
    </row>
    <row r="6" spans="1:15" x14ac:dyDescent="0.25">
      <c r="A6" s="4" t="s">
        <v>214</v>
      </c>
      <c r="B6" s="27">
        <v>5.8938771932606797E-3</v>
      </c>
      <c r="C6" s="28">
        <f>B6*12</f>
        <v>7.0726526319128152E-2</v>
      </c>
      <c r="D6" s="29">
        <v>7.2011563108136702E-3</v>
      </c>
      <c r="E6" s="28">
        <f>D6*12</f>
        <v>8.6413875729764042E-2</v>
      </c>
      <c r="F6" s="29">
        <f>62.0936288114986%/100</f>
        <v>6.2093628811498601E-3</v>
      </c>
      <c r="G6" s="28">
        <f>F6*12</f>
        <v>7.4512354573798317E-2</v>
      </c>
      <c r="H6" s="27">
        <f>0.583929275305848/100</f>
        <v>5.8392927530584804E-3</v>
      </c>
      <c r="I6" s="28">
        <f>H6*12</f>
        <v>7.0071513036701769E-2</v>
      </c>
      <c r="J6" s="27">
        <f>0.464306852447795/100</f>
        <v>4.64306852447795E-3</v>
      </c>
      <c r="K6" s="28">
        <f>J6*12</f>
        <v>5.5716822293735396E-2</v>
      </c>
      <c r="L6" s="27">
        <f>0.837369435172742%/100</f>
        <v>8.3736943517274183E-5</v>
      </c>
      <c r="M6" s="28">
        <f>L6*12</f>
        <v>1.0048433222072902E-3</v>
      </c>
      <c r="N6" s="27">
        <f>0.591822960430467/100</f>
        <v>5.9182296043046702E-3</v>
      </c>
      <c r="O6" s="28">
        <f>N6*12</f>
        <v>7.1018755251656046E-2</v>
      </c>
    </row>
    <row r="7" spans="1:15" x14ac:dyDescent="0.25">
      <c r="A7" s="4"/>
      <c r="B7" s="29" t="s">
        <v>107</v>
      </c>
      <c r="C7" s="28"/>
      <c r="D7" s="29" t="s">
        <v>107</v>
      </c>
      <c r="E7" s="28"/>
      <c r="F7" s="29" t="s">
        <v>107</v>
      </c>
      <c r="G7" s="28"/>
      <c r="H7" s="27" t="s">
        <v>107</v>
      </c>
      <c r="I7" s="28"/>
      <c r="J7" s="27" t="s">
        <v>34</v>
      </c>
      <c r="K7" s="28"/>
      <c r="L7" s="29" t="s">
        <v>107</v>
      </c>
      <c r="M7" s="28"/>
      <c r="N7" s="29" t="s">
        <v>107</v>
      </c>
      <c r="O7" s="28"/>
    </row>
    <row r="8" spans="1:15" x14ac:dyDescent="0.25">
      <c r="A8" s="4" t="s">
        <v>215</v>
      </c>
      <c r="B8" s="19">
        <v>-2.5774864275443601E-3</v>
      </c>
      <c r="C8" s="9">
        <f>B8*12</f>
        <v>-3.0929837130532323E-2</v>
      </c>
      <c r="D8" s="21">
        <v>2.6777288468112699E-3</v>
      </c>
      <c r="E8" s="9">
        <f>D8*12</f>
        <v>3.213274616173524E-2</v>
      </c>
      <c r="F8" s="21">
        <f>-0.196067436599211/100</f>
        <v>-1.9606743659921098E-3</v>
      </c>
      <c r="G8" s="9">
        <f t="shared" ref="G8:G22" si="0">F8*12</f>
        <v>-2.3528092391905318E-2</v>
      </c>
      <c r="H8" s="19">
        <f>-0.203968060169024/100</f>
        <v>-2.03968060169024E-3</v>
      </c>
      <c r="I8" s="9">
        <f>H8*12</f>
        <v>-2.4476167220282882E-2</v>
      </c>
      <c r="J8" s="19">
        <f>-0.150721231149966/100</f>
        <v>-1.50721231149966E-3</v>
      </c>
      <c r="K8" s="9">
        <f>J8*12</f>
        <v>-1.8086547737995919E-2</v>
      </c>
      <c r="L8" s="19">
        <f>-0.267333109170217%/100</f>
        <v>-2.6733310917021702E-5</v>
      </c>
      <c r="M8" s="9">
        <f>L8*12</f>
        <v>-3.2079973100426041E-4</v>
      </c>
      <c r="N8" s="19">
        <f>-0.252875440232464/100</f>
        <v>-2.52875440232464E-3</v>
      </c>
      <c r="O8" s="9">
        <f>N8*12</f>
        <v>-3.034505282789568E-2</v>
      </c>
    </row>
    <row r="9" spans="1:15" x14ac:dyDescent="0.25">
      <c r="A9" s="4"/>
      <c r="B9" s="20" t="s">
        <v>107</v>
      </c>
      <c r="C9" s="9"/>
      <c r="D9" s="21" t="s">
        <v>31</v>
      </c>
      <c r="E9" s="9"/>
      <c r="F9" s="21" t="s">
        <v>34</v>
      </c>
      <c r="G9" s="9"/>
      <c r="H9" s="20" t="s">
        <v>107</v>
      </c>
      <c r="I9" s="9"/>
      <c r="J9" s="20" t="s">
        <v>107</v>
      </c>
      <c r="K9" s="9"/>
      <c r="L9" s="20" t="s">
        <v>107</v>
      </c>
      <c r="M9" s="9"/>
      <c r="N9" s="20" t="s">
        <v>107</v>
      </c>
      <c r="O9" s="9"/>
    </row>
    <row r="10" spans="1:15" x14ac:dyDescent="0.25">
      <c r="A10" s="4" t="s">
        <v>216</v>
      </c>
      <c r="B10" s="19">
        <v>1.4790236833619401E-3</v>
      </c>
      <c r="C10" s="9">
        <f>B10*12</f>
        <v>1.774828420034328E-2</v>
      </c>
      <c r="D10" s="21">
        <v>1.67417683189346E-3</v>
      </c>
      <c r="E10" s="9">
        <f t="shared" ref="E10:E18" si="1">D10*12</f>
        <v>2.0090121982721521E-2</v>
      </c>
      <c r="F10" s="21">
        <f>0.174861725471588/100</f>
        <v>1.74861725471588E-3</v>
      </c>
      <c r="G10" s="9">
        <f t="shared" si="0"/>
        <v>2.0983407056590561E-2</v>
      </c>
      <c r="H10" s="19">
        <f>0.135787595491907/100</f>
        <v>1.35787595491907E-3</v>
      </c>
      <c r="I10" s="9">
        <f>H10*12</f>
        <v>1.629451145902884E-2</v>
      </c>
      <c r="J10" s="19">
        <f>0.143830675392887/100</f>
        <v>1.4383067539288699E-3</v>
      </c>
      <c r="K10" s="9">
        <f>J10*12</f>
        <v>1.7259681047146438E-2</v>
      </c>
      <c r="L10" s="19">
        <f>0.181496519359889%/100</f>
        <v>1.8149651935988899E-5</v>
      </c>
      <c r="M10" s="9">
        <f>L10*12</f>
        <v>2.177958232318668E-4</v>
      </c>
      <c r="N10" s="19">
        <f>0.143126935034832/100</f>
        <v>1.43126935034832E-3</v>
      </c>
      <c r="O10" s="9">
        <f>N10*12</f>
        <v>1.7175232204179838E-2</v>
      </c>
    </row>
    <row r="11" spans="1:15" x14ac:dyDescent="0.25">
      <c r="A11" s="4"/>
      <c r="B11" s="20" t="s">
        <v>107</v>
      </c>
      <c r="C11" s="9"/>
      <c r="D11" s="21" t="s">
        <v>107</v>
      </c>
      <c r="E11" s="9"/>
      <c r="F11" s="21" t="s">
        <v>107</v>
      </c>
      <c r="G11" s="9"/>
      <c r="H11" s="20" t="s">
        <v>107</v>
      </c>
      <c r="I11" s="9"/>
      <c r="J11" s="20" t="s">
        <v>107</v>
      </c>
      <c r="K11" s="9"/>
      <c r="L11" s="20" t="s">
        <v>107</v>
      </c>
      <c r="M11" s="9"/>
      <c r="N11" s="20" t="s">
        <v>107</v>
      </c>
      <c r="O11" s="9"/>
    </row>
    <row r="12" spans="1:15" x14ac:dyDescent="0.25">
      <c r="A12" t="s">
        <v>217</v>
      </c>
      <c r="B12">
        <v>-6.2757483465854605E-4</v>
      </c>
      <c r="C12">
        <f>B12*12</f>
        <v>-7.530898015902553E-3</v>
      </c>
      <c r="D12" s="11">
        <f>-0.000062080455568872/100</f>
        <v>-6.2080455568872001E-7</v>
      </c>
      <c r="E12" s="9">
        <f t="shared" si="1"/>
        <v>-7.4496546682646397E-6</v>
      </c>
      <c r="F12">
        <f>-0.0668208870261966/100</f>
        <v>-6.68208870261966E-4</v>
      </c>
      <c r="G12">
        <f t="shared" si="0"/>
        <v>-8.0185064431435929E-3</v>
      </c>
      <c r="H12">
        <f>-0.0553552034493923/100</f>
        <v>-5.5355203449392303E-4</v>
      </c>
      <c r="I12">
        <f>H12*12</f>
        <v>-6.6426244139270764E-3</v>
      </c>
      <c r="J12">
        <f>-0.0609748744239639/100</f>
        <v>-6.0974874423963901E-4</v>
      </c>
      <c r="K12">
        <f>J12*12</f>
        <v>-7.3169849308756685E-3</v>
      </c>
      <c r="L12">
        <f>-0.0395914374971656/100</f>
        <v>-3.9591437497165602E-4</v>
      </c>
      <c r="M12">
        <f>L12*12</f>
        <v>-4.7509724996598725E-3</v>
      </c>
      <c r="N12">
        <f>-0.0804698814848842/100</f>
        <v>-8.0469881484884201E-4</v>
      </c>
      <c r="O12">
        <f>N12*12</f>
        <v>-9.6563857781861041E-3</v>
      </c>
    </row>
    <row r="13" spans="1:15" x14ac:dyDescent="0.25">
      <c r="A13" s="4"/>
      <c r="B13" s="20" t="s">
        <v>34</v>
      </c>
      <c r="C13" s="9"/>
      <c r="D13" s="21" t="s">
        <v>34</v>
      </c>
      <c r="E13" s="9"/>
      <c r="F13" s="21" t="s">
        <v>34</v>
      </c>
      <c r="G13" s="9"/>
      <c r="H13" s="20" t="s">
        <v>34</v>
      </c>
      <c r="I13" s="9"/>
      <c r="J13" s="20" t="s">
        <v>34</v>
      </c>
      <c r="K13" s="9"/>
      <c r="L13" s="20"/>
      <c r="M13" s="9"/>
      <c r="N13" s="20" t="s">
        <v>107</v>
      </c>
      <c r="O13" s="9"/>
    </row>
    <row r="14" spans="1:15" x14ac:dyDescent="0.25">
      <c r="A14" s="4" t="s">
        <v>218</v>
      </c>
      <c r="B14" s="19">
        <v>6.9318220804363397E-3</v>
      </c>
      <c r="C14" s="9">
        <f>B14*12</f>
        <v>8.318186496523608E-2</v>
      </c>
      <c r="D14" s="21">
        <f>0.700020752385869/100</f>
        <v>7.0002075238586904E-3</v>
      </c>
      <c r="E14" s="9">
        <f t="shared" si="1"/>
        <v>8.4002490286304285E-2</v>
      </c>
      <c r="F14" s="21">
        <f>0.746630752015195/100</f>
        <v>7.4663075201519503E-3</v>
      </c>
      <c r="G14" s="9">
        <f t="shared" si="0"/>
        <v>8.95956902418234E-2</v>
      </c>
      <c r="H14" s="19">
        <f>0.754477142407303/100</f>
        <v>7.5447714240730298E-3</v>
      </c>
      <c r="I14" s="9">
        <f>H14*12</f>
        <v>9.0537257088876361E-2</v>
      </c>
      <c r="J14">
        <f>0.734888368714399/100</f>
        <v>7.3488836871439898E-3</v>
      </c>
      <c r="K14">
        <f>J14*12</f>
        <v>8.8186604245727884E-2</v>
      </c>
      <c r="L14">
        <f>0.614754411210222/100</f>
        <v>6.1475441121022203E-3</v>
      </c>
      <c r="M14">
        <f>L14*12</f>
        <v>7.377052934522664E-2</v>
      </c>
      <c r="N14">
        <f>0.7294071072976/100</f>
        <v>7.2940710729760003E-3</v>
      </c>
      <c r="O14">
        <f>N14*12</f>
        <v>8.7528852875712007E-2</v>
      </c>
    </row>
    <row r="15" spans="1:15" x14ac:dyDescent="0.25">
      <c r="A15" s="4"/>
      <c r="B15" s="20" t="s">
        <v>107</v>
      </c>
      <c r="C15" s="9"/>
      <c r="D15" s="21" t="s">
        <v>107</v>
      </c>
      <c r="E15" s="9"/>
      <c r="F15" s="21" t="s">
        <v>107</v>
      </c>
      <c r="G15" s="9"/>
      <c r="H15" s="20" t="s">
        <v>107</v>
      </c>
      <c r="I15" s="9"/>
      <c r="J15" s="20" t="s">
        <v>107</v>
      </c>
      <c r="K15" s="9"/>
      <c r="L15" s="20" t="s">
        <v>107</v>
      </c>
      <c r="M15" s="9"/>
      <c r="N15" s="20" t="s">
        <v>107</v>
      </c>
      <c r="O15" s="9"/>
    </row>
    <row r="16" spans="1:15" x14ac:dyDescent="0.25">
      <c r="A16" s="4" t="s">
        <v>231</v>
      </c>
      <c r="B16" s="19"/>
      <c r="C16" s="9"/>
      <c r="D16" s="21">
        <v>-2.9232730910354701E-3</v>
      </c>
      <c r="E16" s="9">
        <f t="shared" si="1"/>
        <v>-3.5079277092425643E-2</v>
      </c>
      <c r="F16" s="21"/>
      <c r="G16" s="9"/>
      <c r="H16" s="19"/>
      <c r="I16" s="9"/>
      <c r="J16" s="19"/>
      <c r="K16" s="9"/>
      <c r="L16" s="19"/>
      <c r="M16" s="9"/>
      <c r="N16" s="19"/>
      <c r="O16" s="9"/>
    </row>
    <row r="17" spans="1:15" x14ac:dyDescent="0.25">
      <c r="A17" s="4"/>
      <c r="B17" s="20"/>
      <c r="C17" s="9"/>
      <c r="D17" s="21" t="s">
        <v>31</v>
      </c>
      <c r="E17" s="9"/>
      <c r="F17" s="21"/>
      <c r="G17" s="9"/>
      <c r="H17" s="20"/>
      <c r="I17" s="9"/>
      <c r="J17" s="20"/>
      <c r="K17" s="9"/>
      <c r="L17" s="20"/>
      <c r="M17" s="9"/>
      <c r="N17" s="20"/>
      <c r="O17" s="9"/>
    </row>
    <row r="18" spans="1:15" x14ac:dyDescent="0.25">
      <c r="A18" s="4" t="s">
        <v>232</v>
      </c>
      <c r="B18" s="19"/>
      <c r="C18" s="9"/>
      <c r="D18" s="21">
        <v>-3.2073678719073402E-3</v>
      </c>
      <c r="E18" s="9">
        <f t="shared" si="1"/>
        <v>-3.8488414462888081E-2</v>
      </c>
      <c r="F18" s="21"/>
      <c r="G18" s="9"/>
      <c r="H18" s="19"/>
      <c r="I18" s="9"/>
      <c r="J18" s="19"/>
      <c r="K18" s="9"/>
      <c r="L18" s="19"/>
      <c r="M18" s="9"/>
      <c r="N18" s="19"/>
      <c r="O18" s="9"/>
    </row>
    <row r="19" spans="1:15" x14ac:dyDescent="0.25">
      <c r="A19" s="4"/>
      <c r="B19" s="20"/>
      <c r="C19" s="9"/>
      <c r="D19" s="21" t="s">
        <v>107</v>
      </c>
      <c r="E19" s="9"/>
      <c r="F19" s="21"/>
      <c r="G19" s="9"/>
      <c r="H19" s="20"/>
      <c r="I19" s="9"/>
      <c r="J19" s="20"/>
      <c r="K19" s="9"/>
      <c r="L19" s="20"/>
      <c r="M19" s="9"/>
      <c r="N19" s="20"/>
      <c r="O19" s="9"/>
    </row>
    <row r="20" spans="1:15" x14ac:dyDescent="0.25">
      <c r="A20" s="4" t="s">
        <v>221</v>
      </c>
      <c r="B20" s="19"/>
      <c r="C20" s="9"/>
      <c r="D20" s="21"/>
      <c r="E20" s="9"/>
      <c r="F20" s="22">
        <f>-4.44339400414481/100</f>
        <v>-4.44339400414481E-2</v>
      </c>
      <c r="G20" s="23">
        <f>F20*12</f>
        <v>-0.5332072804973772</v>
      </c>
      <c r="H20" s="19"/>
      <c r="I20" s="9"/>
      <c r="J20" s="19"/>
      <c r="K20" s="9"/>
      <c r="L20" s="9"/>
      <c r="M20" s="9"/>
      <c r="N20" s="19"/>
      <c r="O20" s="9"/>
    </row>
    <row r="21" spans="1:15" x14ac:dyDescent="0.25">
      <c r="A21" s="4"/>
      <c r="B21" s="20"/>
      <c r="C21" s="9"/>
      <c r="D21" s="21"/>
      <c r="E21" s="9"/>
      <c r="F21" s="22" t="s">
        <v>107</v>
      </c>
      <c r="G21" s="23"/>
      <c r="H21" s="20"/>
      <c r="I21" s="9"/>
      <c r="J21" s="20"/>
      <c r="K21" s="9"/>
      <c r="L21" s="12"/>
      <c r="M21" s="9"/>
      <c r="N21" s="20"/>
      <c r="O21" s="9"/>
    </row>
    <row r="22" spans="1:15" x14ac:dyDescent="0.25">
      <c r="A22" s="4" t="s">
        <v>222</v>
      </c>
      <c r="B22" s="21"/>
      <c r="C22" s="9"/>
      <c r="D22" s="21"/>
      <c r="E22" s="9"/>
      <c r="F22" s="22">
        <f>3.32307966631962/100</f>
        <v>3.3230796663196199E-2</v>
      </c>
      <c r="G22" s="23">
        <f t="shared" si="0"/>
        <v>0.39876955995835439</v>
      </c>
      <c r="H22" s="21"/>
      <c r="I22" s="9"/>
      <c r="J22" s="21"/>
      <c r="K22" s="9"/>
      <c r="L22" s="14"/>
      <c r="M22" s="9"/>
      <c r="N22" s="21"/>
      <c r="O22" s="9"/>
    </row>
    <row r="23" spans="1:15" x14ac:dyDescent="0.25">
      <c r="A23" s="4"/>
      <c r="B23" s="20"/>
      <c r="C23" s="9"/>
      <c r="D23" s="21"/>
      <c r="E23" s="9"/>
      <c r="F23" s="22" t="s">
        <v>107</v>
      </c>
      <c r="G23" s="23"/>
      <c r="H23" s="20"/>
      <c r="I23" s="9"/>
      <c r="J23" s="20"/>
      <c r="K23" s="9"/>
      <c r="L23" s="12"/>
      <c r="M23" s="9"/>
      <c r="N23" s="20"/>
      <c r="O23" s="9"/>
    </row>
    <row r="24" spans="1:15" x14ac:dyDescent="0.25">
      <c r="A24" s="4" t="s">
        <v>223</v>
      </c>
      <c r="B24" s="21"/>
      <c r="C24" s="9"/>
      <c r="D24" s="21"/>
      <c r="E24" s="9"/>
      <c r="F24" s="21"/>
      <c r="G24" s="9"/>
      <c r="H24" s="21">
        <f>-0.131828205389273/100</f>
        <v>-1.3182820538927302E-3</v>
      </c>
      <c r="I24" s="9">
        <f>H24*12</f>
        <v>-1.5819384646712762E-2</v>
      </c>
      <c r="J24" s="21"/>
      <c r="K24" s="9"/>
      <c r="L24" s="14"/>
      <c r="M24" s="9"/>
      <c r="N24" s="21"/>
      <c r="O24" s="9"/>
    </row>
    <row r="25" spans="1:15" x14ac:dyDescent="0.25">
      <c r="A25" s="4"/>
      <c r="B25" s="20"/>
      <c r="C25" s="9"/>
      <c r="D25" s="21"/>
      <c r="E25" s="9"/>
      <c r="F25" s="21"/>
      <c r="G25" s="9"/>
      <c r="H25" s="20" t="s">
        <v>107</v>
      </c>
      <c r="I25" s="9"/>
      <c r="J25" s="20"/>
      <c r="K25" s="9"/>
      <c r="L25" s="12"/>
      <c r="M25" s="9"/>
      <c r="N25" s="20"/>
      <c r="O25" s="9"/>
    </row>
    <row r="26" spans="1:15" x14ac:dyDescent="0.25">
      <c r="A26" s="4" t="s">
        <v>224</v>
      </c>
      <c r="B26" s="19"/>
      <c r="C26" s="9"/>
      <c r="D26" s="21"/>
      <c r="E26" s="9"/>
      <c r="F26" s="21"/>
      <c r="G26" s="9"/>
      <c r="H26" s="19"/>
      <c r="I26" s="9"/>
      <c r="J26" s="19">
        <f>-2.54828895868771/100</f>
        <v>-2.5482889586877101E-2</v>
      </c>
      <c r="K26" s="9">
        <f>J26*12</f>
        <v>-0.30579467504252522</v>
      </c>
      <c r="L26" s="9"/>
      <c r="M26" s="9"/>
      <c r="N26" s="19"/>
      <c r="O26" s="9"/>
    </row>
    <row r="27" spans="1:15" x14ac:dyDescent="0.25">
      <c r="B27" s="20"/>
      <c r="C27" s="9"/>
      <c r="D27" s="20"/>
      <c r="E27" s="9"/>
      <c r="F27" s="21"/>
      <c r="H27" s="20"/>
      <c r="I27" s="9"/>
      <c r="J27" s="20" t="s">
        <v>31</v>
      </c>
      <c r="K27" s="9"/>
      <c r="L27" s="12"/>
      <c r="M27" s="9"/>
      <c r="N27" s="20"/>
      <c r="O27" s="9"/>
    </row>
    <row r="28" spans="1:15" x14ac:dyDescent="0.25">
      <c r="A28" s="4" t="s">
        <v>225</v>
      </c>
      <c r="B28" s="19"/>
      <c r="C28" s="9"/>
      <c r="D28" s="21"/>
      <c r="E28" s="9"/>
      <c r="F28" s="21"/>
      <c r="G28" s="9"/>
      <c r="H28" s="19"/>
      <c r="I28" s="9"/>
      <c r="J28" s="24">
        <f>-183.88582688851/100</f>
        <v>-1.8388582688851001</v>
      </c>
      <c r="K28" s="25">
        <f>J28*12</f>
        <v>-22.066299226621201</v>
      </c>
      <c r="L28" s="9"/>
      <c r="M28" s="9"/>
      <c r="N28" s="19"/>
      <c r="O28" s="9"/>
    </row>
    <row r="29" spans="1:15" x14ac:dyDescent="0.25">
      <c r="B29" s="20"/>
      <c r="C29" s="9"/>
      <c r="D29" s="20"/>
      <c r="E29" s="9"/>
      <c r="F29" s="21"/>
      <c r="H29" s="20"/>
      <c r="I29" s="9"/>
      <c r="J29" s="20"/>
      <c r="K29" s="9"/>
      <c r="L29" s="12"/>
      <c r="M29" s="9"/>
      <c r="N29" s="20"/>
      <c r="O29" s="9"/>
    </row>
    <row r="30" spans="1:15" x14ac:dyDescent="0.25">
      <c r="A30" s="4" t="s">
        <v>212</v>
      </c>
      <c r="B30" s="19"/>
      <c r="C30" s="9"/>
      <c r="D30" s="21"/>
      <c r="E30" s="9"/>
      <c r="F30" s="21"/>
      <c r="G30" s="9"/>
      <c r="H30" s="19"/>
      <c r="I30" s="9"/>
      <c r="J30" s="19"/>
      <c r="K30" s="9"/>
      <c r="L30" s="24">
        <f>48224.2746145164/100</f>
        <v>482.24274614516401</v>
      </c>
      <c r="M30" s="25">
        <f>L30*12</f>
        <v>5786.9129537419685</v>
      </c>
      <c r="N30" s="19"/>
      <c r="O30" s="9"/>
    </row>
    <row r="31" spans="1:15" x14ac:dyDescent="0.25">
      <c r="B31" s="20"/>
      <c r="C31" s="9"/>
      <c r="D31" s="20"/>
      <c r="E31" s="9"/>
      <c r="F31" s="21"/>
      <c r="H31" s="20"/>
      <c r="I31" s="9"/>
      <c r="J31" s="20"/>
      <c r="K31" s="9"/>
      <c r="L31" s="26" t="s">
        <v>107</v>
      </c>
      <c r="M31" s="25"/>
      <c r="N31" s="20"/>
      <c r="O31" s="9"/>
    </row>
    <row r="32" spans="1:15" x14ac:dyDescent="0.25">
      <c r="A32" s="4" t="s">
        <v>226</v>
      </c>
      <c r="B32" s="19"/>
      <c r="C32" s="9"/>
      <c r="D32" s="21"/>
      <c r="E32" s="9"/>
      <c r="F32" s="21"/>
      <c r="G32" s="9"/>
      <c r="H32" s="19"/>
      <c r="I32" s="9"/>
      <c r="J32" s="19"/>
      <c r="K32" s="9"/>
      <c r="L32" s="9"/>
      <c r="M32" s="9"/>
      <c r="N32" s="19">
        <f>-0.00600684624083887/100</f>
        <v>-6.0068462408388701E-5</v>
      </c>
      <c r="O32" s="9">
        <f>N32*12</f>
        <v>-7.2082154890066447E-4</v>
      </c>
    </row>
    <row r="33" spans="1:15" x14ac:dyDescent="0.25">
      <c r="B33" s="20"/>
      <c r="C33" s="9"/>
      <c r="D33" s="20"/>
      <c r="E33" s="9"/>
      <c r="F33" s="21"/>
      <c r="H33" s="20"/>
      <c r="I33" s="9"/>
      <c r="J33" s="20"/>
      <c r="K33" s="9"/>
      <c r="L33" s="12"/>
      <c r="M33" s="9"/>
      <c r="N33" s="20" t="s">
        <v>107</v>
      </c>
      <c r="O33" s="9"/>
    </row>
    <row r="34" spans="1:15" x14ac:dyDescent="0.25">
      <c r="A34" s="4" t="s">
        <v>227</v>
      </c>
      <c r="B34" s="19"/>
      <c r="C34" s="9"/>
      <c r="D34" s="21"/>
      <c r="E34" s="9"/>
      <c r="F34" s="21"/>
      <c r="G34" s="9"/>
      <c r="H34" s="19"/>
      <c r="I34" s="9"/>
      <c r="J34" s="19"/>
      <c r="K34" s="9"/>
      <c r="L34" s="9"/>
      <c r="M34" s="9"/>
      <c r="N34" s="19">
        <f>0.0815547829132246/100</f>
        <v>8.1554782913224595E-4</v>
      </c>
      <c r="O34" s="9">
        <f>N34*12</f>
        <v>9.7865739495869505E-3</v>
      </c>
    </row>
    <row r="35" spans="1:15" x14ac:dyDescent="0.25">
      <c r="B35" s="20"/>
      <c r="C35" s="9"/>
      <c r="D35" s="20"/>
      <c r="E35" s="9"/>
      <c r="F35" s="21"/>
      <c r="H35" s="20"/>
      <c r="I35" s="9"/>
      <c r="J35" s="20"/>
      <c r="K35" s="9"/>
      <c r="L35" s="12"/>
      <c r="M35" s="9"/>
      <c r="N35" s="20" t="s">
        <v>107</v>
      </c>
      <c r="O35" s="9"/>
    </row>
    <row r="36" spans="1:15" x14ac:dyDescent="0.25">
      <c r="A36" s="18" t="s">
        <v>233</v>
      </c>
      <c r="B36" s="47">
        <v>0.114</v>
      </c>
      <c r="C36" s="47"/>
      <c r="D36" s="47">
        <v>0.12709999999999999</v>
      </c>
      <c r="E36" s="47"/>
      <c r="F36" s="48">
        <v>0.12559999999999999</v>
      </c>
      <c r="G36" s="48"/>
      <c r="H36" s="48">
        <v>0.1249</v>
      </c>
      <c r="I36" s="48"/>
      <c r="J36" s="48">
        <v>0.1283</v>
      </c>
      <c r="K36" s="48"/>
      <c r="L36" s="48">
        <v>0.1215</v>
      </c>
      <c r="M36" s="48"/>
      <c r="N36" s="48">
        <v>0.12330000000000001</v>
      </c>
      <c r="O36" s="48"/>
    </row>
    <row r="37" spans="1:15" x14ac:dyDescent="0.25">
      <c r="A37" s="18" t="s">
        <v>234</v>
      </c>
      <c r="B37" s="49">
        <v>547.79</v>
      </c>
      <c r="C37" s="49"/>
      <c r="D37" s="49">
        <v>547.79</v>
      </c>
      <c r="E37" s="49"/>
      <c r="F37" s="49">
        <v>547.79</v>
      </c>
      <c r="G37" s="49"/>
      <c r="H37" s="49">
        <v>547.79</v>
      </c>
      <c r="I37" s="49"/>
      <c r="J37" s="49">
        <v>547.79</v>
      </c>
      <c r="K37" s="49"/>
      <c r="L37" s="49">
        <v>488.09</v>
      </c>
      <c r="M37" s="49"/>
      <c r="N37" s="49">
        <v>547.66999999999996</v>
      </c>
      <c r="O37" s="49"/>
    </row>
    <row r="38" spans="1:15" x14ac:dyDescent="0.25">
      <c r="A38" s="18" t="s">
        <v>230</v>
      </c>
      <c r="B38" s="50" t="s">
        <v>293</v>
      </c>
      <c r="C38" s="50"/>
      <c r="D38" s="50" t="s">
        <v>293</v>
      </c>
      <c r="E38" s="50"/>
      <c r="F38" s="50" t="s">
        <v>293</v>
      </c>
      <c r="G38" s="50"/>
      <c r="H38" s="50" t="s">
        <v>293</v>
      </c>
      <c r="I38" s="50"/>
      <c r="J38" s="50" t="s">
        <v>293</v>
      </c>
      <c r="K38" s="50"/>
      <c r="L38" s="50" t="s">
        <v>293</v>
      </c>
      <c r="M38" s="50"/>
      <c r="N38" s="50" t="s">
        <v>293</v>
      </c>
      <c r="O38" s="50"/>
    </row>
    <row r="40" spans="1:15" ht="20.25" thickBot="1" x14ac:dyDescent="0.35">
      <c r="A40" s="51" t="s">
        <v>294</v>
      </c>
      <c r="B40" s="51"/>
      <c r="C40" s="51"/>
      <c r="D40" s="51"/>
      <c r="E40" s="51"/>
      <c r="F40" s="51"/>
      <c r="G40" s="51"/>
      <c r="H40" s="51"/>
      <c r="I40" s="51"/>
    </row>
    <row r="41" spans="1:15" ht="15.75" thickTop="1" x14ac:dyDescent="0.25"/>
    <row r="42" spans="1:15" ht="15.75" thickBot="1" x14ac:dyDescent="0.3">
      <c r="B42" s="46" t="s">
        <v>302</v>
      </c>
      <c r="C42" s="46"/>
      <c r="D42" s="46" t="s">
        <v>15</v>
      </c>
      <c r="E42" s="46"/>
      <c r="F42" s="46" t="s">
        <v>299</v>
      </c>
      <c r="G42" s="46"/>
      <c r="H42" s="46" t="s">
        <v>295</v>
      </c>
      <c r="I42" s="46"/>
      <c r="L42" s="52"/>
      <c r="M42" s="52"/>
      <c r="N42" s="52"/>
      <c r="O42" s="52"/>
    </row>
    <row r="43" spans="1:15" x14ac:dyDescent="0.25">
      <c r="B43" s="15" t="s">
        <v>6</v>
      </c>
      <c r="C43" s="15" t="s">
        <v>7</v>
      </c>
      <c r="D43" s="15" t="s">
        <v>6</v>
      </c>
      <c r="E43" s="15" t="s">
        <v>7</v>
      </c>
      <c r="F43" s="15" t="s">
        <v>6</v>
      </c>
      <c r="G43" s="15" t="s">
        <v>7</v>
      </c>
      <c r="H43" s="15" t="s">
        <v>6</v>
      </c>
      <c r="I43" s="15" t="s">
        <v>7</v>
      </c>
    </row>
    <row r="44" spans="1:15" x14ac:dyDescent="0.25">
      <c r="A44" s="4" t="s">
        <v>214</v>
      </c>
      <c r="B44" s="27">
        <f>0.0717319601783928/100</f>
        <v>7.1731960178392793E-4</v>
      </c>
      <c r="C44" s="28">
        <f>B44*12</f>
        <v>8.6078352214071351E-3</v>
      </c>
      <c r="D44" s="29">
        <f>1.5308811062114/100</f>
        <v>1.5308811062114E-2</v>
      </c>
      <c r="E44" s="28">
        <f>D44*12</f>
        <v>0.183705732745368</v>
      </c>
      <c r="F44" s="29">
        <f>0.266258073280202/100</f>
        <v>2.6625807328020199E-3</v>
      </c>
      <c r="G44" s="28">
        <f>F44*12</f>
        <v>3.1950968793624239E-2</v>
      </c>
      <c r="H44" s="27"/>
      <c r="I44" s="28"/>
    </row>
    <row r="45" spans="1:15" x14ac:dyDescent="0.25">
      <c r="A45" s="4"/>
      <c r="B45" s="29"/>
      <c r="C45" s="28"/>
      <c r="D45" s="29" t="s">
        <v>107</v>
      </c>
      <c r="E45" s="28"/>
      <c r="F45" s="29"/>
      <c r="G45" s="28"/>
      <c r="H45" s="27"/>
      <c r="I45" s="28"/>
    </row>
    <row r="46" spans="1:15" x14ac:dyDescent="0.25">
      <c r="A46" s="4" t="s">
        <v>295</v>
      </c>
      <c r="B46" s="19"/>
      <c r="C46" s="9"/>
      <c r="D46" s="21"/>
      <c r="E46" s="9"/>
      <c r="F46" s="21"/>
      <c r="G46" s="9"/>
      <c r="H46" s="34">
        <f>0.00540969077940015/100</f>
        <v>5.4096907794001501E-5</v>
      </c>
      <c r="I46" s="35">
        <f>H46*12</f>
        <v>6.4916289352801807E-4</v>
      </c>
    </row>
    <row r="47" spans="1:15" x14ac:dyDescent="0.25">
      <c r="B47" s="20"/>
      <c r="C47" s="9"/>
      <c r="D47" s="21"/>
      <c r="E47" s="9"/>
      <c r="F47" s="21"/>
      <c r="G47" s="9"/>
      <c r="H47" s="36" t="s">
        <v>107</v>
      </c>
      <c r="I47" s="35"/>
    </row>
    <row r="48" spans="1:15" x14ac:dyDescent="0.25">
      <c r="A48" s="4" t="s">
        <v>215</v>
      </c>
      <c r="B48" s="19">
        <f>-0.151267938734282/100</f>
        <v>-1.5126793873428198E-3</v>
      </c>
      <c r="C48" s="9">
        <f>B48*12</f>
        <v>-1.8152152648113838E-2</v>
      </c>
      <c r="D48" s="21">
        <f>-0.0789208899708844/100</f>
        <v>-7.892088997088439E-4</v>
      </c>
      <c r="E48" s="9">
        <f>D48*12</f>
        <v>-9.4705067965061267E-3</v>
      </c>
      <c r="F48" s="21">
        <f>-0.306118521231474/100</f>
        <v>-3.0611852123147397E-3</v>
      </c>
      <c r="G48" s="9">
        <f t="shared" ref="G48" si="2">F48*12</f>
        <v>-3.6734222547776876E-2</v>
      </c>
      <c r="H48" s="24">
        <f>-0.255970916958666/100</f>
        <v>-2.5597091695866597E-3</v>
      </c>
      <c r="I48" s="25">
        <f>H48*12</f>
        <v>-3.0716510035039918E-2</v>
      </c>
    </row>
    <row r="49" spans="1:9" x14ac:dyDescent="0.25">
      <c r="A49" s="4"/>
      <c r="B49" s="20" t="s">
        <v>34</v>
      </c>
      <c r="C49" s="9"/>
      <c r="D49" s="21"/>
      <c r="E49" s="9"/>
      <c r="F49" s="21" t="s">
        <v>107</v>
      </c>
      <c r="G49" s="9"/>
      <c r="H49" s="30" t="s">
        <v>107</v>
      </c>
      <c r="I49" s="25"/>
    </row>
    <row r="50" spans="1:9" x14ac:dyDescent="0.25">
      <c r="A50" s="4" t="s">
        <v>216</v>
      </c>
      <c r="B50" s="19">
        <f>0.132031681082057/100</f>
        <v>1.3203168108205702E-3</v>
      </c>
      <c r="C50" s="9">
        <f>B50*12</f>
        <v>1.584380172984684E-2</v>
      </c>
      <c r="D50" s="21">
        <f>0.211955049865841/100</f>
        <v>2.1195504986584097E-3</v>
      </c>
      <c r="E50" s="9">
        <f t="shared" ref="E50" si="3">D50*12</f>
        <v>2.5434605983900918E-2</v>
      </c>
      <c r="F50" s="21">
        <f>0.276194445612107/100</f>
        <v>2.7619444561210699E-3</v>
      </c>
      <c r="G50" s="9">
        <f t="shared" ref="G50" si="4">F50*12</f>
        <v>3.3143333473452836E-2</v>
      </c>
      <c r="H50" s="19">
        <f>0.148552859054006/100</f>
        <v>1.4855285905400601E-3</v>
      </c>
      <c r="I50" s="9">
        <f>H50*12</f>
        <v>1.782634308648072E-2</v>
      </c>
    </row>
    <row r="51" spans="1:9" x14ac:dyDescent="0.25">
      <c r="A51" s="4"/>
      <c r="B51" s="20" t="s">
        <v>107</v>
      </c>
      <c r="C51" s="9"/>
      <c r="D51" s="21" t="s">
        <v>107</v>
      </c>
      <c r="E51" s="9"/>
      <c r="F51" s="21" t="s">
        <v>107</v>
      </c>
      <c r="G51" s="9"/>
      <c r="H51" s="20" t="s">
        <v>107</v>
      </c>
      <c r="I51" s="9"/>
    </row>
    <row r="52" spans="1:9" x14ac:dyDescent="0.25">
      <c r="A52" s="4" t="s">
        <v>217</v>
      </c>
      <c r="B52" s="19">
        <f>-0.0737631883132809/100</f>
        <v>-7.3763188313280895E-4</v>
      </c>
      <c r="C52" s="9">
        <f>B52*12</f>
        <v>-8.8515825975937074E-3</v>
      </c>
      <c r="D52" s="21">
        <f>-0.0571443015252015/100</f>
        <v>-5.7144301525201497E-4</v>
      </c>
      <c r="E52" s="9">
        <f>D52*12</f>
        <v>-6.8573161830241796E-3</v>
      </c>
      <c r="F52" s="21">
        <f>-0.125801925838822/100</f>
        <v>-1.2580192583882199E-3</v>
      </c>
      <c r="G52" s="9">
        <f t="shared" ref="G52" si="5">F52*12</f>
        <v>-1.5096231100658639E-2</v>
      </c>
      <c r="H52" s="19">
        <f>-0.0598556037741782/100</f>
        <v>-5.9855603774178201E-4</v>
      </c>
      <c r="I52" s="9">
        <f>H52*12</f>
        <v>-7.1826724529013841E-3</v>
      </c>
    </row>
    <row r="53" spans="1:9" x14ac:dyDescent="0.25">
      <c r="A53" s="4"/>
      <c r="B53" s="20" t="s">
        <v>107</v>
      </c>
      <c r="C53" s="9"/>
      <c r="D53" s="21" t="s">
        <v>34</v>
      </c>
      <c r="E53" s="9"/>
      <c r="F53" s="21" t="s">
        <v>107</v>
      </c>
      <c r="G53" s="9"/>
      <c r="H53" s="20" t="s">
        <v>34</v>
      </c>
      <c r="I53" s="9"/>
    </row>
    <row r="54" spans="1:9" x14ac:dyDescent="0.25">
      <c r="A54" s="4" t="s">
        <v>218</v>
      </c>
      <c r="B54" s="19"/>
      <c r="C54" s="9"/>
      <c r="D54" s="21"/>
      <c r="E54" s="9"/>
      <c r="F54" s="21">
        <f>0.345215310526348/100</f>
        <v>3.4521531052634801E-3</v>
      </c>
      <c r="G54" s="9">
        <f>F54*12</f>
        <v>4.1425837263161763E-2</v>
      </c>
      <c r="H54" s="19">
        <f>0.501428356945497/100</f>
        <v>5.0142835694549706E-3</v>
      </c>
      <c r="I54" s="9">
        <f>H54*12</f>
        <v>6.0171402833459647E-2</v>
      </c>
    </row>
    <row r="55" spans="1:9" x14ac:dyDescent="0.25">
      <c r="A55" s="4"/>
      <c r="B55" s="20"/>
      <c r="C55" s="9"/>
      <c r="D55" s="21"/>
      <c r="E55" s="9"/>
      <c r="F55" s="21" t="s">
        <v>107</v>
      </c>
      <c r="G55" s="9"/>
      <c r="H55" s="20" t="s">
        <v>107</v>
      </c>
      <c r="I55" s="9"/>
    </row>
    <row r="56" spans="1:9" x14ac:dyDescent="0.25">
      <c r="A56" s="4" t="s">
        <v>296</v>
      </c>
      <c r="B56" s="19">
        <f>-1.74162425721358/100</f>
        <v>-1.7416242572135799E-2</v>
      </c>
      <c r="C56" s="9">
        <f>B56*12</f>
        <v>-0.2089949108656296</v>
      </c>
      <c r="D56" s="21"/>
      <c r="E56" s="9"/>
      <c r="F56" s="21"/>
      <c r="G56" s="9"/>
      <c r="H56" s="19"/>
      <c r="I56" s="9"/>
    </row>
    <row r="57" spans="1:9" x14ac:dyDescent="0.25">
      <c r="A57" s="4"/>
      <c r="B57" s="20" t="s">
        <v>107</v>
      </c>
      <c r="C57" s="9"/>
      <c r="D57" s="21"/>
      <c r="E57" s="9"/>
      <c r="F57" s="21"/>
      <c r="G57" s="9"/>
      <c r="H57" s="20"/>
      <c r="I57" s="9"/>
    </row>
    <row r="58" spans="1:9" x14ac:dyDescent="0.25">
      <c r="A58" s="4" t="s">
        <v>297</v>
      </c>
      <c r="B58" s="19">
        <f>0.309607934053725/100</f>
        <v>3.0960793405372502E-3</v>
      </c>
      <c r="C58" s="9">
        <f t="shared" ref="C58:C60" si="6">B58*12</f>
        <v>3.7152952086447005E-2</v>
      </c>
      <c r="D58" s="21"/>
      <c r="E58" s="9"/>
      <c r="H58" s="19"/>
      <c r="I58" s="9"/>
    </row>
    <row r="59" spans="1:9" x14ac:dyDescent="0.25">
      <c r="A59" s="4"/>
      <c r="B59" s="20" t="s">
        <v>107</v>
      </c>
      <c r="C59" s="9"/>
      <c r="D59" s="21"/>
      <c r="E59" s="9"/>
      <c r="H59" s="20"/>
      <c r="I59" s="9"/>
    </row>
    <row r="60" spans="1:9" x14ac:dyDescent="0.25">
      <c r="A60" s="4" t="s">
        <v>298</v>
      </c>
      <c r="B60" s="21">
        <f>0.189838825281712/100</f>
        <v>1.8983882528171201E-3</v>
      </c>
      <c r="C60" s="9">
        <f t="shared" si="6"/>
        <v>2.2780659033805439E-2</v>
      </c>
      <c r="D60" s="21"/>
      <c r="E60" s="9"/>
      <c r="H60" s="21"/>
      <c r="I60" s="9"/>
    </row>
    <row r="61" spans="1:9" x14ac:dyDescent="0.25">
      <c r="A61" s="4"/>
      <c r="B61" s="20" t="s">
        <v>107</v>
      </c>
      <c r="C61" s="9"/>
      <c r="D61" s="21"/>
      <c r="E61" s="9"/>
      <c r="H61" s="20"/>
      <c r="I61" s="9"/>
    </row>
    <row r="62" spans="1:9" x14ac:dyDescent="0.25">
      <c r="A62" s="4" t="s">
        <v>299</v>
      </c>
      <c r="B62" s="21"/>
      <c r="C62" s="9"/>
      <c r="D62" s="21"/>
      <c r="E62" s="9"/>
      <c r="F62" s="53" t="s">
        <v>328</v>
      </c>
      <c r="G62" s="53"/>
    </row>
    <row r="63" spans="1:9" x14ac:dyDescent="0.25">
      <c r="A63" s="4"/>
      <c r="B63" s="20"/>
      <c r="C63" s="9"/>
      <c r="D63" s="21"/>
      <c r="E63" s="9"/>
      <c r="F63" s="53"/>
      <c r="G63" s="53"/>
    </row>
    <row r="64" spans="1:9" x14ac:dyDescent="0.25">
      <c r="A64" s="4" t="s">
        <v>300</v>
      </c>
      <c r="B64" s="19"/>
      <c r="C64" s="9"/>
      <c r="D64" s="21">
        <f>-4.29978629570239E-08/100</f>
        <v>-4.2997862957023903E-10</v>
      </c>
      <c r="E64" s="9">
        <f>D64*12</f>
        <v>-5.1597435548428684E-9</v>
      </c>
      <c r="F64" s="21"/>
      <c r="G64" s="9"/>
    </row>
    <row r="65" spans="1:15" x14ac:dyDescent="0.25">
      <c r="B65" s="20"/>
      <c r="C65" s="9"/>
      <c r="D65" s="20" t="s">
        <v>107</v>
      </c>
      <c r="E65" s="9"/>
      <c r="F65" s="21"/>
    </row>
    <row r="66" spans="1:15" x14ac:dyDescent="0.25">
      <c r="A66" s="4" t="s">
        <v>301</v>
      </c>
      <c r="B66" s="19"/>
      <c r="C66" s="9"/>
      <c r="D66" s="21">
        <f>0.64716670636357/100</f>
        <v>6.4716670636356995E-3</v>
      </c>
      <c r="E66" s="9">
        <f>D66*12</f>
        <v>7.7660004763628387E-2</v>
      </c>
      <c r="F66" s="21"/>
      <c r="G66" s="9"/>
    </row>
    <row r="67" spans="1:15" x14ac:dyDescent="0.25">
      <c r="B67" s="20"/>
      <c r="C67" s="9"/>
      <c r="D67" s="20" t="s">
        <v>107</v>
      </c>
      <c r="E67" s="9"/>
      <c r="F67" s="21"/>
    </row>
    <row r="68" spans="1:15" x14ac:dyDescent="0.25">
      <c r="A68" s="18" t="s">
        <v>233</v>
      </c>
      <c r="B68" s="47">
        <v>0.13589999999999999</v>
      </c>
      <c r="C68" s="47"/>
      <c r="D68" s="47">
        <v>0.1101</v>
      </c>
      <c r="E68" s="47"/>
      <c r="F68" s="48">
        <v>0.48520000000000002</v>
      </c>
      <c r="G68" s="48"/>
      <c r="H68" s="48">
        <v>0.1135</v>
      </c>
      <c r="I68" s="48"/>
      <c r="J68" s="52"/>
      <c r="K68" s="52"/>
      <c r="L68" s="52"/>
      <c r="M68" s="52"/>
      <c r="N68" s="52"/>
      <c r="O68" s="52"/>
    </row>
    <row r="69" spans="1:15" x14ac:dyDescent="0.25">
      <c r="A69" s="18" t="s">
        <v>234</v>
      </c>
      <c r="B69" s="49">
        <v>538.41</v>
      </c>
      <c r="C69" s="49"/>
      <c r="D69" s="49">
        <v>545.22</v>
      </c>
      <c r="E69" s="49"/>
      <c r="F69" s="49">
        <v>547.79</v>
      </c>
      <c r="G69" s="49"/>
      <c r="H69" s="49">
        <v>547.79</v>
      </c>
      <c r="I69" s="49"/>
      <c r="J69" s="52"/>
      <c r="K69" s="52"/>
      <c r="L69" s="52"/>
      <c r="M69" s="52"/>
      <c r="N69" s="52"/>
      <c r="O69" s="52"/>
    </row>
    <row r="70" spans="1:15" x14ac:dyDescent="0.25">
      <c r="A70" s="18" t="s">
        <v>230</v>
      </c>
      <c r="B70" s="50" t="s">
        <v>307</v>
      </c>
      <c r="C70" s="50"/>
      <c r="D70" s="50" t="s">
        <v>293</v>
      </c>
      <c r="E70" s="50"/>
      <c r="F70" s="50" t="s">
        <v>293</v>
      </c>
      <c r="G70" s="50"/>
      <c r="H70" s="50" t="s">
        <v>293</v>
      </c>
      <c r="I70" s="50"/>
      <c r="J70" s="52"/>
      <c r="K70" s="52"/>
      <c r="L70" s="52"/>
      <c r="M70" s="52"/>
      <c r="N70" s="52"/>
      <c r="O70" s="52"/>
    </row>
    <row r="73" spans="1:15" ht="20.25" thickBot="1" x14ac:dyDescent="0.35">
      <c r="A73" s="51" t="s">
        <v>369</v>
      </c>
      <c r="B73" s="51"/>
      <c r="C73" s="51"/>
      <c r="D73" s="51"/>
      <c r="E73" s="51"/>
      <c r="F73" s="51"/>
      <c r="G73" s="51"/>
      <c r="H73" s="51"/>
      <c r="I73" s="51"/>
      <c r="J73" s="51"/>
      <c r="K73" s="51"/>
      <c r="L73" s="51"/>
      <c r="M73" s="51"/>
    </row>
    <row r="74" spans="1:15" ht="15.75" thickTop="1" x14ac:dyDescent="0.25"/>
    <row r="75" spans="1:15" ht="15.75" thickBot="1" x14ac:dyDescent="0.3">
      <c r="B75" s="46" t="s">
        <v>329</v>
      </c>
      <c r="C75" s="46"/>
      <c r="D75" s="46" t="s">
        <v>330</v>
      </c>
      <c r="E75" s="46"/>
      <c r="F75" s="46" t="s">
        <v>331</v>
      </c>
      <c r="G75" s="46"/>
      <c r="H75" s="46" t="s">
        <v>332</v>
      </c>
      <c r="I75" s="46"/>
      <c r="J75" s="46" t="s">
        <v>333</v>
      </c>
      <c r="K75" s="46"/>
      <c r="L75" s="46" t="s">
        <v>334</v>
      </c>
      <c r="M75" s="46"/>
    </row>
    <row r="76" spans="1:15" x14ac:dyDescent="0.25">
      <c r="B76" s="15" t="s">
        <v>6</v>
      </c>
      <c r="C76" s="15" t="s">
        <v>7</v>
      </c>
      <c r="D76" s="15" t="s">
        <v>6</v>
      </c>
      <c r="E76" s="15" t="s">
        <v>7</v>
      </c>
      <c r="F76" s="15" t="s">
        <v>6</v>
      </c>
      <c r="G76" s="15" t="s">
        <v>7</v>
      </c>
      <c r="H76" s="15" t="s">
        <v>6</v>
      </c>
      <c r="I76" s="15" t="s">
        <v>7</v>
      </c>
      <c r="J76" s="15" t="s">
        <v>6</v>
      </c>
      <c r="K76" s="15" t="s">
        <v>7</v>
      </c>
      <c r="L76" s="15" t="s">
        <v>6</v>
      </c>
      <c r="M76" s="15" t="s">
        <v>7</v>
      </c>
    </row>
    <row r="77" spans="1:15" x14ac:dyDescent="0.25">
      <c r="A77" s="4" t="s">
        <v>214</v>
      </c>
      <c r="B77" s="27"/>
      <c r="C77" s="28"/>
      <c r="D77" s="32"/>
      <c r="E77" s="28"/>
      <c r="F77" s="29"/>
      <c r="G77" s="28"/>
      <c r="H77" s="27">
        <f>0.589387719326068/100</f>
        <v>5.8938771932606805E-3</v>
      </c>
      <c r="I77" s="28">
        <f>H77*12</f>
        <v>7.0726526319128166E-2</v>
      </c>
      <c r="J77" s="27">
        <f>1.4784710204219/100</f>
        <v>1.4784710204219001E-2</v>
      </c>
      <c r="K77" s="28">
        <f>J77*12</f>
        <v>0.177416522450628</v>
      </c>
      <c r="L77" s="27">
        <f>-0.28642568175341/100</f>
        <v>-2.8642568175340998E-3</v>
      </c>
      <c r="M77" s="28">
        <f>L77*12</f>
        <v>-3.4371081810409196E-2</v>
      </c>
    </row>
    <row r="78" spans="1:15" x14ac:dyDescent="0.25">
      <c r="A78" s="4"/>
      <c r="B78" s="29"/>
      <c r="C78" s="28"/>
      <c r="D78" s="29"/>
      <c r="E78" s="29"/>
      <c r="F78" s="29"/>
      <c r="G78" s="28"/>
      <c r="H78" s="29" t="s">
        <v>107</v>
      </c>
      <c r="I78" s="33"/>
      <c r="J78" s="29" t="s">
        <v>107</v>
      </c>
      <c r="K78" s="28"/>
      <c r="L78" s="27"/>
      <c r="M78" s="28"/>
    </row>
    <row r="79" spans="1:15" x14ac:dyDescent="0.25">
      <c r="A79" s="4" t="s">
        <v>370</v>
      </c>
      <c r="B79" s="31">
        <f>-0.00415276454849203/100</f>
        <v>-4.1527645484920299E-5</v>
      </c>
      <c r="C79" s="23">
        <f>B79*12</f>
        <v>-4.9833174581904354E-4</v>
      </c>
      <c r="D79" s="21"/>
      <c r="E79" s="9"/>
      <c r="F79" s="21"/>
      <c r="G79" s="9"/>
    </row>
    <row r="80" spans="1:15" x14ac:dyDescent="0.25">
      <c r="B80" s="22" t="s">
        <v>31</v>
      </c>
      <c r="C80" s="23"/>
      <c r="D80" s="21"/>
      <c r="E80" s="9"/>
      <c r="F80" s="21"/>
      <c r="G80" s="9"/>
    </row>
    <row r="81" spans="1:13" x14ac:dyDescent="0.25">
      <c r="A81" s="4" t="s">
        <v>371</v>
      </c>
      <c r="B81" s="19"/>
      <c r="C81" s="9"/>
      <c r="D81" s="22">
        <f>0.00177282614056737/100</f>
        <v>1.7728261405673698E-5</v>
      </c>
      <c r="E81" s="23">
        <f>12*D81</f>
        <v>2.127391368680844E-4</v>
      </c>
      <c r="F81" s="21"/>
      <c r="G81" s="9"/>
    </row>
    <row r="82" spans="1:13" x14ac:dyDescent="0.25">
      <c r="A82" s="4"/>
      <c r="B82" s="20"/>
      <c r="C82" s="9"/>
      <c r="D82" s="22"/>
      <c r="E82" s="23"/>
      <c r="F82" s="21"/>
      <c r="G82" s="9"/>
    </row>
    <row r="83" spans="1:13" x14ac:dyDescent="0.25">
      <c r="A83" s="4" t="s">
        <v>372</v>
      </c>
      <c r="B83" s="19"/>
      <c r="C83" s="9"/>
      <c r="D83" s="21"/>
      <c r="E83" s="9"/>
      <c r="F83" s="22">
        <f>0.00694261848709368/100</f>
        <v>6.9426184870936792E-5</v>
      </c>
      <c r="G83" s="23">
        <f>12*F83</f>
        <v>8.331142184512415E-4</v>
      </c>
    </row>
    <row r="84" spans="1:13" x14ac:dyDescent="0.25">
      <c r="A84" s="4"/>
      <c r="B84" s="20"/>
      <c r="C84" s="9"/>
      <c r="D84" s="21"/>
      <c r="E84" s="9"/>
      <c r="F84" s="22" t="s">
        <v>107</v>
      </c>
      <c r="G84" s="23"/>
    </row>
    <row r="85" spans="1:13" x14ac:dyDescent="0.25">
      <c r="A85" s="4" t="s">
        <v>215</v>
      </c>
      <c r="B85" s="19">
        <f>-0.264500341265454/100</f>
        <v>-2.6450034126545403E-3</v>
      </c>
      <c r="C85" s="9">
        <f t="shared" ref="C85:C91" si="7">B85*12</f>
        <v>-3.1740040951854481E-2</v>
      </c>
      <c r="D85" s="21">
        <f>-0.244374384484431/100</f>
        <v>-2.4437438448443099E-3</v>
      </c>
      <c r="E85" s="9">
        <f t="shared" ref="E85:E91" si="8">12*D85</f>
        <v>-2.9324926138131719E-2</v>
      </c>
      <c r="F85" s="21">
        <f>-0.257748642754437/100</f>
        <v>-2.5774864275443701E-3</v>
      </c>
      <c r="G85" s="9">
        <f>F85*12</f>
        <v>-3.0929837130532441E-2</v>
      </c>
      <c r="H85" s="19">
        <f>-0.257748642754436/100</f>
        <v>-2.5774864275443597E-3</v>
      </c>
      <c r="I85" s="9">
        <f>H85*12</f>
        <v>-3.0929837130532316E-2</v>
      </c>
      <c r="J85" s="19">
        <f>-0.461202550682973/100</f>
        <v>-4.6120255068297297E-3</v>
      </c>
      <c r="K85" s="9">
        <f>J85*12</f>
        <v>-5.5344306081956757E-2</v>
      </c>
      <c r="L85" s="19">
        <f>-0.0573313603173709/100</f>
        <v>-5.73313603173709E-4</v>
      </c>
      <c r="M85" s="9">
        <f>L85*12</f>
        <v>-6.8797632380845075E-3</v>
      </c>
    </row>
    <row r="86" spans="1:13" x14ac:dyDescent="0.25">
      <c r="A86" s="4"/>
      <c r="B86" s="20" t="s">
        <v>107</v>
      </c>
      <c r="C86" s="9"/>
      <c r="D86" s="21" t="s">
        <v>107</v>
      </c>
      <c r="E86" s="9"/>
      <c r="F86" s="21" t="s">
        <v>107</v>
      </c>
      <c r="G86" s="9"/>
      <c r="H86" s="20"/>
      <c r="I86" s="9"/>
      <c r="J86" s="20" t="s">
        <v>107</v>
      </c>
      <c r="K86" s="9" t="s">
        <v>373</v>
      </c>
      <c r="L86" s="20"/>
      <c r="M86" s="9"/>
    </row>
    <row r="87" spans="1:13" x14ac:dyDescent="0.25">
      <c r="A87" s="4" t="s">
        <v>216</v>
      </c>
      <c r="B87" s="19">
        <f>0.152262036108684/100</f>
        <v>1.52262036108684E-3</v>
      </c>
      <c r="C87" s="9">
        <f t="shared" si="7"/>
        <v>1.8271444333042081E-2</v>
      </c>
      <c r="D87" s="21">
        <f>0.16216990958299/100</f>
        <v>1.6216990958298999E-3</v>
      </c>
      <c r="E87" s="9">
        <f t="shared" si="8"/>
        <v>1.9460389149958797E-2</v>
      </c>
      <c r="F87" s="21">
        <f>0.147902368336194/100</f>
        <v>1.4790236833619401E-3</v>
      </c>
      <c r="G87" s="9">
        <f>F87*12</f>
        <v>1.774828420034328E-2</v>
      </c>
      <c r="H87" s="19">
        <f>0.147902368336194/100</f>
        <v>1.4790236833619401E-3</v>
      </c>
      <c r="I87" s="9">
        <f t="shared" ref="I87:I91" si="9">H87*12</f>
        <v>1.774828420034328E-2</v>
      </c>
      <c r="J87" s="19">
        <f>0.101905990264227/100</f>
        <v>1.0190599026422701E-3</v>
      </c>
      <c r="K87" s="9">
        <f t="shared" ref="K87:K91" si="10">J87*12</f>
        <v>1.2228718831707241E-2</v>
      </c>
      <c r="L87" s="19">
        <f>0.19321223330261/100</f>
        <v>1.9321223330261001E-3</v>
      </c>
      <c r="M87" s="9">
        <f t="shared" ref="M87:M91" si="11">L87*12</f>
        <v>2.31854679963132E-2</v>
      </c>
    </row>
    <row r="88" spans="1:13" x14ac:dyDescent="0.25">
      <c r="A88" s="4"/>
      <c r="B88" s="20" t="s">
        <v>107</v>
      </c>
      <c r="C88" s="9"/>
      <c r="D88" s="21" t="s">
        <v>107</v>
      </c>
      <c r="E88" s="9"/>
      <c r="F88" s="21" t="s">
        <v>107</v>
      </c>
      <c r="G88" s="9"/>
      <c r="H88" s="20" t="s">
        <v>107</v>
      </c>
      <c r="I88" s="9"/>
      <c r="J88" s="20" t="s">
        <v>107</v>
      </c>
      <c r="K88" s="9"/>
      <c r="L88" s="20" t="s">
        <v>107</v>
      </c>
      <c r="M88" s="9"/>
    </row>
    <row r="89" spans="1:13" x14ac:dyDescent="0.25">
      <c r="A89" s="4" t="s">
        <v>217</v>
      </c>
      <c r="B89" s="19">
        <f>-0.0668602075856871/100</f>
        <v>-6.6860207585687104E-4</v>
      </c>
      <c r="C89" s="9">
        <f t="shared" si="7"/>
        <v>-8.0232249102824525E-3</v>
      </c>
      <c r="D89" s="21">
        <f>-0.0687398654354968/100</f>
        <v>-6.8739865435496798E-4</v>
      </c>
      <c r="E89" s="9">
        <f t="shared" si="8"/>
        <v>-8.2487838522596162E-3</v>
      </c>
      <c r="F89" s="21">
        <f>-0.0627574834658546/100</f>
        <v>-6.2757483465854594E-4</v>
      </c>
      <c r="G89" s="9">
        <f>F89*12</f>
        <v>-7.5308980159025513E-3</v>
      </c>
      <c r="H89" s="19">
        <f>-0.0627574834658546/100</f>
        <v>-6.2757483465854594E-4</v>
      </c>
      <c r="I89" s="9">
        <f t="shared" si="9"/>
        <v>-7.5308980159025513E-3</v>
      </c>
      <c r="J89" s="19">
        <f>-0.11261975618155/100</f>
        <v>-1.1261975618154999E-3</v>
      </c>
      <c r="K89" s="9">
        <f t="shared" si="10"/>
        <v>-1.3514370741785998E-2</v>
      </c>
      <c r="L89" s="19">
        <f>-0.0136394237757666/100</f>
        <v>-1.3639423775766601E-4</v>
      </c>
      <c r="M89" s="9">
        <f t="shared" si="11"/>
        <v>-1.6367308530919921E-3</v>
      </c>
    </row>
    <row r="90" spans="1:13" x14ac:dyDescent="0.25">
      <c r="A90" s="4"/>
      <c r="B90" s="20" t="s">
        <v>34</v>
      </c>
      <c r="C90" s="9"/>
      <c r="D90" s="21" t="s">
        <v>34</v>
      </c>
      <c r="E90" s="9"/>
      <c r="F90" s="21" t="s">
        <v>34</v>
      </c>
      <c r="G90" s="9"/>
      <c r="H90" s="20" t="s">
        <v>34</v>
      </c>
      <c r="I90" s="9"/>
      <c r="J90" s="20" t="s">
        <v>34</v>
      </c>
      <c r="K90" s="9"/>
      <c r="L90" s="20"/>
      <c r="M90" s="9"/>
    </row>
    <row r="91" spans="1:13" x14ac:dyDescent="0.25">
      <c r="A91" s="4" t="s">
        <v>218</v>
      </c>
      <c r="B91" s="19">
        <f>0.546482888181295/100</f>
        <v>5.4648288818129496E-3</v>
      </c>
      <c r="C91" s="9">
        <f t="shared" si="7"/>
        <v>6.5577946581755392E-2</v>
      </c>
      <c r="D91" s="21">
        <f>0.625849551420321/100</f>
        <v>6.2584955142032097E-3</v>
      </c>
      <c r="E91" s="9">
        <f t="shared" si="8"/>
        <v>7.5101946170438513E-2</v>
      </c>
      <c r="F91" s="11">
        <f>0.693182208043632/100</f>
        <v>6.9318220804363197E-3</v>
      </c>
      <c r="G91" s="9">
        <f>F91*12</f>
        <v>8.318186496523583E-2</v>
      </c>
      <c r="H91" s="19">
        <f>0.693182208043634/100</f>
        <v>6.9318220804363397E-3</v>
      </c>
      <c r="I91" s="9">
        <f t="shared" si="9"/>
        <v>8.318186496523608E-2</v>
      </c>
      <c r="J91" s="19">
        <f>0.3068623674902/100</f>
        <v>3.0686236749020001E-3</v>
      </c>
      <c r="K91" s="9">
        <f t="shared" si="10"/>
        <v>3.6823484098824001E-2</v>
      </c>
      <c r="L91" s="19">
        <f>1.07373608082761/100</f>
        <v>1.07373608082761E-2</v>
      </c>
      <c r="M91" s="9">
        <f t="shared" si="11"/>
        <v>0.1288483296993132</v>
      </c>
    </row>
    <row r="92" spans="1:13" x14ac:dyDescent="0.25">
      <c r="A92" s="4"/>
      <c r="B92" s="20" t="s">
        <v>107</v>
      </c>
      <c r="C92" s="9"/>
      <c r="D92" s="21" t="s">
        <v>107</v>
      </c>
      <c r="E92" s="9"/>
      <c r="F92" s="21" t="s">
        <v>107</v>
      </c>
      <c r="H92" s="20" t="s">
        <v>107</v>
      </c>
      <c r="I92" s="9"/>
      <c r="J92" s="20" t="s">
        <v>107</v>
      </c>
      <c r="K92" s="9"/>
      <c r="L92" s="20" t="s">
        <v>107</v>
      </c>
      <c r="M92" s="9"/>
    </row>
    <row r="93" spans="1:13" x14ac:dyDescent="0.25">
      <c r="A93" s="18" t="s">
        <v>233</v>
      </c>
      <c r="B93" s="47">
        <v>0.11459999999999999</v>
      </c>
      <c r="C93" s="47"/>
      <c r="D93" s="47">
        <v>0.11609999999999999</v>
      </c>
      <c r="E93" s="47"/>
      <c r="F93" s="48">
        <v>0.114</v>
      </c>
      <c r="G93" s="48"/>
      <c r="H93" s="48">
        <v>0.114</v>
      </c>
      <c r="I93" s="48"/>
      <c r="J93" s="48">
        <v>0.114</v>
      </c>
      <c r="K93" s="48"/>
      <c r="L93" s="48">
        <v>0.11409999999999999</v>
      </c>
      <c r="M93" s="48"/>
    </row>
    <row r="94" spans="1:13" x14ac:dyDescent="0.25">
      <c r="A94" s="18" t="s">
        <v>234</v>
      </c>
      <c r="B94" s="49">
        <v>547.36</v>
      </c>
      <c r="C94" s="49"/>
      <c r="D94" s="49">
        <v>547.79</v>
      </c>
      <c r="E94" s="49"/>
      <c r="F94" s="49">
        <v>547.79</v>
      </c>
      <c r="G94" s="49"/>
      <c r="H94" s="49">
        <v>547.79</v>
      </c>
      <c r="I94" s="49"/>
      <c r="J94" s="49">
        <v>514.53</v>
      </c>
      <c r="K94" s="49"/>
      <c r="L94" s="49">
        <v>580.54999999999995</v>
      </c>
      <c r="M94" s="49"/>
    </row>
    <row r="95" spans="1:13" x14ac:dyDescent="0.25">
      <c r="A95" s="18" t="s">
        <v>230</v>
      </c>
      <c r="B95" s="50" t="s">
        <v>293</v>
      </c>
      <c r="C95" s="50"/>
      <c r="D95" s="50" t="s">
        <v>293</v>
      </c>
      <c r="E95" s="50"/>
      <c r="F95" s="50" t="s">
        <v>293</v>
      </c>
      <c r="G95" s="50"/>
      <c r="H95" s="50" t="s">
        <v>293</v>
      </c>
      <c r="I95" s="50"/>
      <c r="J95" s="50" t="s">
        <v>367</v>
      </c>
      <c r="K95" s="50"/>
      <c r="L95" s="50" t="s">
        <v>368</v>
      </c>
      <c r="M95" s="50"/>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sheetData>
  <mergeCells count="85">
    <mergeCell ref="L75:M75"/>
    <mergeCell ref="L93:M93"/>
    <mergeCell ref="L94:M94"/>
    <mergeCell ref="L95:M95"/>
    <mergeCell ref="A73:M73"/>
    <mergeCell ref="B95:C95"/>
    <mergeCell ref="D95:E95"/>
    <mergeCell ref="F95:G95"/>
    <mergeCell ref="H95:I95"/>
    <mergeCell ref="J75:K75"/>
    <mergeCell ref="J93:K93"/>
    <mergeCell ref="J94:K94"/>
    <mergeCell ref="J95:K95"/>
    <mergeCell ref="B93:C93"/>
    <mergeCell ref="D93:E93"/>
    <mergeCell ref="F93:G93"/>
    <mergeCell ref="H93:I93"/>
    <mergeCell ref="B94:C94"/>
    <mergeCell ref="D94:E94"/>
    <mergeCell ref="F94:G94"/>
    <mergeCell ref="H94:I94"/>
    <mergeCell ref="H42:I42"/>
    <mergeCell ref="A40:I40"/>
    <mergeCell ref="B75:C75"/>
    <mergeCell ref="D75:E75"/>
    <mergeCell ref="F75:G75"/>
    <mergeCell ref="H75:I75"/>
    <mergeCell ref="H69:I69"/>
    <mergeCell ref="N70:O70"/>
    <mergeCell ref="F62:G63"/>
    <mergeCell ref="B42:C42"/>
    <mergeCell ref="D42:E42"/>
    <mergeCell ref="F42:G42"/>
    <mergeCell ref="B70:C70"/>
    <mergeCell ref="D70:E70"/>
    <mergeCell ref="F70:G70"/>
    <mergeCell ref="H70:I70"/>
    <mergeCell ref="J70:K70"/>
    <mergeCell ref="L70:M70"/>
    <mergeCell ref="L68:M68"/>
    <mergeCell ref="N68:O68"/>
    <mergeCell ref="B69:C69"/>
    <mergeCell ref="D69:E69"/>
    <mergeCell ref="F69:G69"/>
    <mergeCell ref="J69:K69"/>
    <mergeCell ref="L69:M69"/>
    <mergeCell ref="N69:O69"/>
    <mergeCell ref="B68:C68"/>
    <mergeCell ref="D68:E68"/>
    <mergeCell ref="F68:G68"/>
    <mergeCell ref="H68:I68"/>
    <mergeCell ref="J68:K68"/>
    <mergeCell ref="N37:O37"/>
    <mergeCell ref="N38:O38"/>
    <mergeCell ref="L38:M38"/>
    <mergeCell ref="A1:O1"/>
    <mergeCell ref="L42:M42"/>
    <mergeCell ref="N42:O42"/>
    <mergeCell ref="H37:I37"/>
    <mergeCell ref="H38:I38"/>
    <mergeCell ref="J36:K36"/>
    <mergeCell ref="J37:K37"/>
    <mergeCell ref="J38:K38"/>
    <mergeCell ref="L36:M36"/>
    <mergeCell ref="L37:M37"/>
    <mergeCell ref="B37:C37"/>
    <mergeCell ref="B38:C38"/>
    <mergeCell ref="D36:E36"/>
    <mergeCell ref="D37:E37"/>
    <mergeCell ref="D38:E38"/>
    <mergeCell ref="F36:G36"/>
    <mergeCell ref="F37:G37"/>
    <mergeCell ref="F38:G38"/>
    <mergeCell ref="H4:I4"/>
    <mergeCell ref="J4:K4"/>
    <mergeCell ref="L3:M4"/>
    <mergeCell ref="N3:O4"/>
    <mergeCell ref="B36:C36"/>
    <mergeCell ref="H36:I36"/>
    <mergeCell ref="N36:O36"/>
    <mergeCell ref="D4:E4"/>
    <mergeCell ref="F4:G4"/>
    <mergeCell ref="B3:C4"/>
    <mergeCell ref="H3:K3"/>
    <mergeCell ref="D3:G3"/>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64C92-2F0C-4C46-97B8-05B4F6F106F5}">
  <dimension ref="A1:H19"/>
  <sheetViews>
    <sheetView workbookViewId="0">
      <selection activeCell="Q8" sqref="Q8"/>
    </sheetView>
  </sheetViews>
  <sheetFormatPr defaultRowHeight="15" x14ac:dyDescent="0.25"/>
  <sheetData>
    <row r="1" spans="1:8" x14ac:dyDescent="0.25">
      <c r="B1" s="17" t="s">
        <v>204</v>
      </c>
      <c r="C1" s="17" t="s">
        <v>205</v>
      </c>
      <c r="D1" s="17" t="s">
        <v>235</v>
      </c>
      <c r="E1" s="17" t="s">
        <v>236</v>
      </c>
      <c r="F1" s="17" t="s">
        <v>237</v>
      </c>
      <c r="G1" s="17" t="s">
        <v>212</v>
      </c>
      <c r="H1" s="17" t="s">
        <v>213</v>
      </c>
    </row>
    <row r="2" spans="1:8" x14ac:dyDescent="0.25">
      <c r="A2" s="17" t="s">
        <v>214</v>
      </c>
      <c r="B2" t="s">
        <v>238</v>
      </c>
      <c r="C2" t="s">
        <v>239</v>
      </c>
      <c r="D2" t="s">
        <v>240</v>
      </c>
      <c r="E2" t="s">
        <v>241</v>
      </c>
      <c r="F2" t="s">
        <v>242</v>
      </c>
      <c r="G2" t="s">
        <v>243</v>
      </c>
      <c r="H2" t="s">
        <v>244</v>
      </c>
    </row>
    <row r="3" spans="1:8" x14ac:dyDescent="0.25">
      <c r="A3" s="17" t="s">
        <v>215</v>
      </c>
      <c r="B3" t="s">
        <v>245</v>
      </c>
      <c r="C3" t="s">
        <v>246</v>
      </c>
      <c r="D3" t="s">
        <v>247</v>
      </c>
      <c r="E3" t="s">
        <v>248</v>
      </c>
      <c r="F3" t="s">
        <v>249</v>
      </c>
      <c r="G3" t="s">
        <v>250</v>
      </c>
      <c r="H3" t="s">
        <v>251</v>
      </c>
    </row>
    <row r="4" spans="1:8" x14ac:dyDescent="0.25">
      <c r="A4" s="17" t="s">
        <v>216</v>
      </c>
      <c r="B4" t="s">
        <v>252</v>
      </c>
      <c r="C4" t="s">
        <v>253</v>
      </c>
      <c r="D4" t="s">
        <v>254</v>
      </c>
      <c r="E4" t="s">
        <v>255</v>
      </c>
      <c r="F4" t="s">
        <v>256</v>
      </c>
      <c r="G4" t="s">
        <v>257</v>
      </c>
      <c r="H4" t="s">
        <v>258</v>
      </c>
    </row>
    <row r="5" spans="1:8" x14ac:dyDescent="0.25">
      <c r="A5" s="17" t="s">
        <v>217</v>
      </c>
      <c r="B5" t="s">
        <v>259</v>
      </c>
      <c r="C5" t="s">
        <v>260</v>
      </c>
      <c r="D5" t="s">
        <v>261</v>
      </c>
      <c r="E5" t="s">
        <v>262</v>
      </c>
      <c r="F5" t="s">
        <v>263</v>
      </c>
      <c r="G5" t="s">
        <v>264</v>
      </c>
      <c r="H5" t="s">
        <v>265</v>
      </c>
    </row>
    <row r="6" spans="1:8" x14ac:dyDescent="0.25">
      <c r="A6" s="17" t="s">
        <v>218</v>
      </c>
      <c r="B6" t="s">
        <v>266</v>
      </c>
      <c r="C6" t="s">
        <v>267</v>
      </c>
      <c r="D6" t="s">
        <v>268</v>
      </c>
      <c r="E6" t="s">
        <v>269</v>
      </c>
      <c r="F6" t="s">
        <v>270</v>
      </c>
      <c r="G6" t="s">
        <v>271</v>
      </c>
      <c r="H6" t="s">
        <v>272</v>
      </c>
    </row>
    <row r="7" spans="1:8" x14ac:dyDescent="0.25">
      <c r="A7" s="17" t="s">
        <v>219</v>
      </c>
      <c r="C7" t="s">
        <v>273</v>
      </c>
    </row>
    <row r="8" spans="1:8" x14ac:dyDescent="0.25">
      <c r="A8" s="17" t="s">
        <v>220</v>
      </c>
      <c r="C8" t="s">
        <v>274</v>
      </c>
    </row>
    <row r="9" spans="1:8" x14ac:dyDescent="0.25">
      <c r="A9" s="17" t="s">
        <v>221</v>
      </c>
      <c r="D9" t="s">
        <v>275</v>
      </c>
    </row>
    <row r="10" spans="1:8" x14ac:dyDescent="0.25">
      <c r="A10" s="17" t="s">
        <v>222</v>
      </c>
      <c r="D10" t="s">
        <v>276</v>
      </c>
    </row>
    <row r="11" spans="1:8" x14ac:dyDescent="0.25">
      <c r="A11" s="17" t="s">
        <v>223</v>
      </c>
      <c r="E11" t="s">
        <v>277</v>
      </c>
    </row>
    <row r="12" spans="1:8" x14ac:dyDescent="0.25">
      <c r="A12" s="17" t="s">
        <v>224</v>
      </c>
      <c r="F12" t="s">
        <v>278</v>
      </c>
    </row>
    <row r="13" spans="1:8" x14ac:dyDescent="0.25">
      <c r="A13" s="17" t="s">
        <v>225</v>
      </c>
      <c r="F13" t="s">
        <v>279</v>
      </c>
    </row>
    <row r="14" spans="1:8" x14ac:dyDescent="0.25">
      <c r="A14" s="17" t="s">
        <v>212</v>
      </c>
      <c r="G14" t="s">
        <v>280</v>
      </c>
    </row>
    <row r="15" spans="1:8" x14ac:dyDescent="0.25">
      <c r="A15" s="17" t="s">
        <v>226</v>
      </c>
      <c r="H15" t="s">
        <v>281</v>
      </c>
    </row>
    <row r="16" spans="1:8" x14ac:dyDescent="0.25">
      <c r="A16" s="17" t="s">
        <v>227</v>
      </c>
      <c r="H16" t="s">
        <v>282</v>
      </c>
    </row>
    <row r="17" spans="1:8" x14ac:dyDescent="0.25">
      <c r="A17" s="17" t="s">
        <v>228</v>
      </c>
      <c r="B17" t="s">
        <v>283</v>
      </c>
      <c r="C17" t="s">
        <v>284</v>
      </c>
      <c r="D17" t="s">
        <v>285</v>
      </c>
      <c r="E17" t="s">
        <v>286</v>
      </c>
      <c r="F17" t="s">
        <v>287</v>
      </c>
      <c r="G17" t="s">
        <v>288</v>
      </c>
      <c r="H17" t="s">
        <v>289</v>
      </c>
    </row>
    <row r="18" spans="1:8" x14ac:dyDescent="0.25">
      <c r="A18" s="17" t="s">
        <v>229</v>
      </c>
      <c r="B18" t="s">
        <v>290</v>
      </c>
      <c r="C18" t="s">
        <v>290</v>
      </c>
      <c r="D18" t="s">
        <v>290</v>
      </c>
      <c r="E18" t="s">
        <v>290</v>
      </c>
      <c r="F18" t="s">
        <v>290</v>
      </c>
      <c r="G18" t="s">
        <v>291</v>
      </c>
      <c r="H18" t="s">
        <v>292</v>
      </c>
    </row>
    <row r="19" spans="1:8" x14ac:dyDescent="0.25">
      <c r="A19" s="17" t="s">
        <v>230</v>
      </c>
      <c r="B19" t="s">
        <v>293</v>
      </c>
      <c r="C19" t="s">
        <v>293</v>
      </c>
      <c r="D19" t="s">
        <v>293</v>
      </c>
      <c r="E19" t="s">
        <v>293</v>
      </c>
      <c r="F19" t="s">
        <v>293</v>
      </c>
      <c r="G19" t="s">
        <v>293</v>
      </c>
      <c r="H19" t="s">
        <v>293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6A460-FA1F-41FD-AA28-99238A141F6B}">
  <dimension ref="A1:E16"/>
  <sheetViews>
    <sheetView workbookViewId="0">
      <selection sqref="A1:E16"/>
    </sheetView>
  </sheetViews>
  <sheetFormatPr defaultRowHeight="15" x14ac:dyDescent="0.25"/>
  <sheetData>
    <row r="1" spans="1:5" x14ac:dyDescent="0.25">
      <c r="B1" s="17" t="s">
        <v>303</v>
      </c>
      <c r="C1" s="17" t="s">
        <v>15</v>
      </c>
      <c r="D1" s="17" t="s">
        <v>299</v>
      </c>
      <c r="E1" s="17" t="s">
        <v>304</v>
      </c>
    </row>
    <row r="2" spans="1:5" x14ac:dyDescent="0.25">
      <c r="A2" s="17" t="s">
        <v>214</v>
      </c>
      <c r="B2">
        <v>7.1731960178392798E-2</v>
      </c>
      <c r="C2" t="s">
        <v>308</v>
      </c>
      <c r="D2">
        <v>0.26625807328020201</v>
      </c>
    </row>
    <row r="3" spans="1:5" x14ac:dyDescent="0.25">
      <c r="A3" s="17" t="s">
        <v>305</v>
      </c>
      <c r="E3" t="s">
        <v>309</v>
      </c>
    </row>
    <row r="4" spans="1:5" x14ac:dyDescent="0.25">
      <c r="A4" s="17" t="s">
        <v>215</v>
      </c>
      <c r="B4" t="s">
        <v>310</v>
      </c>
      <c r="C4">
        <v>-7.8920889970884395E-2</v>
      </c>
      <c r="D4" t="s">
        <v>311</v>
      </c>
      <c r="E4" t="s">
        <v>312</v>
      </c>
    </row>
    <row r="5" spans="1:5" x14ac:dyDescent="0.25">
      <c r="A5" s="17" t="s">
        <v>216</v>
      </c>
      <c r="B5" t="s">
        <v>313</v>
      </c>
      <c r="C5" t="s">
        <v>314</v>
      </c>
      <c r="D5" t="s">
        <v>315</v>
      </c>
      <c r="E5" t="s">
        <v>316</v>
      </c>
    </row>
    <row r="6" spans="1:5" x14ac:dyDescent="0.25">
      <c r="A6" s="17" t="s">
        <v>217</v>
      </c>
      <c r="B6" t="s">
        <v>317</v>
      </c>
      <c r="C6" t="s">
        <v>318</v>
      </c>
      <c r="D6" t="s">
        <v>319</v>
      </c>
      <c r="E6" t="s">
        <v>320</v>
      </c>
    </row>
    <row r="7" spans="1:5" x14ac:dyDescent="0.25">
      <c r="A7" s="17" t="s">
        <v>218</v>
      </c>
      <c r="D7" t="s">
        <v>321</v>
      </c>
      <c r="E7" t="s">
        <v>322</v>
      </c>
    </row>
    <row r="8" spans="1:5" x14ac:dyDescent="0.25">
      <c r="A8" s="17" t="s">
        <v>296</v>
      </c>
      <c r="B8" t="s">
        <v>323</v>
      </c>
    </row>
    <row r="9" spans="1:5" x14ac:dyDescent="0.25">
      <c r="A9" s="17" t="s">
        <v>297</v>
      </c>
      <c r="B9" t="s">
        <v>324</v>
      </c>
    </row>
    <row r="10" spans="1:5" x14ac:dyDescent="0.25">
      <c r="A10" s="17" t="s">
        <v>298</v>
      </c>
      <c r="B10" t="s">
        <v>325</v>
      </c>
    </row>
    <row r="11" spans="1:5" x14ac:dyDescent="0.25">
      <c r="A11" s="17" t="s">
        <v>306</v>
      </c>
    </row>
    <row r="12" spans="1:5" x14ac:dyDescent="0.25">
      <c r="A12" s="17" t="s">
        <v>300</v>
      </c>
      <c r="C12" t="s">
        <v>326</v>
      </c>
    </row>
    <row r="13" spans="1:5" x14ac:dyDescent="0.25">
      <c r="A13" s="17" t="s">
        <v>301</v>
      </c>
      <c r="C13" t="s">
        <v>327</v>
      </c>
    </row>
    <row r="14" spans="1:5" x14ac:dyDescent="0.25">
      <c r="A14" s="17" t="s">
        <v>228</v>
      </c>
      <c r="B14">
        <v>0.13589999999999999</v>
      </c>
      <c r="C14">
        <v>0.1101</v>
      </c>
      <c r="D14">
        <v>0.48520000000000002</v>
      </c>
      <c r="E14">
        <v>0.1135</v>
      </c>
    </row>
    <row r="15" spans="1:5" x14ac:dyDescent="0.25">
      <c r="A15" s="17" t="s">
        <v>229</v>
      </c>
      <c r="B15">
        <v>538.41</v>
      </c>
      <c r="C15">
        <v>545.22</v>
      </c>
      <c r="D15">
        <v>547.79</v>
      </c>
      <c r="E15">
        <v>547.79</v>
      </c>
    </row>
    <row r="16" spans="1:5" x14ac:dyDescent="0.25">
      <c r="A16" s="17" t="s">
        <v>230</v>
      </c>
      <c r="B16" t="s">
        <v>307</v>
      </c>
      <c r="C16" t="s">
        <v>293</v>
      </c>
      <c r="D16" t="s">
        <v>293</v>
      </c>
      <c r="E16" t="s">
        <v>293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B4BBE-1631-43FF-A7C5-C3A378B47DDC}">
  <dimension ref="A1:G12"/>
  <sheetViews>
    <sheetView workbookViewId="0">
      <selection sqref="A1:G12"/>
    </sheetView>
  </sheetViews>
  <sheetFormatPr defaultRowHeight="15" x14ac:dyDescent="0.25"/>
  <sheetData>
    <row r="1" spans="1:7" x14ac:dyDescent="0.25">
      <c r="B1" s="17" t="s">
        <v>329</v>
      </c>
      <c r="C1" s="17" t="s">
        <v>330</v>
      </c>
      <c r="D1" s="17" t="s">
        <v>331</v>
      </c>
      <c r="E1" s="17" t="s">
        <v>332</v>
      </c>
      <c r="F1" s="17" t="s">
        <v>333</v>
      </c>
      <c r="G1" s="17" t="s">
        <v>334</v>
      </c>
    </row>
    <row r="2" spans="1:7" x14ac:dyDescent="0.25">
      <c r="A2" s="17" t="s">
        <v>214</v>
      </c>
      <c r="E2" t="s">
        <v>238</v>
      </c>
      <c r="F2" t="s">
        <v>335</v>
      </c>
      <c r="G2" t="s">
        <v>336</v>
      </c>
    </row>
    <row r="3" spans="1:7" x14ac:dyDescent="0.25">
      <c r="A3" s="17" t="s">
        <v>337</v>
      </c>
      <c r="B3" t="s">
        <v>338</v>
      </c>
    </row>
    <row r="4" spans="1:7" x14ac:dyDescent="0.25">
      <c r="A4" s="17" t="s">
        <v>339</v>
      </c>
      <c r="C4" t="s">
        <v>340</v>
      </c>
    </row>
    <row r="5" spans="1:7" x14ac:dyDescent="0.25">
      <c r="A5" s="17" t="s">
        <v>341</v>
      </c>
      <c r="D5" t="s">
        <v>342</v>
      </c>
    </row>
    <row r="6" spans="1:7" x14ac:dyDescent="0.25">
      <c r="A6" s="17" t="s">
        <v>215</v>
      </c>
      <c r="B6" t="s">
        <v>343</v>
      </c>
      <c r="C6" t="s">
        <v>344</v>
      </c>
      <c r="D6" t="s">
        <v>345</v>
      </c>
      <c r="E6" t="s">
        <v>245</v>
      </c>
      <c r="F6" t="s">
        <v>346</v>
      </c>
      <c r="G6" t="s">
        <v>347</v>
      </c>
    </row>
    <row r="7" spans="1:7" x14ac:dyDescent="0.25">
      <c r="A7" s="17" t="s">
        <v>216</v>
      </c>
      <c r="B7" t="s">
        <v>348</v>
      </c>
      <c r="C7" t="s">
        <v>349</v>
      </c>
      <c r="D7" t="s">
        <v>252</v>
      </c>
      <c r="E7" t="s">
        <v>252</v>
      </c>
      <c r="F7" t="s">
        <v>350</v>
      </c>
      <c r="G7" t="s">
        <v>351</v>
      </c>
    </row>
    <row r="8" spans="1:7" x14ac:dyDescent="0.25">
      <c r="A8" s="17" t="s">
        <v>217</v>
      </c>
      <c r="B8" t="s">
        <v>352</v>
      </c>
      <c r="C8" t="s">
        <v>353</v>
      </c>
      <c r="D8" t="s">
        <v>259</v>
      </c>
      <c r="E8" t="s">
        <v>259</v>
      </c>
      <c r="F8" t="s">
        <v>354</v>
      </c>
      <c r="G8" t="s">
        <v>355</v>
      </c>
    </row>
    <row r="9" spans="1:7" x14ac:dyDescent="0.25">
      <c r="A9" s="17" t="s">
        <v>218</v>
      </c>
      <c r="B9" t="s">
        <v>356</v>
      </c>
      <c r="C9" t="s">
        <v>357</v>
      </c>
      <c r="D9" t="s">
        <v>358</v>
      </c>
      <c r="E9" t="s">
        <v>266</v>
      </c>
      <c r="F9" t="s">
        <v>359</v>
      </c>
      <c r="G9" t="s">
        <v>360</v>
      </c>
    </row>
    <row r="10" spans="1:7" x14ac:dyDescent="0.25">
      <c r="A10" s="17" t="s">
        <v>228</v>
      </c>
      <c r="B10" t="s">
        <v>361</v>
      </c>
      <c r="C10" t="s">
        <v>362</v>
      </c>
      <c r="D10" t="s">
        <v>283</v>
      </c>
      <c r="E10" t="s">
        <v>283</v>
      </c>
      <c r="F10" t="s">
        <v>283</v>
      </c>
      <c r="G10" t="s">
        <v>363</v>
      </c>
    </row>
    <row r="11" spans="1:7" x14ac:dyDescent="0.25">
      <c r="A11" s="17" t="s">
        <v>229</v>
      </c>
      <c r="B11" t="s">
        <v>364</v>
      </c>
      <c r="C11" t="s">
        <v>290</v>
      </c>
      <c r="D11" t="s">
        <v>290</v>
      </c>
      <c r="E11" t="s">
        <v>290</v>
      </c>
      <c r="F11" t="s">
        <v>365</v>
      </c>
      <c r="G11" t="s">
        <v>366</v>
      </c>
    </row>
    <row r="12" spans="1:7" x14ac:dyDescent="0.25">
      <c r="A12" s="17" t="s">
        <v>230</v>
      </c>
      <c r="B12" t="s">
        <v>293</v>
      </c>
      <c r="C12" t="s">
        <v>293</v>
      </c>
      <c r="D12" t="s">
        <v>293</v>
      </c>
      <c r="E12" t="s">
        <v>293</v>
      </c>
      <c r="F12" t="s">
        <v>367</v>
      </c>
      <c r="G12" t="s">
        <v>368</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F A A B Q S w M E F A A C A A g A b q i w W F 0 C T D 6 k A A A A 9 g A A A B I A H A B D b 2 5 m a W c v U G F j a 2 F n Z S 5 4 b W w g o h g A K K A U A A A A A A A A A A A A A A A A A A A A A A A A A A A A h Y 9 B C s I w F E S v U r J v k s a N l N 8 I i j s L g i B u Q x r b Y P s r T W p 6 N x c e y S t Y 0 a o 7 l / P m L W b u 1 x s s h q a O L q Z z t s W M J J S T y K B u C 4 t l R n p / j O d k I W G r 9 E m V J h p l d O n g i o x U 3 p 9 T x k I I N M x o 2 5 V M c J 6 w Q 7 7 Z 6 c o 0 i n x k + 1 + O L T q v U B s i Y f 8 a I w V N B K d C C M q B T R B y i 1 9 B j H u f 7 Q + E V V / 7 v j M S 6 3 i 5 B j Z F Y O 8 P 8 g F Q S w M E F A A C A A g A b q i 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o s F j L e 1 C g A Q I A A L o G A A A T A B w A R m 9 y b X V s Y X M v U 2 V j d G l v b j E u b S C i G A A o o B Q A A A A A A A A A A A A A A A A A A A A A A A A A A A D t k 1 F r 2 z A Q x 9 8 D + Q 6 H C s M B Y x a 3 2 + i K H 4 a T s j 2 k d I m 7 l 3 o P i n 1 L B L I U p F O W E v L d K z c u y T q b 5 H E P 8 4 u l v 0 7 3 u z v + s l i Q 0 A p m + / / w p t / r 9 + y S G y z h Q Y k 1 N 4 I T j o Q l I + a u D r G Q g E T q 9 8 B / M + 1 M g V 5 J 7 T o a 6 c J V q C i 4 F R K j V C v y G x u w 9 H P + Y N H Y X D r F F / l r m M 3 H p c v j E q H i l t D k 2 R K t s P m I E 4 d m n e p K r x G 4 B a 5 8 P b h Z S S 6 U r 2 2 K 5 I y C e 4 O V c B U E E 0 9 b y q c Q v i k Y O 6 M H + V T P n S W F 1 k K G l u p c i o y W U q g F / B a 0 h F t e c X g H E 1 7 M 0 W + n u D A + u m 4 x 7 2 g 9 o g 2 x Q f g 4 Q i k q 4 W t O W M h C S L V 0 l b L J p x D G q t C l J y T D + E M c w n e n C W f 0 J D E 5 L K M 7 r f D n I N y P 8 I L d G 9 8 l + a a + I i / 9 n J i f Z 8 b n P r A 5 a f R g P + 0 Q H h v 9 i 5 S z g k t u b E L G H a d M l 1 w t f M b s a Y W H d J n h y v 7 S p t o X X B / a o I U f b r d M q B I 3 v j f y Q U C 4 o V 0 I W z Z B r l g 9 Z P p 4 F d X 3 G 7 U U b f q M y g h G u I 7 + P l o N 3 7 e I 1 y 3 i 3 Z / S b t D v C d X a 5 7 F 3 L 1 i X e 4 N 4 w P 5 b + N + 3 8 B T 9 o A q f 8 g e X 7 s j E j f 6 i t p q X R X V H L G w C z e u N z J s 4 b C y 8 6 + I M O 0 F v 6 j m N e X k T n a D 4 T N D w J O n w y j p h l 2 f C 4 p O w + t 1 2 Y q 7 O x F y e x l z X m O O X / p Z 0 8 w x Q S w E C L Q A U A A I A C A B u q L B Y X Q J M P q Q A A A D 2 A A A A E g A A A A A A A A A A A A A A A A A A A A A A Q 2 9 u Z m l n L 1 B h Y 2 t h Z 2 U u e G 1 s U E s B A i 0 A F A A C A A g A b q i w W A / K 6 a u k A A A A 6 Q A A A B M A A A A A A A A A A A A A A A A A 8 A A A A F t D b 2 5 0 Z W 5 0 X 1 R 5 c G V z X S 5 4 b W x Q S w E C L Q A U A A I A C A B u q L B Y y 3 t Q o A E C A A C 6 B g A A E w A A A A A A A A A A A A A A A A D h A Q A A R m 9 y b X V s Y X M v U 2 V j d G l v b j E u b V B L B Q Y A A A A A A w A D A M I A A A A 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G g A A A A A A A N k 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W 5 p d m F y a W F 0 Z U R p c 3 R y a W J 1 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Q t M D U t M T Z U M T k 6 M D A 6 M D g u N j A 0 N T I 4 M F o i I C 8 + P E V u d H J 5 I F R 5 c G U 9 I k Z p b G x D b 2 x 1 b W 5 U e X B l c y I g V m F s d W U 9 I n N C Z 0 1 E Q X d N R E F 3 P T 0 i I C 8 + P E V u d H J 5 I F R 5 c G U 9 I k Z p b G x D b 2 x 1 b W 5 O Y W 1 l c y I g V m F s d W U 9 I n N b J n F 1 b 3 Q 7 a W 5 k Z X g m c X V v d D s s J n F 1 b 3 Q 7 T W V h b i Z x d W 9 0 O y w m c X V v d D t N Z W R p Y W 4 m c X V v d D s s J n F 1 b 3 Q 7 U 3 R k L i B E Z X Y u J n F 1 b 3 Q 7 L C Z x d W 9 0 O 3 A x M C Z x d W 9 0 O y w m c X V v d D t w O T A m c X V v d D s s J n F 1 b 3 Q 7 T 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V u a X Z h c m l h d G V E a X N 0 c m l i d X R p b 2 5 z L 0 F 1 d G 9 S Z W 1 v d m V k Q 2 9 s d W 1 u c z E u e 2 l u Z G V 4 L D B 9 J n F 1 b 3 Q 7 L C Z x d W 9 0 O 1 N l Y 3 R p b 2 4 x L 1 V u a X Z h c m l h d G V E a X N 0 c m l i d X R p b 2 5 z L 0 F 1 d G 9 S Z W 1 v d m V k Q 2 9 s d W 1 u c z E u e 0 1 l Y W 4 s M X 0 m c X V v d D s s J n F 1 b 3 Q 7 U 2 V j d G l v b j E v V W 5 p d m F y a W F 0 Z U R p c 3 R y a W J 1 d G l v b n M v Q X V 0 b 1 J l b W 9 2 Z W R D b 2 x 1 b W 5 z M S 5 7 T W V k a W F u L D J 9 J n F 1 b 3 Q 7 L C Z x d W 9 0 O 1 N l Y 3 R p b 2 4 x L 1 V u a X Z h c m l h d G V E a X N 0 c m l i d X R p b 2 5 z L 0 F 1 d G 9 S Z W 1 v d m V k Q 2 9 s d W 1 u c z E u e 1 N 0 Z C 4 g R G V 2 L i w z f S Z x d W 9 0 O y w m c X V v d D t T Z W N 0 a W 9 u M S 9 V b m l 2 Y X J p Y X R l R G l z d H J p Y n V 0 a W 9 u c y 9 B d X R v U m V t b 3 Z l Z E N v b H V t b n M x L n t w M T A s N H 0 m c X V v d D s s J n F 1 b 3 Q 7 U 2 V j d G l v b j E v V W 5 p d m F y a W F 0 Z U R p c 3 R y a W J 1 d G l v b n M v Q X V 0 b 1 J l b W 9 2 Z W R D b 2 x 1 b W 5 z M S 5 7 c D k w L D V 9 J n F 1 b 3 Q 7 L C Z x d W 9 0 O 1 N l Y 3 R p b 2 4 x L 1 V u a X Z h c m l h d G V E a X N 0 c m l i d X R p b 2 5 z L 0 F 1 d G 9 S Z W 1 v d m V k Q 2 9 s d W 1 u c z E u e 0 4 s N n 0 m c X V v d D t d L C Z x d W 9 0 O 0 N v b H V t b k N v d W 5 0 J n F 1 b 3 Q 7 O j c s J n F 1 b 3 Q 7 S 2 V 5 Q 2 9 s d W 1 u T m F t Z X M m c X V v d D s 6 W 1 0 s J n F 1 b 3 Q 7 Q 2 9 s d W 1 u S W R l b n R p d G l l c y Z x d W 9 0 O z p b J n F 1 b 3 Q 7 U 2 V j d G l v b j E v V W 5 p d m F y a W F 0 Z U R p c 3 R y a W J 1 d G l v b n M v Q X V 0 b 1 J l b W 9 2 Z W R D b 2 x 1 b W 5 z M S 5 7 a W 5 k Z X g s M H 0 m c X V v d D s s J n F 1 b 3 Q 7 U 2 V j d G l v b j E v V W 5 p d m F y a W F 0 Z U R p c 3 R y a W J 1 d G l v b n M v Q X V 0 b 1 J l b W 9 2 Z W R D b 2 x 1 b W 5 z M S 5 7 T W V h b i w x f S Z x d W 9 0 O y w m c X V v d D t T Z W N 0 a W 9 u M S 9 V b m l 2 Y X J p Y X R l R G l z d H J p Y n V 0 a W 9 u c y 9 B d X R v U m V t b 3 Z l Z E N v b H V t b n M x L n t N Z W R p Y W 4 s M n 0 m c X V v d D s s J n F 1 b 3 Q 7 U 2 V j d G l v b j E v V W 5 p d m F y a W F 0 Z U R p c 3 R y a W J 1 d G l v b n M v Q X V 0 b 1 J l b W 9 2 Z W R D b 2 x 1 b W 5 z M S 5 7 U 3 R k L i B E Z X Y u L D N 9 J n F 1 b 3 Q 7 L C Z x d W 9 0 O 1 N l Y 3 R p b 2 4 x L 1 V u a X Z h c m l h d G V E a X N 0 c m l i d X R p b 2 5 z L 0 F 1 d G 9 S Z W 1 v d m V k Q 2 9 s d W 1 u c z E u e 3 A x M C w 0 f S Z x d W 9 0 O y w m c X V v d D t T Z W N 0 a W 9 u M S 9 V b m l 2 Y X J p Y X R l R G l z d H J p Y n V 0 a W 9 u c y 9 B d X R v U m V t b 3 Z l Z E N v b H V t b n M x L n t w O T A s N X 0 m c X V v d D s s J n F 1 b 3 Q 7 U 2 V j d G l v b j E v V W 5 p d m F y a W F 0 Z U R p c 3 R y a W J 1 d G l v b n M v Q X V 0 b 1 J l b W 9 2 Z W R D b 2 x 1 b W 5 z M S 5 7 T i w 2 f S Z x d W 9 0 O 1 0 s J n F 1 b 3 Q 7 U m V s Y X R p b 2 5 z a G l w S W 5 m b y Z x d W 9 0 O z p b X X 0 i I C 8 + P C 9 T d G F i b G V F b n R y a W V z P j w v S X R l b T 4 8 S X R l b T 4 8 S X R l b U x v Y 2 F 0 a W 9 u P j x J d G V t V H l w Z T 5 G b 3 J t d W x h P C 9 J d G V t V H l w Z T 4 8 S X R l b V B h d G g + U 2 V j d G l v b j E v V W 5 p d m F y a W F 0 Z U R p c 3 R y a W J 1 d G l v b n M v U 2 9 1 c m N l P C 9 J d G V t U G F 0 a D 4 8 L 0 l 0 Z W 1 M b 2 N h d G l v b j 4 8 U 3 R h Y m x l R W 5 0 c m l l c y A v P j w v S X R l b T 4 8 S X R l b T 4 8 S X R l b U x v Y 2 F 0 a W 9 u P j x J d G V t V H l w Z T 5 G b 3 J t d W x h P C 9 J d G V t V H l w Z T 4 8 S X R l b V B h d G g + U 2 V j d G l v b j E v V W 5 p d m F y a W F 0 Z U R p c 3 R y a W J 1 d G l v b n M v U H J v b W 9 0 Z W Q l M j B I Z W F k Z X J z P C 9 J d G V t U G F 0 a D 4 8 L 0 l 0 Z W 1 M b 2 N h d G l v b j 4 8 U 3 R h Y m x l R W 5 0 c m l l c y A v P j w v S X R l b T 4 8 S X R l b T 4 8 S X R l b U x v Y 2 F 0 a W 9 u P j x J d G V t V H l w Z T 5 G b 3 J t d W x h P C 9 J d G V t V H l w Z T 4 8 S X R l b V B h d G g + U 2 V j d G l v b j E v V W 5 p d m F y a W F 0 Z U R p c 3 R y a W J 1 d G l v b n M v Q 2 h h b m d l Z C U y M F R 5 c G U 8 L 0 l 0 Z W 1 Q Y X R o P j w v S X R l b U x v Y 2 F 0 a W 9 u P j x T d G F i b G V F b n R y a W V z I C 8 + P C 9 J d G V t P j x J d G V t P j x J d G V t T G 9 j Y X R p b 2 4 + P E l 0 Z W 1 U e X B l P k Z v c m 1 1 b G E 8 L 0 l 0 Z W 1 U e X B l P j x J d G V t U G F 0 a D 5 T Z W N 0 a W 9 u M S 9 V b m l 2 Y X J p Y X R l R G l z d H J p Y n V 0 a W 9 u 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l 2 Y X J p Y X R l R G l z d H J p Y n V 0 a W 9 u c 1 9 f M i 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w N S 0 x N l Q x O T o w M z o y O S 4 y N D E x M j E 1 W i I g L z 4 8 R W 5 0 c n k g V H l w Z T 0 i R m l s b E N v b H V t b l R 5 c G V z I i B W Y W x 1 Z T 0 i c 0 J n W U d C Z 1 l H Q m c 9 P S I g L z 4 8 R W 5 0 c n k g V H l w Z T 0 i R m l s b E N v b H V t b k 5 h b W V z I i B W Y W x 1 Z T 0 i c 1 s m c X V v d D t p b m R l e C Z x d W 9 0 O y w m c X V v d D t N Z W F u J n F 1 b 3 Q 7 L C Z x d W 9 0 O 0 1 l Z G l h b i Z x d W 9 0 O y w m c X V v d D t T d G Q u I E R l d i 4 m c X V v d D s s J n F 1 b 3 Q 7 c D E w J n F 1 b 3 Q 7 L C Z x d W 9 0 O 3 A 5 M C Z x d W 9 0 O y w m c X V v d D t 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W 5 p d m F y a W F 0 Z U R p c 3 R y a W J 1 d G l v b n M g K D I p L 0 F 1 d G 9 S Z W 1 v d m V k Q 2 9 s d W 1 u c z E u e 2 l u Z G V 4 L D B 9 J n F 1 b 3 Q 7 L C Z x d W 9 0 O 1 N l Y 3 R p b 2 4 x L 1 V u a X Z h c m l h d G V E a X N 0 c m l i d X R p b 2 5 z I C g y K S 9 B d X R v U m V t b 3 Z l Z E N v b H V t b n M x L n t N Z W F u L D F 9 J n F 1 b 3 Q 7 L C Z x d W 9 0 O 1 N l Y 3 R p b 2 4 x L 1 V u a X Z h c m l h d G V E a X N 0 c m l i d X R p b 2 5 z I C g y K S 9 B d X R v U m V t b 3 Z l Z E N v b H V t b n M x L n t N Z W R p Y W 4 s M n 0 m c X V v d D s s J n F 1 b 3 Q 7 U 2 V j d G l v b j E v V W 5 p d m F y a W F 0 Z U R p c 3 R y a W J 1 d G l v b n M g K D I p L 0 F 1 d G 9 S Z W 1 v d m V k Q 2 9 s d W 1 u c z E u e 1 N 0 Z C 4 g R G V 2 L i w z f S Z x d W 9 0 O y w m c X V v d D t T Z W N 0 a W 9 u M S 9 V b m l 2 Y X J p Y X R l R G l z d H J p Y n V 0 a W 9 u c y A o M i k v Q X V 0 b 1 J l b W 9 2 Z W R D b 2 x 1 b W 5 z M S 5 7 c D E w L D R 9 J n F 1 b 3 Q 7 L C Z x d W 9 0 O 1 N l Y 3 R p b 2 4 x L 1 V u a X Z h c m l h d G V E a X N 0 c m l i d X R p b 2 5 z I C g y K S 9 B d X R v U m V t b 3 Z l Z E N v b H V t b n M x L n t w O T A s N X 0 m c X V v d D s s J n F 1 b 3 Q 7 U 2 V j d G l v b j E v V W 5 p d m F y a W F 0 Z U R p c 3 R y a W J 1 d G l v b n M g K D I p L 0 F 1 d G 9 S Z W 1 v d m V k Q 2 9 s d W 1 u c z E u e 0 4 s N n 0 m c X V v d D t d L C Z x d W 9 0 O 0 N v b H V t b k N v d W 5 0 J n F 1 b 3 Q 7 O j c s J n F 1 b 3 Q 7 S 2 V 5 Q 2 9 s d W 1 u T m F t Z X M m c X V v d D s 6 W 1 0 s J n F 1 b 3 Q 7 Q 2 9 s d W 1 u S W R l b n R p d G l l c y Z x d W 9 0 O z p b J n F 1 b 3 Q 7 U 2 V j d G l v b j E v V W 5 p d m F y a W F 0 Z U R p c 3 R y a W J 1 d G l v b n M g K D I p L 0 F 1 d G 9 S Z W 1 v d m V k Q 2 9 s d W 1 u c z E u e 2 l u Z G V 4 L D B 9 J n F 1 b 3 Q 7 L C Z x d W 9 0 O 1 N l Y 3 R p b 2 4 x L 1 V u a X Z h c m l h d G V E a X N 0 c m l i d X R p b 2 5 z I C g y K S 9 B d X R v U m V t b 3 Z l Z E N v b H V t b n M x L n t N Z W F u L D F 9 J n F 1 b 3 Q 7 L C Z x d W 9 0 O 1 N l Y 3 R p b 2 4 x L 1 V u a X Z h c m l h d G V E a X N 0 c m l i d X R p b 2 5 z I C g y K S 9 B d X R v U m V t b 3 Z l Z E N v b H V t b n M x L n t N Z W R p Y W 4 s M n 0 m c X V v d D s s J n F 1 b 3 Q 7 U 2 V j d G l v b j E v V W 5 p d m F y a W F 0 Z U R p c 3 R y a W J 1 d G l v b n M g K D I p L 0 F 1 d G 9 S Z W 1 v d m V k Q 2 9 s d W 1 u c z E u e 1 N 0 Z C 4 g R G V 2 L i w z f S Z x d W 9 0 O y w m c X V v d D t T Z W N 0 a W 9 u M S 9 V b m l 2 Y X J p Y X R l R G l z d H J p Y n V 0 a W 9 u c y A o M i k v Q X V 0 b 1 J l b W 9 2 Z W R D b 2 x 1 b W 5 z M S 5 7 c D E w L D R 9 J n F 1 b 3 Q 7 L C Z x d W 9 0 O 1 N l Y 3 R p b 2 4 x L 1 V u a X Z h c m l h d G V E a X N 0 c m l i d X R p b 2 5 z I C g y K S 9 B d X R v U m V t b 3 Z l Z E N v b H V t b n M x L n t w O T A s N X 0 m c X V v d D s s J n F 1 b 3 Q 7 U 2 V j d G l v b j E v V W 5 p d m F y a W F 0 Z U R p c 3 R y a W J 1 d G l v b n M g K D I p L 0 F 1 d G 9 S Z W 1 v d m V k Q 2 9 s d W 1 u c z E u e 0 4 s N n 0 m c X V v d D t d L C Z x d W 9 0 O 1 J l b G F 0 a W 9 u c 2 h p c E l u Z m 8 m c X V v d D s 6 W 1 1 9 I i A v P j w v U 3 R h Y m x l R W 5 0 c m l l c z 4 8 L 0 l 0 Z W 0 + P E l 0 Z W 0 + P E l 0 Z W 1 M b 2 N h d G l v b j 4 8 S X R l b V R 5 c G U + R m 9 y b X V s Y T w v S X R l b V R 5 c G U + P E l 0 Z W 1 Q Y X R o P l N l Y 3 R p b 2 4 x L 1 V u a X Z h c m l h d G V E a X N 0 c m l i d X R p b 2 5 z J T I w K D I p L 1 N v d X J j Z T w v S X R l b V B h d G g + P C 9 J d G V t T G 9 j Y X R p b 2 4 + P F N 0 Y W J s Z U V u d H J p Z X M g L z 4 8 L 0 l 0 Z W 0 + P E l 0 Z W 0 + P E l 0 Z W 1 M b 2 N h d G l v b j 4 8 S X R l b V R 5 c G U + R m 9 y b X V s Y T w v S X R l b V R 5 c G U + P E l 0 Z W 1 Q Y X R o P l N l Y 3 R p b 2 4 x L 1 V u a X Z h c m l h d G V E a X N 0 c m l i d X R p b 2 5 z J T I w K D I p L 1 B y b 2 1 v d G V k J T I w S G V h Z G V y c z w v S X R l b V B h d G g + P C 9 J d G V t T G 9 j Y X R p b 2 4 + P F N 0 Y W J s Z U V u d H J p Z X M g L z 4 8 L 0 l 0 Z W 0 + P E l 0 Z W 0 + P E l 0 Z W 1 M b 2 N h d G l v b j 4 8 S X R l b V R 5 c G U + R m 9 y b X V s Y T w v S X R l b V R 5 c G U + P E l 0 Z W 1 Q Y X R o P l N l Y 3 R p b 2 4 x L 1 V u a X Z h c m l h d G V E a X N 0 c m l i d X R p b 2 5 z J T I w K D I p L 1 J l c G x h Y 2 V k J T I w V m F s d W U 8 L 0 l 0 Z W 1 Q Y X R o P j w v S X R l b U x v Y 2 F 0 a W 9 u P j x T d G F i b G V F b n R y a W V z I C 8 + P C 9 J d G V t P j x J d G V t P j x J d G V t T G 9 j Y X R p b 2 4 + P E l 0 Z W 1 U e X B l P k Z v c m 1 1 b G E 8 L 0 l 0 Z W 1 U e X B l P j x J d G V t U G F 0 a D 5 T Z W N 0 a W 9 u M S 9 V b m l 2 Y X J p Y X R l R G l z d H J p Y n V 0 a W 9 u c y U y M C g y K S 9 S Z X B s Y W N l Z C U y M F Z h b H V l M T w v S X R l b V B h d G g + P C 9 J d G V t T G 9 j Y X R p b 2 4 + P F N 0 Y W J s Z U V u d H J p Z X M g L z 4 8 L 0 l 0 Z W 0 + P E l 0 Z W 0 + P E l 0 Z W 1 M b 2 N h d G l v b j 4 8 S X R l b V R 5 c G U + R m 9 y b X V s Y T w v S X R l b V R 5 c G U + P E l 0 Z W 1 Q Y X R o P l N l Y 3 R p b 2 4 x L 1 V u a X Z h c m l h d G V E a X N 0 c m l i d X R p b 2 5 z J T I w K D I p L 1 J l c G x h Y 2 V k J T I w V m F s d W U y P C 9 J d G V t U G F 0 a D 4 8 L 0 l 0 Z W 1 M b 2 N h d G l v b j 4 8 U 3 R h Y m x l R W 5 0 c m l l c y A v P j w v S X R l b T 4 8 S X R l b T 4 8 S X R l b U x v Y 2 F 0 a W 9 u P j x J d G V t V H l w Z T 5 G b 3 J t d W x h P C 9 J d G V t V H l w Z T 4 8 S X R l b V B h d G g + U 2 V j d G l v b j E v V W 5 p d m F y a W F 0 Z U R p c 3 R y a W J 1 d G l v b n M l M j A o M i k v U m V w b G F j Z W Q l M j B W Y W x 1 Z T M 8 L 0 l 0 Z W 1 Q Y X R o P j w v S X R l b U x v Y 2 F 0 a W 9 u P j x T d G F i b G V F b n R y a W V z I C 8 + P C 9 J d G V t P j x J d G V t P j x J d G V t T G 9 j Y X R p b 2 4 + P E l 0 Z W 1 U e X B l P k Z v c m 1 1 b G E 8 L 0 l 0 Z W 1 U e X B l P j x J d G V t U G F 0 a D 5 T Z W N 0 a W 9 u M S 9 V b m l 2 Y X J p Y X R l R G l z d H J p Y n V 0 a W 9 u c y U y M C g y K S 9 S Z X B s Y W N l Z C U y M F Z h b H V l N D w v S X R l b V B h d G g + P C 9 J d G V t T G 9 j Y X R p b 2 4 + P F N 0 Y W J s Z U V u d H J p Z X M g L z 4 8 L 0 l 0 Z W 0 + P C 9 J d G V t c z 4 8 L 0 x v Y 2 F s U G F j a 2 F n Z U 1 l d G F k Y X R h R m l s Z T 4 W A A A A U E s F B g A A A A A A A A A A A A A A A A A A A A A A A C Y B A A A B A A A A 0 I y d 3 w E V 0 R G M e g D A T 8 K X 6 w E A A A B 6 H j 5 q / N j M R 7 p L D W S Q n S z a A A A A A A I A A A A A A B B m A A A A A Q A A I A A A A D 6 w f 5 p j w d k N J J n Z U v W L F x M w V d o G i y o W 6 7 G v M F S l C M T 6 A A A A A A 6 A A A A A A g A A I A A A A E z A z D w B 0 e s + m 7 Q Y T d 9 G v E b Q s U 8 8 H h l A 7 X M X P a d b I o z s U A A A A E J U Y 7 / d m 2 G w g s 0 5 u i H C s B B y u L 1 W s J D 1 J q 1 1 4 0 O d / T y p r I y e e N B T B K r R b N C D d 0 D s 4 + j U K + 7 3 R s g i d / 4 F V q D C g p 4 5 Y S o Y g z u y R G t V 7 U C L f 7 a p Q A A A A D k 4 J z G + 2 R j 2 / E 3 t Y y Z X z a T U 1 V p Q R 4 F E N w G m S o 4 l n d E 2 X N i U 4 p / i X E H z + F X 0 N j X m m y F H v z X j J B l 8 l z 3 D f c d I M v s = < / D a t a M a s h u p > 
</file>

<file path=customXml/itemProps1.xml><?xml version="1.0" encoding="utf-8"?>
<ds:datastoreItem xmlns:ds="http://schemas.openxmlformats.org/officeDocument/2006/customXml" ds:itemID="{6E1C9E76-3290-4E4E-AFC6-CC6C659030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Main Tests Monthly</vt:lpstr>
      <vt:lpstr>Alternative Monthly</vt:lpstr>
      <vt:lpstr>Weighted Monthly</vt:lpstr>
      <vt:lpstr>National Monthly</vt:lpstr>
      <vt:lpstr>Fama and MacBeth Univar</vt:lpstr>
      <vt:lpstr>Fama and MacBeth Monthly</vt:lpstr>
      <vt:lpstr>MeasuresDependency</vt:lpstr>
      <vt:lpstr>BenchhmarksFixedSkipped</vt:lpstr>
      <vt:lpstr>VaryingComoveMeasureSampe</vt:lpstr>
      <vt:lpstr>PerComove_Summary_FullSample</vt:lpstr>
      <vt:lpstr>HighLow_Dummy_FullSample</vt:lpstr>
      <vt:lpstr>HighLow_Summary_FullSample</vt:lpstr>
      <vt:lpstr>HighLow_4F_FullSample</vt:lpstr>
      <vt:lpstr>PerComove_Summary_FirstHalf</vt:lpstr>
      <vt:lpstr>HighLow_Dummy_FirstHalf</vt:lpstr>
      <vt:lpstr>HighLow_Summary_FirstHalf</vt:lpstr>
      <vt:lpstr>HighLow_4F_FirstHalf</vt:lpstr>
      <vt:lpstr>PerComove_Summary_SecHalf</vt:lpstr>
      <vt:lpstr>HighLow_Dummy_SecHalf</vt:lpstr>
      <vt:lpstr>HighLow_Summary_SecHalf</vt:lpstr>
      <vt:lpstr>HighLow_4F_SecHalf</vt:lpstr>
      <vt:lpstr>AlphaCAPM</vt:lpstr>
      <vt:lpstr>AlphaFF3</vt:lpstr>
      <vt:lpstr>AlphaFF4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 Geens</dc:creator>
  <cp:lastModifiedBy>Luna Geens</cp:lastModifiedBy>
  <dcterms:created xsi:type="dcterms:W3CDTF">2024-04-21T15:12:57Z</dcterms:created>
  <dcterms:modified xsi:type="dcterms:W3CDTF">2024-05-18T22:37:01Z</dcterms:modified>
</cp:coreProperties>
</file>